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Users\JULIAN\Music\TIMES-UIS-v1-Nov\DataBases\"/>
    </mc:Choice>
  </mc:AlternateContent>
  <xr:revisionPtr revIDLastSave="0" documentId="13_ncr:1_{1F492BBF-672A-4DB7-8144-928F095A4B6A}" xr6:coauthVersionLast="47" xr6:coauthVersionMax="47" xr10:uidLastSave="{00000000-0000-0000-0000-000000000000}"/>
  <bookViews>
    <workbookView xWindow="-28920" yWindow="-120" windowWidth="29040" windowHeight="15840" firstSheet="3" activeTab="8" xr2:uid="{00000000-000D-0000-FFFF-FFFF00000000}"/>
  </bookViews>
  <sheets>
    <sheet name="Gasfield" sheetId="3" r:id="rId1"/>
    <sheet name="Oilfields" sheetId="2" r:id="rId2"/>
    <sheet name="General Oil_Gas_fields" sheetId="4" r:id="rId3"/>
    <sheet name="BD" sheetId="5" r:id="rId4"/>
    <sheet name="Compracion (2)" sheetId="8" r:id="rId5"/>
    <sheet name="Compracion" sheetId="7" r:id="rId6"/>
    <sheet name="GlobalData" sheetId="6" r:id="rId7"/>
    <sheet name="Datos de Imagenes" sheetId="9" r:id="rId8"/>
    <sheet name="Akacias_" sheetId="11" r:id="rId9"/>
    <sheet name="Hoja1" sheetId="10" r:id="rId10"/>
  </sheets>
  <definedNames>
    <definedName name="_xlnm._FilterDatabase" localSheetId="0" hidden="1">Gasfield!$B$4:$R$4</definedName>
    <definedName name="_xlnm._FilterDatabase" localSheetId="1" hidden="1">Oilfields!$B$4:$Q$4</definedName>
    <definedName name="_xlchart.v6.0" hidden="1">'General Oil_Gas_fields'!$K$53</definedName>
    <definedName name="_xlchart.v6.1" hidden="1">'General Oil_Gas_fields'!$K$54:$K$61</definedName>
    <definedName name="_xlchart.v6.10" hidden="1">'General Oil_Gas_fields'!$N$53</definedName>
    <definedName name="_xlchart.v6.11" hidden="1">'General Oil_Gas_fields'!$N$54:$N$61</definedName>
    <definedName name="_xlchart.v6.12" hidden="1">'General Oil_Gas_fields'!$K$53</definedName>
    <definedName name="_xlchart.v6.13" hidden="1">'General Oil_Gas_fields'!$K$54:$K$61</definedName>
    <definedName name="_xlchart.v6.14" hidden="1">'General Oil_Gas_fields'!$L$53</definedName>
    <definedName name="_xlchart.v6.15" hidden="1">'General Oil_Gas_fields'!$L$54:$L$61</definedName>
    <definedName name="_xlchart.v6.2" hidden="1">'General Oil_Gas_fields'!$N$53</definedName>
    <definedName name="_xlchart.v6.3" hidden="1">'General Oil_Gas_fields'!$N$54:$N$61</definedName>
    <definedName name="_xlchart.v6.4" hidden="1">'General Oil_Gas_fields'!$K$53</definedName>
    <definedName name="_xlchart.v6.5" hidden="1">'General Oil_Gas_fields'!$K$54:$K$61</definedName>
    <definedName name="_xlchart.v6.6" hidden="1">'General Oil_Gas_fields'!$L$53</definedName>
    <definedName name="_xlchart.v6.7" hidden="1">'General Oil_Gas_fields'!$L$54:$L$61</definedName>
    <definedName name="_xlchart.v6.8" hidden="1">'General Oil_Gas_fields'!$K$53</definedName>
    <definedName name="_xlchart.v6.9" hidden="1">'General Oil_Gas_fields'!$K$54:$K$61</definedName>
    <definedName name="DatosExternos_1" localSheetId="8" hidden="1">Akacias_!$A$1:$B$14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5" i="9" l="1"/>
  <c r="N6" i="9"/>
  <c r="N7" i="9"/>
  <c r="N8" i="9"/>
  <c r="N9" i="9"/>
  <c r="N10" i="9"/>
  <c r="N11" i="9"/>
  <c r="N12" i="9"/>
  <c r="N13" i="9"/>
  <c r="N14" i="9"/>
  <c r="N15" i="9"/>
  <c r="N16" i="9"/>
  <c r="N17" i="9"/>
  <c r="N18" i="9"/>
  <c r="N19" i="9"/>
  <c r="N20" i="9"/>
  <c r="N21" i="9"/>
  <c r="N22" i="9"/>
  <c r="N23" i="9"/>
  <c r="N24" i="9"/>
  <c r="N25" i="9"/>
  <c r="N26" i="9"/>
  <c r="N27" i="9"/>
  <c r="N28" i="9"/>
  <c r="N29" i="9"/>
  <c r="N30" i="9"/>
  <c r="N31" i="9"/>
  <c r="N32" i="9"/>
  <c r="N33" i="9"/>
  <c r="N34" i="9"/>
  <c r="N35" i="9"/>
  <c r="N36" i="9"/>
  <c r="N37" i="9"/>
  <c r="N4" i="9"/>
  <c r="T1" i="9"/>
  <c r="T2" i="9" s="1"/>
  <c r="L8" i="9"/>
  <c r="L9" i="9"/>
  <c r="L10" i="9"/>
  <c r="L12" i="9"/>
  <c r="L16" i="9"/>
  <c r="L27" i="9"/>
  <c r="L28" i="9"/>
  <c r="L4" i="9"/>
  <c r="M5" i="9"/>
  <c r="M9" i="9"/>
  <c r="P9" i="9" s="1"/>
  <c r="M13" i="9"/>
  <c r="M17" i="9"/>
  <c r="M20" i="9"/>
  <c r="M21" i="9"/>
  <c r="M24" i="9"/>
  <c r="M25" i="9"/>
  <c r="M28" i="9"/>
  <c r="P28" i="9" s="1"/>
  <c r="M29" i="9"/>
  <c r="M32" i="9"/>
  <c r="M33" i="9"/>
  <c r="M36" i="9"/>
  <c r="M37" i="9"/>
  <c r="N1" i="9"/>
  <c r="M4" i="9" s="1"/>
  <c r="P4" i="9" s="1"/>
  <c r="R9" i="9" l="1"/>
  <c r="Q6" i="9"/>
  <c r="Q10" i="9"/>
  <c r="Q14" i="9"/>
  <c r="Q18" i="9"/>
  <c r="Q22" i="9"/>
  <c r="Q26" i="9"/>
  <c r="Q30" i="9"/>
  <c r="Q34" i="9"/>
  <c r="Q4" i="9"/>
  <c r="R4" i="9" s="1"/>
  <c r="Q9" i="9"/>
  <c r="Q21" i="9"/>
  <c r="Q33" i="9"/>
  <c r="Q7" i="9"/>
  <c r="Q11" i="9"/>
  <c r="Q15" i="9"/>
  <c r="Q19" i="9"/>
  <c r="Q23" i="9"/>
  <c r="Q27" i="9"/>
  <c r="Q31" i="9"/>
  <c r="Q35" i="9"/>
  <c r="Q5" i="9"/>
  <c r="Q17" i="9"/>
  <c r="Q29" i="9"/>
  <c r="Q8" i="9"/>
  <c r="Q12" i="9"/>
  <c r="Q16" i="9"/>
  <c r="Q20" i="9"/>
  <c r="Q24" i="9"/>
  <c r="Q28" i="9"/>
  <c r="R28" i="9" s="1"/>
  <c r="Q32" i="9"/>
  <c r="Q36" i="9"/>
  <c r="Q13" i="9"/>
  <c r="Q25" i="9"/>
  <c r="Q37" i="9"/>
  <c r="M16" i="9"/>
  <c r="P16" i="9" s="1"/>
  <c r="R16" i="9" s="1"/>
  <c r="M12" i="9"/>
  <c r="P12" i="9" s="1"/>
  <c r="M8" i="9"/>
  <c r="P8" i="9" s="1"/>
  <c r="R8" i="9" s="1"/>
  <c r="M35" i="9"/>
  <c r="M31" i="9"/>
  <c r="M27" i="9"/>
  <c r="P27" i="9" s="1"/>
  <c r="R27" i="9" s="1"/>
  <c r="M23" i="9"/>
  <c r="M19" i="9"/>
  <c r="M15" i="9"/>
  <c r="M11" i="9"/>
  <c r="M7" i="9"/>
  <c r="M34" i="9"/>
  <c r="M30" i="9"/>
  <c r="M26" i="9"/>
  <c r="M22" i="9"/>
  <c r="M18" i="9"/>
  <c r="M14" i="9"/>
  <c r="M10" i="9"/>
  <c r="P10" i="9" s="1"/>
  <c r="R10" i="9" s="1"/>
  <c r="M6" i="9"/>
  <c r="R12" i="9" l="1"/>
  <c r="I10" i="9" l="1"/>
  <c r="I27" i="9"/>
  <c r="I4" i="9"/>
  <c r="F5" i="9"/>
  <c r="I5" i="9" s="1"/>
  <c r="F8" i="9"/>
  <c r="I8" i="9" s="1"/>
  <c r="F9" i="9"/>
  <c r="I9" i="9" s="1"/>
  <c r="F10" i="9"/>
  <c r="F12" i="9"/>
  <c r="I12" i="9" s="1"/>
  <c r="F16" i="9"/>
  <c r="I16" i="9" s="1"/>
  <c r="F17" i="9"/>
  <c r="I17" i="9" s="1"/>
  <c r="F21" i="9"/>
  <c r="I21" i="9" s="1"/>
  <c r="F25" i="9"/>
  <c r="I25" i="9" s="1"/>
  <c r="F27" i="9"/>
  <c r="F28" i="9"/>
  <c r="I28" i="9" s="1"/>
  <c r="F32" i="9"/>
  <c r="I32" i="9" s="1"/>
  <c r="F36" i="9"/>
  <c r="I36" i="9" s="1"/>
  <c r="F4" i="9"/>
  <c r="E18" i="9"/>
  <c r="L18" i="9" s="1"/>
  <c r="P18" i="9" s="1"/>
  <c r="R18" i="9" s="1"/>
  <c r="E5" i="9"/>
  <c r="L5" i="9" s="1"/>
  <c r="E42" i="9"/>
  <c r="E41" i="9"/>
  <c r="E40" i="9"/>
  <c r="E39" i="9"/>
  <c r="E37" i="9"/>
  <c r="L37" i="9" s="1"/>
  <c r="P37" i="9" s="1"/>
  <c r="R37" i="9" s="1"/>
  <c r="E36" i="9"/>
  <c r="L36" i="9" s="1"/>
  <c r="P36" i="9" s="1"/>
  <c r="R36" i="9" s="1"/>
  <c r="E35" i="9"/>
  <c r="L35" i="9" s="1"/>
  <c r="P35" i="9" s="1"/>
  <c r="R35" i="9" s="1"/>
  <c r="E34" i="9"/>
  <c r="L34" i="9" s="1"/>
  <c r="P34" i="9" s="1"/>
  <c r="R34" i="9" s="1"/>
  <c r="E33" i="9"/>
  <c r="L33" i="9" s="1"/>
  <c r="P33" i="9" s="1"/>
  <c r="R33" i="9" s="1"/>
  <c r="E32" i="9"/>
  <c r="L32" i="9" s="1"/>
  <c r="P32" i="9" s="1"/>
  <c r="R32" i="9" s="1"/>
  <c r="E31" i="9"/>
  <c r="L31" i="9" s="1"/>
  <c r="P31" i="9" s="1"/>
  <c r="R31" i="9" s="1"/>
  <c r="E30" i="9"/>
  <c r="L30" i="9" s="1"/>
  <c r="P30" i="9" s="1"/>
  <c r="R30" i="9" s="1"/>
  <c r="E29" i="9"/>
  <c r="L29" i="9" s="1"/>
  <c r="P29" i="9" s="1"/>
  <c r="R29" i="9" s="1"/>
  <c r="E26" i="9"/>
  <c r="L26" i="9" s="1"/>
  <c r="P26" i="9" s="1"/>
  <c r="R26" i="9" s="1"/>
  <c r="E25" i="9"/>
  <c r="L25" i="9" s="1"/>
  <c r="P25" i="9" s="1"/>
  <c r="R25" i="9" s="1"/>
  <c r="E24" i="9"/>
  <c r="L24" i="9" s="1"/>
  <c r="P24" i="9" s="1"/>
  <c r="R24" i="9" s="1"/>
  <c r="E23" i="9"/>
  <c r="L23" i="9" s="1"/>
  <c r="P23" i="9" s="1"/>
  <c r="R23" i="9" s="1"/>
  <c r="E22" i="9"/>
  <c r="L22" i="9" s="1"/>
  <c r="P22" i="9" s="1"/>
  <c r="R22" i="9" s="1"/>
  <c r="E21" i="9"/>
  <c r="L21" i="9" s="1"/>
  <c r="P21" i="9" s="1"/>
  <c r="R21" i="9" s="1"/>
  <c r="E20" i="9"/>
  <c r="L20" i="9" s="1"/>
  <c r="P20" i="9" s="1"/>
  <c r="R20" i="9" s="1"/>
  <c r="E19" i="9"/>
  <c r="L19" i="9" s="1"/>
  <c r="P19" i="9" s="1"/>
  <c r="R19" i="9" s="1"/>
  <c r="E17" i="9"/>
  <c r="L17" i="9" s="1"/>
  <c r="P17" i="9" s="1"/>
  <c r="R17" i="9" s="1"/>
  <c r="E15" i="9"/>
  <c r="L15" i="9" s="1"/>
  <c r="P15" i="9" s="1"/>
  <c r="R15" i="9" s="1"/>
  <c r="E14" i="9"/>
  <c r="L14" i="9" s="1"/>
  <c r="P14" i="9" s="1"/>
  <c r="R14" i="9" s="1"/>
  <c r="E13" i="9"/>
  <c r="L13" i="9" s="1"/>
  <c r="P13" i="9" s="1"/>
  <c r="R13" i="9" s="1"/>
  <c r="E11" i="9"/>
  <c r="L11" i="9" s="1"/>
  <c r="P11" i="9" s="1"/>
  <c r="R11" i="9" s="1"/>
  <c r="E7" i="9"/>
  <c r="L7" i="9" s="1"/>
  <c r="P7" i="9" s="1"/>
  <c r="R7" i="9" s="1"/>
  <c r="E6" i="9"/>
  <c r="L6" i="9" s="1"/>
  <c r="P6" i="9" s="1"/>
  <c r="R6" i="9" s="1"/>
  <c r="G40" i="6"/>
  <c r="V50" i="7"/>
  <c r="E59" i="8"/>
  <c r="E47" i="8"/>
  <c r="P55" i="8" s="1"/>
  <c r="T45" i="8"/>
  <c r="T46" i="8" s="1"/>
  <c r="T47" i="8" s="1"/>
  <c r="U49" i="8" s="1"/>
  <c r="G43" i="8"/>
  <c r="G42" i="8"/>
  <c r="G41" i="8"/>
  <c r="G40" i="8"/>
  <c r="H39" i="8"/>
  <c r="P38" i="8"/>
  <c r="M38" i="8" s="1"/>
  <c r="Q38" i="8" s="1"/>
  <c r="R38" i="8" s="1"/>
  <c r="G38" i="8"/>
  <c r="S38" i="8" s="1"/>
  <c r="AB37" i="8"/>
  <c r="AA37" i="8"/>
  <c r="AC37" i="8" s="1"/>
  <c r="AD37" i="8" s="1"/>
  <c r="P37" i="8"/>
  <c r="M37" i="8" s="1"/>
  <c r="Q37" i="8" s="1"/>
  <c r="R37" i="8" s="1"/>
  <c r="G37" i="8"/>
  <c r="S37" i="8" s="1"/>
  <c r="AB36" i="8"/>
  <c r="AA36" i="8"/>
  <c r="P36" i="8"/>
  <c r="M36" i="8"/>
  <c r="Q36" i="8" s="1"/>
  <c r="R36" i="8" s="1"/>
  <c r="G36" i="8"/>
  <c r="S36" i="8" s="1"/>
  <c r="AB35" i="8"/>
  <c r="AA35" i="8"/>
  <c r="P35" i="8"/>
  <c r="M35" i="8" s="1"/>
  <c r="Q35" i="8" s="1"/>
  <c r="R35" i="8" s="1"/>
  <c r="G35" i="8"/>
  <c r="I35" i="8" s="1"/>
  <c r="AB34" i="8"/>
  <c r="AA34" i="8"/>
  <c r="P34" i="8"/>
  <c r="M34" i="8" s="1"/>
  <c r="Q34" i="8" s="1"/>
  <c r="R34" i="8" s="1"/>
  <c r="G34" i="8"/>
  <c r="H34" i="8" s="1"/>
  <c r="J34" i="8" s="1"/>
  <c r="AB33" i="8"/>
  <c r="AE33" i="8" s="1"/>
  <c r="AF33" i="8" s="1"/>
  <c r="AA33" i="8"/>
  <c r="P33" i="8"/>
  <c r="M33" i="8" s="1"/>
  <c r="Q33" i="8" s="1"/>
  <c r="R33" i="8" s="1"/>
  <c r="H33" i="8"/>
  <c r="J33" i="8" s="1"/>
  <c r="G33" i="8"/>
  <c r="S33" i="8" s="1"/>
  <c r="AB32" i="8"/>
  <c r="AA32" i="8"/>
  <c r="P32" i="8"/>
  <c r="M32" i="8" s="1"/>
  <c r="Q32" i="8" s="1"/>
  <c r="R32" i="8" s="1"/>
  <c r="G32" i="8"/>
  <c r="S32" i="8" s="1"/>
  <c r="AB31" i="8"/>
  <c r="AA31" i="8"/>
  <c r="P31" i="8"/>
  <c r="M31" i="8" s="1"/>
  <c r="Q31" i="8" s="1"/>
  <c r="R31" i="8" s="1"/>
  <c r="G31" i="8"/>
  <c r="I31" i="8" s="1"/>
  <c r="AB30" i="8"/>
  <c r="AA30" i="8"/>
  <c r="P30" i="8"/>
  <c r="M30" i="8" s="1"/>
  <c r="Q30" i="8" s="1"/>
  <c r="R30" i="8" s="1"/>
  <c r="G30" i="8"/>
  <c r="H30" i="8" s="1"/>
  <c r="J30" i="8" s="1"/>
  <c r="AB29" i="8"/>
  <c r="AA29" i="8"/>
  <c r="AC29" i="8" s="1"/>
  <c r="AD29" i="8" s="1"/>
  <c r="S29" i="8"/>
  <c r="P29" i="8"/>
  <c r="M29" i="8" s="1"/>
  <c r="Q29" i="8" s="1"/>
  <c r="R29" i="8" s="1"/>
  <c r="I29" i="8"/>
  <c r="H29" i="8"/>
  <c r="J29" i="8" s="1"/>
  <c r="AB28" i="8"/>
  <c r="AA28" i="8"/>
  <c r="AE28" i="8" s="1"/>
  <c r="AF28" i="8" s="1"/>
  <c r="S28" i="8"/>
  <c r="P28" i="8"/>
  <c r="M28" i="8" s="1"/>
  <c r="Q28" i="8" s="1"/>
  <c r="I28" i="8"/>
  <c r="H28" i="8"/>
  <c r="J28" i="8" s="1"/>
  <c r="AB27" i="8"/>
  <c r="AA27" i="8"/>
  <c r="P27" i="8"/>
  <c r="M27" i="8"/>
  <c r="Q27" i="8" s="1"/>
  <c r="R27" i="8" s="1"/>
  <c r="G27" i="8"/>
  <c r="AB26" i="8"/>
  <c r="AA26" i="8"/>
  <c r="P26" i="8"/>
  <c r="M26" i="8" s="1"/>
  <c r="Q26" i="8" s="1"/>
  <c r="R26" i="8" s="1"/>
  <c r="G26" i="8"/>
  <c r="I26" i="8" s="1"/>
  <c r="AB25" i="8"/>
  <c r="AA25" i="8"/>
  <c r="P25" i="8"/>
  <c r="M25" i="8" s="1"/>
  <c r="Q25" i="8" s="1"/>
  <c r="R25" i="8" s="1"/>
  <c r="G25" i="8"/>
  <c r="S25" i="8" s="1"/>
  <c r="AB24" i="8"/>
  <c r="AA24" i="8"/>
  <c r="P24" i="8"/>
  <c r="M24" i="8" s="1"/>
  <c r="Q24" i="8" s="1"/>
  <c r="R24" i="8" s="1"/>
  <c r="G24" i="8"/>
  <c r="S24" i="8" s="1"/>
  <c r="AB23" i="8"/>
  <c r="AA23" i="8"/>
  <c r="P23" i="8"/>
  <c r="M23" i="8" s="1"/>
  <c r="Q23" i="8" s="1"/>
  <c r="R23" i="8" s="1"/>
  <c r="G23" i="8"/>
  <c r="S23" i="8" s="1"/>
  <c r="AB22" i="8"/>
  <c r="AA22" i="8"/>
  <c r="P22" i="8"/>
  <c r="M22" i="8" s="1"/>
  <c r="Q22" i="8" s="1"/>
  <c r="R22" i="8" s="1"/>
  <c r="G22" i="8"/>
  <c r="I22" i="8" s="1"/>
  <c r="AB21" i="8"/>
  <c r="AA21" i="8"/>
  <c r="P21" i="8"/>
  <c r="M21" i="8" s="1"/>
  <c r="Q21" i="8" s="1"/>
  <c r="R21" i="8" s="1"/>
  <c r="G21" i="8"/>
  <c r="S21" i="8" s="1"/>
  <c r="AB20" i="8"/>
  <c r="AA20" i="8"/>
  <c r="P20" i="8"/>
  <c r="M20" i="8" s="1"/>
  <c r="Q20" i="8" s="1"/>
  <c r="R20" i="8" s="1"/>
  <c r="G20" i="8"/>
  <c r="S20" i="8" s="1"/>
  <c r="AB19" i="8"/>
  <c r="AA19" i="8"/>
  <c r="P19" i="8"/>
  <c r="M19" i="8"/>
  <c r="Q19" i="8" s="1"/>
  <c r="R19" i="8" s="1"/>
  <c r="G19" i="8"/>
  <c r="S19" i="8" s="1"/>
  <c r="AB18" i="8"/>
  <c r="AA18" i="8"/>
  <c r="P18" i="8"/>
  <c r="M18" i="8" s="1"/>
  <c r="Q18" i="8" s="1"/>
  <c r="R18" i="8" s="1"/>
  <c r="G18" i="8"/>
  <c r="I18" i="8" s="1"/>
  <c r="AB17" i="8"/>
  <c r="AA17" i="8"/>
  <c r="S17" i="8"/>
  <c r="P17" i="8"/>
  <c r="M17" i="8" s="1"/>
  <c r="Q17" i="8" s="1"/>
  <c r="R17" i="8" s="1"/>
  <c r="I17" i="8"/>
  <c r="H17" i="8"/>
  <c r="J17" i="8" s="1"/>
  <c r="AB16" i="8"/>
  <c r="AA16" i="8"/>
  <c r="P16" i="8"/>
  <c r="M16" i="8" s="1"/>
  <c r="Q16" i="8" s="1"/>
  <c r="R16" i="8" s="1"/>
  <c r="G16" i="8"/>
  <c r="S16" i="8" s="1"/>
  <c r="AC15" i="8"/>
  <c r="AD15" i="8" s="1"/>
  <c r="AB15" i="8"/>
  <c r="AA15" i="8"/>
  <c r="P15" i="8"/>
  <c r="M15" i="8" s="1"/>
  <c r="Q15" i="8" s="1"/>
  <c r="R15" i="8" s="1"/>
  <c r="G15" i="8"/>
  <c r="I15" i="8" s="1"/>
  <c r="AB14" i="8"/>
  <c r="AA14" i="8"/>
  <c r="AE14" i="8" s="1"/>
  <c r="AF14" i="8" s="1"/>
  <c r="P14" i="8"/>
  <c r="M14" i="8" s="1"/>
  <c r="Q14" i="8" s="1"/>
  <c r="R14" i="8" s="1"/>
  <c r="G14" i="8"/>
  <c r="H14" i="8" s="1"/>
  <c r="J14" i="8" s="1"/>
  <c r="AB13" i="8"/>
  <c r="AA13" i="8"/>
  <c r="S13" i="8"/>
  <c r="P13" i="8"/>
  <c r="M13" i="8" s="1"/>
  <c r="Q13" i="8" s="1"/>
  <c r="R13" i="8" s="1"/>
  <c r="I13" i="8"/>
  <c r="H13" i="8"/>
  <c r="J13" i="8" s="1"/>
  <c r="AB12" i="8"/>
  <c r="AA12" i="8"/>
  <c r="AE12" i="8" s="1"/>
  <c r="AF12" i="8" s="1"/>
  <c r="P12" i="8"/>
  <c r="M12" i="8" s="1"/>
  <c r="Q12" i="8" s="1"/>
  <c r="R12" i="8" s="1"/>
  <c r="I12" i="8"/>
  <c r="G12" i="8"/>
  <c r="S12" i="8" s="1"/>
  <c r="AB11" i="8"/>
  <c r="AA11" i="8"/>
  <c r="S11" i="8"/>
  <c r="P11" i="8"/>
  <c r="M11" i="8" s="1"/>
  <c r="Q11" i="8" s="1"/>
  <c r="R11" i="8" s="1"/>
  <c r="I11" i="8"/>
  <c r="H11" i="8"/>
  <c r="J11" i="8" s="1"/>
  <c r="AB10" i="8"/>
  <c r="AA10" i="8"/>
  <c r="S10" i="8"/>
  <c r="P10" i="8"/>
  <c r="M10" i="8" s="1"/>
  <c r="Q10" i="8" s="1"/>
  <c r="R10" i="8" s="1"/>
  <c r="I10" i="8"/>
  <c r="H10" i="8"/>
  <c r="J10" i="8" s="1"/>
  <c r="AB9" i="8"/>
  <c r="AA9" i="8"/>
  <c r="S9" i="8"/>
  <c r="P9" i="8"/>
  <c r="M9" i="8" s="1"/>
  <c r="Q9" i="8" s="1"/>
  <c r="R9" i="8" s="1"/>
  <c r="I9" i="8"/>
  <c r="H9" i="8"/>
  <c r="J9" i="8" s="1"/>
  <c r="AB8" i="8"/>
  <c r="AA8" i="8"/>
  <c r="P8" i="8"/>
  <c r="M8" i="8" s="1"/>
  <c r="Q8" i="8" s="1"/>
  <c r="R8" i="8" s="1"/>
  <c r="G8" i="8"/>
  <c r="AB7" i="8"/>
  <c r="AA7" i="8"/>
  <c r="P7" i="8"/>
  <c r="M7" i="8" s="1"/>
  <c r="Q7" i="8" s="1"/>
  <c r="R7" i="8" s="1"/>
  <c r="G7" i="8"/>
  <c r="S7" i="8" s="1"/>
  <c r="F7" i="8"/>
  <c r="E50" i="8" s="1"/>
  <c r="AB6" i="8"/>
  <c r="AA6" i="8"/>
  <c r="P6" i="8"/>
  <c r="M6" i="8" s="1"/>
  <c r="Q6" i="8" s="1"/>
  <c r="R6" i="8" s="1"/>
  <c r="G6" i="8"/>
  <c r="S6" i="8" s="1"/>
  <c r="AB5" i="8"/>
  <c r="AA5" i="8"/>
  <c r="R5" i="8"/>
  <c r="I5" i="8"/>
  <c r="H5" i="8"/>
  <c r="J5" i="8" s="1"/>
  <c r="G1" i="8"/>
  <c r="R56" i="7"/>
  <c r="T6" i="7"/>
  <c r="T7" i="7"/>
  <c r="T8" i="7"/>
  <c r="T9" i="7"/>
  <c r="T10" i="7"/>
  <c r="T11" i="7"/>
  <c r="T12" i="7"/>
  <c r="T13" i="7"/>
  <c r="T14" i="7"/>
  <c r="T15" i="7"/>
  <c r="T16" i="7"/>
  <c r="T17" i="7"/>
  <c r="T18" i="7"/>
  <c r="T19" i="7"/>
  <c r="T20" i="7"/>
  <c r="T21" i="7"/>
  <c r="T22" i="7"/>
  <c r="T23" i="7"/>
  <c r="T24" i="7"/>
  <c r="T25" i="7"/>
  <c r="T26" i="7"/>
  <c r="T27" i="7"/>
  <c r="T29" i="7"/>
  <c r="T30" i="7"/>
  <c r="T31" i="7"/>
  <c r="T32" i="7"/>
  <c r="T33" i="7"/>
  <c r="T34" i="7"/>
  <c r="T35" i="7"/>
  <c r="T36" i="7"/>
  <c r="T37" i="7"/>
  <c r="T38" i="7"/>
  <c r="T5" i="7"/>
  <c r="U9" i="7"/>
  <c r="U10" i="7"/>
  <c r="U11" i="7"/>
  <c r="U13" i="7"/>
  <c r="U17" i="7"/>
  <c r="U28" i="7"/>
  <c r="U29" i="7"/>
  <c r="O7" i="7"/>
  <c r="S7" i="7" s="1"/>
  <c r="O15" i="7"/>
  <c r="S15" i="7" s="1"/>
  <c r="O23" i="7"/>
  <c r="S23" i="7" s="1"/>
  <c r="O31" i="7"/>
  <c r="S31" i="7" s="1"/>
  <c r="O6" i="7"/>
  <c r="S6" i="7" s="1"/>
  <c r="R7" i="7"/>
  <c r="R8" i="7"/>
  <c r="O8" i="7" s="1"/>
  <c r="S8" i="7" s="1"/>
  <c r="R9" i="7"/>
  <c r="O9" i="7" s="1"/>
  <c r="S9" i="7" s="1"/>
  <c r="R10" i="7"/>
  <c r="O10" i="7" s="1"/>
  <c r="S10" i="7" s="1"/>
  <c r="R11" i="7"/>
  <c r="O11" i="7" s="1"/>
  <c r="S11" i="7" s="1"/>
  <c r="R12" i="7"/>
  <c r="O12" i="7" s="1"/>
  <c r="S12" i="7" s="1"/>
  <c r="R13" i="7"/>
  <c r="O13" i="7" s="1"/>
  <c r="S13" i="7" s="1"/>
  <c r="R14" i="7"/>
  <c r="O14" i="7" s="1"/>
  <c r="S14" i="7" s="1"/>
  <c r="R15" i="7"/>
  <c r="R16" i="7"/>
  <c r="O16" i="7" s="1"/>
  <c r="S16" i="7" s="1"/>
  <c r="R17" i="7"/>
  <c r="O17" i="7" s="1"/>
  <c r="S17" i="7" s="1"/>
  <c r="R18" i="7"/>
  <c r="O18" i="7" s="1"/>
  <c r="S18" i="7" s="1"/>
  <c r="R19" i="7"/>
  <c r="O19" i="7" s="1"/>
  <c r="S19" i="7" s="1"/>
  <c r="R20" i="7"/>
  <c r="O20" i="7" s="1"/>
  <c r="S20" i="7" s="1"/>
  <c r="R21" i="7"/>
  <c r="O21" i="7" s="1"/>
  <c r="S21" i="7" s="1"/>
  <c r="R22" i="7"/>
  <c r="O22" i="7" s="1"/>
  <c r="S22" i="7" s="1"/>
  <c r="R23" i="7"/>
  <c r="R24" i="7"/>
  <c r="O24" i="7" s="1"/>
  <c r="S24" i="7" s="1"/>
  <c r="R25" i="7"/>
  <c r="O25" i="7" s="1"/>
  <c r="S25" i="7" s="1"/>
  <c r="R26" i="7"/>
  <c r="O26" i="7" s="1"/>
  <c r="S26" i="7" s="1"/>
  <c r="R27" i="7"/>
  <c r="O27" i="7" s="1"/>
  <c r="S27" i="7" s="1"/>
  <c r="R28" i="7"/>
  <c r="O28" i="7" s="1"/>
  <c r="S28" i="7" s="1"/>
  <c r="R29" i="7"/>
  <c r="O29" i="7" s="1"/>
  <c r="S29" i="7" s="1"/>
  <c r="R30" i="7"/>
  <c r="O30" i="7" s="1"/>
  <c r="S30" i="7" s="1"/>
  <c r="R31" i="7"/>
  <c r="R32" i="7"/>
  <c r="O32" i="7" s="1"/>
  <c r="S32" i="7" s="1"/>
  <c r="R33" i="7"/>
  <c r="O33" i="7" s="1"/>
  <c r="S33" i="7" s="1"/>
  <c r="R34" i="7"/>
  <c r="O34" i="7" s="1"/>
  <c r="S34" i="7" s="1"/>
  <c r="R35" i="7"/>
  <c r="O35" i="7" s="1"/>
  <c r="S35" i="7" s="1"/>
  <c r="R36" i="7"/>
  <c r="O36" i="7" s="1"/>
  <c r="S36" i="7" s="1"/>
  <c r="R37" i="7"/>
  <c r="O37" i="7" s="1"/>
  <c r="S37" i="7" s="1"/>
  <c r="R38" i="7"/>
  <c r="O38" i="7" s="1"/>
  <c r="S38" i="7" s="1"/>
  <c r="R6" i="7"/>
  <c r="F37" i="9" l="1"/>
  <c r="I37" i="9" s="1"/>
  <c r="F29" i="9"/>
  <c r="I29" i="9" s="1"/>
  <c r="P5" i="9"/>
  <c r="R5" i="9" s="1"/>
  <c r="D47" i="9"/>
  <c r="F20" i="9"/>
  <c r="I20" i="9" s="1"/>
  <c r="F35" i="9"/>
  <c r="I35" i="9" s="1"/>
  <c r="F31" i="9"/>
  <c r="I31" i="9" s="1"/>
  <c r="F23" i="9"/>
  <c r="I23" i="9" s="1"/>
  <c r="F19" i="9"/>
  <c r="I19" i="9" s="1"/>
  <c r="F15" i="9"/>
  <c r="I15" i="9" s="1"/>
  <c r="F11" i="9"/>
  <c r="I11" i="9" s="1"/>
  <c r="F7" i="9"/>
  <c r="I7" i="9" s="1"/>
  <c r="F33" i="9"/>
  <c r="I33" i="9" s="1"/>
  <c r="F13" i="9"/>
  <c r="I13" i="9" s="1"/>
  <c r="F24" i="9"/>
  <c r="I24" i="9" s="1"/>
  <c r="F34" i="9"/>
  <c r="I34" i="9" s="1"/>
  <c r="F30" i="9"/>
  <c r="I30" i="9" s="1"/>
  <c r="F26" i="9"/>
  <c r="I26" i="9" s="1"/>
  <c r="F22" i="9"/>
  <c r="I22" i="9" s="1"/>
  <c r="F18" i="9"/>
  <c r="I18" i="9" s="1"/>
  <c r="F14" i="9"/>
  <c r="I14" i="9" s="1"/>
  <c r="F6" i="9"/>
  <c r="I6" i="9" s="1"/>
  <c r="AE8" i="8"/>
  <c r="AF8" i="8" s="1"/>
  <c r="AE10" i="8"/>
  <c r="AF10" i="8" s="1"/>
  <c r="AE18" i="8"/>
  <c r="AF18" i="8" s="1"/>
  <c r="AE31" i="8"/>
  <c r="AF31" i="8" s="1"/>
  <c r="I33" i="8"/>
  <c r="AE22" i="8"/>
  <c r="AF22" i="8" s="1"/>
  <c r="AE11" i="8"/>
  <c r="AF11" i="8" s="1"/>
  <c r="AC16" i="8"/>
  <c r="AD16" i="8" s="1"/>
  <c r="AC23" i="8"/>
  <c r="AD23" i="8" s="1"/>
  <c r="AE26" i="8"/>
  <c r="AF26" i="8" s="1"/>
  <c r="AE35" i="8"/>
  <c r="AF35" i="8" s="1"/>
  <c r="H7" i="8"/>
  <c r="J7" i="8" s="1"/>
  <c r="H24" i="8"/>
  <c r="J24" i="8" s="1"/>
  <c r="AC25" i="8"/>
  <c r="AD25" i="8" s="1"/>
  <c r="I30" i="8"/>
  <c r="AC30" i="8"/>
  <c r="AD30" i="8" s="1"/>
  <c r="AC34" i="8"/>
  <c r="AD34" i="8" s="1"/>
  <c r="H38" i="8"/>
  <c r="J38" i="8" s="1"/>
  <c r="H6" i="8"/>
  <c r="J6" i="8" s="1"/>
  <c r="AE6" i="8"/>
  <c r="AF6" i="8" s="1"/>
  <c r="I7" i="8"/>
  <c r="AC7" i="8"/>
  <c r="AD7" i="8" s="1"/>
  <c r="H20" i="8"/>
  <c r="J20" i="8" s="1"/>
  <c r="AC21" i="8"/>
  <c r="AD21" i="8" s="1"/>
  <c r="I24" i="8"/>
  <c r="I38" i="8"/>
  <c r="I6" i="8"/>
  <c r="H12" i="8"/>
  <c r="J12" i="8" s="1"/>
  <c r="H15" i="8"/>
  <c r="J15" i="8" s="1"/>
  <c r="AC19" i="8"/>
  <c r="AD19" i="8" s="1"/>
  <c r="I20" i="8"/>
  <c r="H25" i="8"/>
  <c r="J25" i="8" s="1"/>
  <c r="AE5" i="8"/>
  <c r="AF5" i="8" s="1"/>
  <c r="P56" i="8"/>
  <c r="AC12" i="8"/>
  <c r="AD12" i="8" s="1"/>
  <c r="I14" i="8"/>
  <c r="AE15" i="8"/>
  <c r="AF15" i="8" s="1"/>
  <c r="H21" i="8"/>
  <c r="J21" i="8" s="1"/>
  <c r="AE21" i="8"/>
  <c r="AF21" i="8" s="1"/>
  <c r="AC24" i="8"/>
  <c r="AD24" i="8" s="1"/>
  <c r="I25" i="8"/>
  <c r="AE25" i="8"/>
  <c r="AF25" i="8" s="1"/>
  <c r="AC26" i="8"/>
  <c r="AD26" i="8" s="1"/>
  <c r="AC27" i="8"/>
  <c r="AD27" i="8" s="1"/>
  <c r="AC31" i="8"/>
  <c r="AD31" i="8" s="1"/>
  <c r="AC33" i="8"/>
  <c r="AD33" i="8" s="1"/>
  <c r="I34" i="8"/>
  <c r="AC35" i="8"/>
  <c r="AD35" i="8" s="1"/>
  <c r="H37" i="8"/>
  <c r="J37" i="8" s="1"/>
  <c r="T49" i="8"/>
  <c r="AC17" i="8"/>
  <c r="AD17" i="8" s="1"/>
  <c r="AE7" i="8"/>
  <c r="AF7" i="8" s="1"/>
  <c r="AC8" i="8"/>
  <c r="AD8" i="8" s="1"/>
  <c r="AC10" i="8"/>
  <c r="AD10" i="8" s="1"/>
  <c r="AC13" i="8"/>
  <c r="AD13" i="8" s="1"/>
  <c r="AC18" i="8"/>
  <c r="AD18" i="8" s="1"/>
  <c r="AC20" i="8"/>
  <c r="AD20" i="8" s="1"/>
  <c r="I21" i="8"/>
  <c r="AC22" i="8"/>
  <c r="AD22" i="8" s="1"/>
  <c r="AC28" i="8"/>
  <c r="AD28" i="8" s="1"/>
  <c r="AE30" i="8"/>
  <c r="AF30" i="8" s="1"/>
  <c r="AC32" i="8"/>
  <c r="AD32" i="8" s="1"/>
  <c r="AC36" i="8"/>
  <c r="AD36" i="8" s="1"/>
  <c r="I37" i="8"/>
  <c r="I8" i="8"/>
  <c r="H8" i="8"/>
  <c r="J8" i="8" s="1"/>
  <c r="AC6" i="8"/>
  <c r="AD6" i="8" s="1"/>
  <c r="S8" i="8"/>
  <c r="I23" i="8"/>
  <c r="H23" i="8"/>
  <c r="J23" i="8" s="1"/>
  <c r="I36" i="8"/>
  <c r="H36" i="8"/>
  <c r="J36" i="8" s="1"/>
  <c r="I40" i="8"/>
  <c r="H40" i="8"/>
  <c r="J40" i="8" s="1"/>
  <c r="E51" i="8"/>
  <c r="E52" i="8" s="1"/>
  <c r="E54" i="8"/>
  <c r="I27" i="8"/>
  <c r="H27" i="8"/>
  <c r="J27" i="8" s="1"/>
  <c r="I43" i="8"/>
  <c r="H43" i="8"/>
  <c r="J43" i="8" s="1"/>
  <c r="I19" i="8"/>
  <c r="H19" i="8"/>
  <c r="J19" i="8" s="1"/>
  <c r="AE24" i="8"/>
  <c r="AF24" i="8" s="1"/>
  <c r="AE29" i="8"/>
  <c r="AF29" i="8" s="1"/>
  <c r="AE34" i="8"/>
  <c r="AF34" i="8" s="1"/>
  <c r="AE37" i="8"/>
  <c r="AF37" i="8" s="1"/>
  <c r="I41" i="8"/>
  <c r="H41" i="8"/>
  <c r="J41" i="8" s="1"/>
  <c r="AC5" i="8"/>
  <c r="AD5" i="8" s="1"/>
  <c r="AE9" i="8"/>
  <c r="AF9" i="8" s="1"/>
  <c r="AE13" i="8"/>
  <c r="AF13" i="8" s="1"/>
  <c r="I16" i="8"/>
  <c r="H16" i="8"/>
  <c r="J16" i="8" s="1"/>
  <c r="AE17" i="8"/>
  <c r="AF17" i="8" s="1"/>
  <c r="AE20" i="8"/>
  <c r="AF20" i="8" s="1"/>
  <c r="S27" i="8"/>
  <c r="I32" i="8"/>
  <c r="H32" i="8"/>
  <c r="J32" i="8" s="1"/>
  <c r="I42" i="8"/>
  <c r="H42" i="8"/>
  <c r="J42" i="8" s="1"/>
  <c r="E48" i="8"/>
  <c r="G48" i="8" s="1"/>
  <c r="AC9" i="8"/>
  <c r="AD9" i="8" s="1"/>
  <c r="AC11" i="8"/>
  <c r="AD11" i="8" s="1"/>
  <c r="AC14" i="8"/>
  <c r="AD14" i="8" s="1"/>
  <c r="S15" i="8"/>
  <c r="AE16" i="8"/>
  <c r="AF16" i="8" s="1"/>
  <c r="S18" i="8"/>
  <c r="AE19" i="8"/>
  <c r="AF19" i="8" s="1"/>
  <c r="S22" i="8"/>
  <c r="AE23" i="8"/>
  <c r="AF23" i="8" s="1"/>
  <c r="S26" i="8"/>
  <c r="AE27" i="8"/>
  <c r="AF27" i="8" s="1"/>
  <c r="S31" i="8"/>
  <c r="AE32" i="8"/>
  <c r="AF32" i="8" s="1"/>
  <c r="S35" i="8"/>
  <c r="AE36" i="8"/>
  <c r="AF36" i="8" s="1"/>
  <c r="S14" i="8"/>
  <c r="H18" i="8"/>
  <c r="J18" i="8" s="1"/>
  <c r="H22" i="8"/>
  <c r="J22" i="8" s="1"/>
  <c r="H26" i="8"/>
  <c r="J26" i="8" s="1"/>
  <c r="S30" i="8"/>
  <c r="H31" i="8"/>
  <c r="J31" i="8" s="1"/>
  <c r="S34" i="8"/>
  <c r="H35" i="8"/>
  <c r="J35" i="8" s="1"/>
  <c r="E49" i="8"/>
  <c r="G49" i="8" s="1"/>
  <c r="E60" i="8" l="1"/>
  <c r="E55" i="8"/>
  <c r="E56" i="8" s="1"/>
  <c r="E59" i="7" l="1"/>
  <c r="E47" i="7"/>
  <c r="R55" i="7" s="1"/>
  <c r="V45" i="7"/>
  <c r="V46" i="7" s="1"/>
  <c r="V47" i="7" s="1"/>
  <c r="G43" i="7"/>
  <c r="I43" i="7" s="1"/>
  <c r="G42" i="7"/>
  <c r="I42" i="7" s="1"/>
  <c r="G41" i="7"/>
  <c r="H41" i="7" s="1"/>
  <c r="J41" i="7" s="1"/>
  <c r="G40" i="7"/>
  <c r="H40" i="7" s="1"/>
  <c r="J40" i="7" s="1"/>
  <c r="H39" i="7"/>
  <c r="G38" i="7"/>
  <c r="AD37" i="7"/>
  <c r="AC37" i="7"/>
  <c r="G37" i="7"/>
  <c r="AD36" i="7"/>
  <c r="AC36" i="7"/>
  <c r="AG36" i="7" s="1"/>
  <c r="AH36" i="7" s="1"/>
  <c r="G36" i="7"/>
  <c r="AD35" i="7"/>
  <c r="AC35" i="7"/>
  <c r="AG35" i="7" s="1"/>
  <c r="AH35" i="7" s="1"/>
  <c r="G35" i="7"/>
  <c r="AD34" i="7"/>
  <c r="AC34" i="7"/>
  <c r="G34" i="7"/>
  <c r="AD33" i="7"/>
  <c r="AC33" i="7"/>
  <c r="G33" i="7"/>
  <c r="AD32" i="7"/>
  <c r="AC32" i="7"/>
  <c r="G32" i="7"/>
  <c r="AD31" i="7"/>
  <c r="AC31" i="7"/>
  <c r="AG31" i="7" s="1"/>
  <c r="AH31" i="7" s="1"/>
  <c r="G31" i="7"/>
  <c r="AD30" i="7"/>
  <c r="AC30" i="7"/>
  <c r="G30" i="7"/>
  <c r="AD29" i="7"/>
  <c r="AC29" i="7"/>
  <c r="I29" i="7"/>
  <c r="H29" i="7"/>
  <c r="J29" i="7" s="1"/>
  <c r="AD28" i="7"/>
  <c r="AC28" i="7"/>
  <c r="I28" i="7"/>
  <c r="H28" i="7"/>
  <c r="J28" i="7" s="1"/>
  <c r="AD27" i="7"/>
  <c r="AC27" i="7"/>
  <c r="G27" i="7"/>
  <c r="AD26" i="7"/>
  <c r="AC26" i="7"/>
  <c r="G26" i="7"/>
  <c r="AD25" i="7"/>
  <c r="AC25" i="7"/>
  <c r="AE25" i="7" s="1"/>
  <c r="AF25" i="7" s="1"/>
  <c r="G25" i="7"/>
  <c r="AD24" i="7"/>
  <c r="AC24" i="7"/>
  <c r="G24" i="7"/>
  <c r="AD23" i="7"/>
  <c r="AC23" i="7"/>
  <c r="G23" i="7"/>
  <c r="AD22" i="7"/>
  <c r="AC22" i="7"/>
  <c r="AG22" i="7" s="1"/>
  <c r="AH22" i="7" s="1"/>
  <c r="G22" i="7"/>
  <c r="AD21" i="7"/>
  <c r="AC21" i="7"/>
  <c r="AE21" i="7" s="1"/>
  <c r="AF21" i="7" s="1"/>
  <c r="G21" i="7"/>
  <c r="AD20" i="7"/>
  <c r="AC20" i="7"/>
  <c r="G20" i="7"/>
  <c r="AD19" i="7"/>
  <c r="AC19" i="7"/>
  <c r="G19" i="7"/>
  <c r="AD18" i="7"/>
  <c r="AC18" i="7"/>
  <c r="AG18" i="7" s="1"/>
  <c r="AH18" i="7" s="1"/>
  <c r="G18" i="7"/>
  <c r="AD17" i="7"/>
  <c r="AC17" i="7"/>
  <c r="AE17" i="7" s="1"/>
  <c r="AF17" i="7" s="1"/>
  <c r="I17" i="7"/>
  <c r="H17" i="7"/>
  <c r="J17" i="7" s="1"/>
  <c r="AD16" i="7"/>
  <c r="AC16" i="7"/>
  <c r="G16" i="7"/>
  <c r="AD15" i="7"/>
  <c r="AE15" i="7" s="1"/>
  <c r="AF15" i="7" s="1"/>
  <c r="AC15" i="7"/>
  <c r="G15" i="7"/>
  <c r="AD14" i="7"/>
  <c r="AC14" i="7"/>
  <c r="G14" i="7"/>
  <c r="AD13" i="7"/>
  <c r="AC13" i="7"/>
  <c r="I13" i="7"/>
  <c r="H13" i="7"/>
  <c r="J13" i="7" s="1"/>
  <c r="AD12" i="7"/>
  <c r="AC12" i="7"/>
  <c r="G12" i="7"/>
  <c r="AD11" i="7"/>
  <c r="AC11" i="7"/>
  <c r="AG11" i="7" s="1"/>
  <c r="AH11" i="7" s="1"/>
  <c r="I11" i="7"/>
  <c r="H11" i="7"/>
  <c r="J11" i="7" s="1"/>
  <c r="AD10" i="7"/>
  <c r="AC10" i="7"/>
  <c r="I10" i="7"/>
  <c r="H10" i="7"/>
  <c r="J10" i="7" s="1"/>
  <c r="AD9" i="7"/>
  <c r="AC9" i="7"/>
  <c r="I9" i="7"/>
  <c r="H9" i="7"/>
  <c r="J9" i="7" s="1"/>
  <c r="AD8" i="7"/>
  <c r="AC8" i="7"/>
  <c r="AG8" i="7" s="1"/>
  <c r="AH8" i="7" s="1"/>
  <c r="G8" i="7"/>
  <c r="AD7" i="7"/>
  <c r="AC7" i="7"/>
  <c r="G7" i="7"/>
  <c r="F7" i="7"/>
  <c r="E50" i="7" s="1"/>
  <c r="AD6" i="7"/>
  <c r="AC6" i="7"/>
  <c r="G6" i="7"/>
  <c r="AD5" i="7"/>
  <c r="AC5" i="7"/>
  <c r="I5" i="7"/>
  <c r="H5" i="7"/>
  <c r="J5" i="7" s="1"/>
  <c r="G1" i="7"/>
  <c r="M45" i="6"/>
  <c r="M46" i="6" s="1"/>
  <c r="M47" i="6" s="1"/>
  <c r="G1" i="6"/>
  <c r="I9" i="6"/>
  <c r="I10" i="6"/>
  <c r="I11" i="6"/>
  <c r="I13" i="6"/>
  <c r="I17" i="6"/>
  <c r="I28" i="6"/>
  <c r="I29" i="6"/>
  <c r="I5" i="6"/>
  <c r="H9" i="6"/>
  <c r="J9" i="6" s="1"/>
  <c r="H10" i="6"/>
  <c r="J10" i="6" s="1"/>
  <c r="H11" i="6"/>
  <c r="J11" i="6" s="1"/>
  <c r="H13" i="6"/>
  <c r="J13" i="6" s="1"/>
  <c r="H17" i="6"/>
  <c r="J17" i="6" s="1"/>
  <c r="H28" i="6"/>
  <c r="J28" i="6" s="1"/>
  <c r="H29" i="6"/>
  <c r="J29" i="6" s="1"/>
  <c r="H39" i="6"/>
  <c r="H5" i="6"/>
  <c r="J5" i="6" s="1"/>
  <c r="E59" i="6"/>
  <c r="M49" i="6" l="1"/>
  <c r="N49" i="6"/>
  <c r="I8" i="7"/>
  <c r="U8" i="7"/>
  <c r="I16" i="7"/>
  <c r="U16" i="7"/>
  <c r="I35" i="7"/>
  <c r="U35" i="7"/>
  <c r="H15" i="7"/>
  <c r="J15" i="7" s="1"/>
  <c r="U15" i="7"/>
  <c r="I20" i="7"/>
  <c r="U20" i="7"/>
  <c r="I24" i="7"/>
  <c r="U24" i="7"/>
  <c r="H30" i="7"/>
  <c r="J30" i="7" s="1"/>
  <c r="U30" i="7"/>
  <c r="H34" i="7"/>
  <c r="J34" i="7" s="1"/>
  <c r="U34" i="7"/>
  <c r="H38" i="7"/>
  <c r="J38" i="7" s="1"/>
  <c r="U38" i="7"/>
  <c r="I12" i="7"/>
  <c r="U12" i="7"/>
  <c r="I18" i="7"/>
  <c r="U18" i="7"/>
  <c r="I22" i="7"/>
  <c r="U22" i="7"/>
  <c r="I26" i="7"/>
  <c r="U26" i="7"/>
  <c r="H32" i="7"/>
  <c r="J32" i="7" s="1"/>
  <c r="U32" i="7"/>
  <c r="H36" i="7"/>
  <c r="J36" i="7" s="1"/>
  <c r="U36" i="7"/>
  <c r="I21" i="7"/>
  <c r="U21" i="7"/>
  <c r="I25" i="7"/>
  <c r="U25" i="7"/>
  <c r="I31" i="7"/>
  <c r="U31" i="7"/>
  <c r="I6" i="7"/>
  <c r="U6" i="7"/>
  <c r="H7" i="7"/>
  <c r="J7" i="7" s="1"/>
  <c r="U7" i="7"/>
  <c r="I14" i="7"/>
  <c r="U14" i="7"/>
  <c r="I19" i="7"/>
  <c r="U19" i="7"/>
  <c r="I23" i="7"/>
  <c r="U23" i="7"/>
  <c r="I27" i="7"/>
  <c r="U27" i="7"/>
  <c r="I33" i="7"/>
  <c r="U33" i="7"/>
  <c r="I37" i="7"/>
  <c r="U37" i="7"/>
  <c r="AG6" i="7"/>
  <c r="AH6" i="7" s="1"/>
  <c r="AG7" i="7"/>
  <c r="AH7" i="7" s="1"/>
  <c r="AE32" i="7"/>
  <c r="AF32" i="7" s="1"/>
  <c r="AE5" i="7"/>
  <c r="AF5" i="7" s="1"/>
  <c r="AG24" i="7"/>
  <c r="AH24" i="7" s="1"/>
  <c r="AG30" i="7"/>
  <c r="AH30" i="7" s="1"/>
  <c r="AG34" i="7"/>
  <c r="AH34" i="7" s="1"/>
  <c r="I41" i="7"/>
  <c r="AE7" i="7"/>
  <c r="AF7" i="7" s="1"/>
  <c r="AE23" i="7"/>
  <c r="AF23" i="7" s="1"/>
  <c r="AG29" i="7"/>
  <c r="AH29" i="7" s="1"/>
  <c r="AG37" i="7"/>
  <c r="AH37" i="7" s="1"/>
  <c r="AE13" i="7"/>
  <c r="AF13" i="7" s="1"/>
  <c r="AE36" i="7"/>
  <c r="AF36" i="7" s="1"/>
  <c r="H6" i="7"/>
  <c r="J6" i="7" s="1"/>
  <c r="AE10" i="7"/>
  <c r="AF10" i="7" s="1"/>
  <c r="H24" i="7"/>
  <c r="J24" i="7" s="1"/>
  <c r="H25" i="7"/>
  <c r="J25" i="7" s="1"/>
  <c r="AG26" i="7"/>
  <c r="AH26" i="7" s="1"/>
  <c r="AE28" i="7"/>
  <c r="AF28" i="7" s="1"/>
  <c r="AG32" i="7"/>
  <c r="AH32" i="7" s="1"/>
  <c r="AG33" i="7"/>
  <c r="AH33" i="7" s="1"/>
  <c r="I38" i="7"/>
  <c r="H22" i="7"/>
  <c r="J22" i="7" s="1"/>
  <c r="H27" i="7"/>
  <c r="J27" i="7" s="1"/>
  <c r="I15" i="7"/>
  <c r="H20" i="7"/>
  <c r="J20" i="7" s="1"/>
  <c r="AE30" i="7"/>
  <c r="AF30" i="7" s="1"/>
  <c r="AE34" i="7"/>
  <c r="AF34" i="7" s="1"/>
  <c r="E48" i="7"/>
  <c r="G48" i="7" s="1"/>
  <c r="H43" i="7"/>
  <c r="J43" i="7" s="1"/>
  <c r="I7" i="7"/>
  <c r="AE11" i="7"/>
  <c r="AF11" i="7" s="1"/>
  <c r="H26" i="7"/>
  <c r="J26" i="7" s="1"/>
  <c r="H31" i="7"/>
  <c r="J31" i="7" s="1"/>
  <c r="I32" i="7"/>
  <c r="H35" i="7"/>
  <c r="J35" i="7" s="1"/>
  <c r="I36" i="7"/>
  <c r="AE9" i="7"/>
  <c r="AF9" i="7" s="1"/>
  <c r="AG10" i="7"/>
  <c r="AH10" i="7" s="1"/>
  <c r="AE12" i="7"/>
  <c r="AF12" i="7" s="1"/>
  <c r="AG13" i="7"/>
  <c r="AH13" i="7" s="1"/>
  <c r="AG14" i="7"/>
  <c r="AH14" i="7" s="1"/>
  <c r="AG15" i="7"/>
  <c r="AH15" i="7" s="1"/>
  <c r="AE16" i="7"/>
  <c r="AF16" i="7" s="1"/>
  <c r="H18" i="7"/>
  <c r="J18" i="7" s="1"/>
  <c r="AE19" i="7"/>
  <c r="AF19" i="7" s="1"/>
  <c r="AG20" i="7"/>
  <c r="AH20" i="7" s="1"/>
  <c r="AE27" i="7"/>
  <c r="AF27" i="7" s="1"/>
  <c r="AG28" i="7"/>
  <c r="AH28" i="7" s="1"/>
  <c r="I30" i="7"/>
  <c r="H33" i="7"/>
  <c r="J33" i="7" s="1"/>
  <c r="I34" i="7"/>
  <c r="H37" i="7"/>
  <c r="J37" i="7" s="1"/>
  <c r="H42" i="7"/>
  <c r="J42" i="7" s="1"/>
  <c r="W49" i="7"/>
  <c r="V49" i="7"/>
  <c r="E49" i="7"/>
  <c r="G49" i="7" s="1"/>
  <c r="E54" i="7"/>
  <c r="E51" i="7"/>
  <c r="E52" i="7" s="1"/>
  <c r="I40" i="7"/>
  <c r="AG5" i="7"/>
  <c r="AH5" i="7" s="1"/>
  <c r="AE6" i="7"/>
  <c r="AF6" i="7" s="1"/>
  <c r="H8" i="7"/>
  <c r="J8" i="7" s="1"/>
  <c r="AG9" i="7"/>
  <c r="AH9" i="7" s="1"/>
  <c r="AG12" i="7"/>
  <c r="AH12" i="7" s="1"/>
  <c r="H14" i="7"/>
  <c r="J14" i="7" s="1"/>
  <c r="H16" i="7"/>
  <c r="J16" i="7" s="1"/>
  <c r="AG17" i="7"/>
  <c r="AH17" i="7" s="1"/>
  <c r="AE18" i="7"/>
  <c r="AF18" i="7" s="1"/>
  <c r="AG19" i="7"/>
  <c r="AH19" i="7" s="1"/>
  <c r="AE20" i="7"/>
  <c r="AF20" i="7" s="1"/>
  <c r="AG21" i="7"/>
  <c r="AH21" i="7" s="1"/>
  <c r="AE22" i="7"/>
  <c r="AF22" i="7" s="1"/>
  <c r="AG23" i="7"/>
  <c r="AH23" i="7" s="1"/>
  <c r="AE24" i="7"/>
  <c r="AF24" i="7" s="1"/>
  <c r="AG25" i="7"/>
  <c r="AH25" i="7" s="1"/>
  <c r="AE26" i="7"/>
  <c r="AF26" i="7" s="1"/>
  <c r="AG27" i="7"/>
  <c r="AH27" i="7" s="1"/>
  <c r="AE29" i="7"/>
  <c r="AF29" i="7" s="1"/>
  <c r="AE31" i="7"/>
  <c r="AF31" i="7" s="1"/>
  <c r="AE33" i="7"/>
  <c r="AF33" i="7" s="1"/>
  <c r="AE35" i="7"/>
  <c r="AF35" i="7" s="1"/>
  <c r="AE37" i="7"/>
  <c r="AF37" i="7" s="1"/>
  <c r="AG16" i="7"/>
  <c r="AH16" i="7" s="1"/>
  <c r="AE8" i="7"/>
  <c r="AF8" i="7" s="1"/>
  <c r="H12" i="7"/>
  <c r="J12" i="7" s="1"/>
  <c r="AE14" i="7"/>
  <c r="AF14" i="7" s="1"/>
  <c r="H19" i="7"/>
  <c r="J19" i="7" s="1"/>
  <c r="H21" i="7"/>
  <c r="J21" i="7" s="1"/>
  <c r="H23" i="7"/>
  <c r="J23" i="7" s="1"/>
  <c r="E47" i="6"/>
  <c r="G42" i="6"/>
  <c r="G43" i="6"/>
  <c r="G41" i="6"/>
  <c r="E60" i="7" l="1"/>
  <c r="E55" i="7"/>
  <c r="E56" i="7" s="1"/>
  <c r="H43" i="6"/>
  <c r="J43" i="6" s="1"/>
  <c r="I43" i="6"/>
  <c r="H42" i="6"/>
  <c r="J42" i="6" s="1"/>
  <c r="I42" i="6"/>
  <c r="H40" i="6"/>
  <c r="J40" i="6" s="1"/>
  <c r="I40" i="6"/>
  <c r="H41" i="6"/>
  <c r="J41" i="6" s="1"/>
  <c r="I41" i="6"/>
  <c r="G38" i="6" l="1"/>
  <c r="T33" i="6"/>
  <c r="U33" i="6"/>
  <c r="X33" i="6" s="1"/>
  <c r="Y33" i="6" s="1"/>
  <c r="T34" i="6"/>
  <c r="U34" i="6"/>
  <c r="T35" i="6"/>
  <c r="U35" i="6"/>
  <c r="T36" i="6"/>
  <c r="U36" i="6"/>
  <c r="T37" i="6"/>
  <c r="U37" i="6"/>
  <c r="G37" i="6"/>
  <c r="G36" i="6"/>
  <c r="G35" i="6"/>
  <c r="G34" i="6"/>
  <c r="G33" i="6"/>
  <c r="G32" i="6"/>
  <c r="T32" i="6"/>
  <c r="U32" i="6"/>
  <c r="G31" i="6"/>
  <c r="T31" i="6"/>
  <c r="U31" i="6"/>
  <c r="G30" i="6"/>
  <c r="T30" i="6"/>
  <c r="U30" i="6"/>
  <c r="T29" i="6"/>
  <c r="U29" i="6"/>
  <c r="T27" i="6"/>
  <c r="U27" i="6"/>
  <c r="T28" i="6"/>
  <c r="U28" i="6"/>
  <c r="G27" i="6"/>
  <c r="G26" i="6"/>
  <c r="T26" i="6"/>
  <c r="U26" i="6"/>
  <c r="G25" i="6"/>
  <c r="T25" i="6"/>
  <c r="U25" i="6"/>
  <c r="G24" i="6"/>
  <c r="T24" i="6"/>
  <c r="U24" i="6"/>
  <c r="G23" i="6"/>
  <c r="T23" i="6"/>
  <c r="U23" i="6"/>
  <c r="T21" i="6"/>
  <c r="U21" i="6"/>
  <c r="T22" i="6"/>
  <c r="U22" i="6"/>
  <c r="G22" i="6"/>
  <c r="G21" i="6"/>
  <c r="G20" i="6"/>
  <c r="T20" i="6"/>
  <c r="U20" i="6"/>
  <c r="T19" i="6"/>
  <c r="U19" i="6"/>
  <c r="G19" i="6"/>
  <c r="G18" i="6"/>
  <c r="T18" i="6"/>
  <c r="U18" i="6"/>
  <c r="T17" i="6"/>
  <c r="U17" i="6"/>
  <c r="G16" i="6"/>
  <c r="T16" i="6"/>
  <c r="U16" i="6"/>
  <c r="G15" i="6"/>
  <c r="T15" i="6"/>
  <c r="U15" i="6"/>
  <c r="T14" i="6"/>
  <c r="U14" i="6"/>
  <c r="G14" i="6"/>
  <c r="T13" i="6"/>
  <c r="U13" i="6"/>
  <c r="G12" i="6"/>
  <c r="T12" i="6"/>
  <c r="U12" i="6"/>
  <c r="T11" i="6"/>
  <c r="U11" i="6"/>
  <c r="T10" i="6"/>
  <c r="U10" i="6"/>
  <c r="T9" i="6"/>
  <c r="U9" i="6"/>
  <c r="G8" i="6"/>
  <c r="T8" i="6"/>
  <c r="U8" i="6"/>
  <c r="F7" i="6"/>
  <c r="G7" i="6"/>
  <c r="T7" i="6"/>
  <c r="U7" i="6"/>
  <c r="T6" i="6"/>
  <c r="U6" i="6"/>
  <c r="U5" i="6"/>
  <c r="T5" i="6"/>
  <c r="G6" i="6"/>
  <c r="L36" i="5"/>
  <c r="K36" i="5"/>
  <c r="I37" i="5"/>
  <c r="K37" i="5" s="1"/>
  <c r="L37" i="5" s="1"/>
  <c r="I38" i="5"/>
  <c r="K38" i="5" s="1"/>
  <c r="L38" i="5" s="1"/>
  <c r="I39" i="5"/>
  <c r="K39" i="5" s="1"/>
  <c r="L39" i="5" s="1"/>
  <c r="I40" i="5"/>
  <c r="K40" i="5" s="1"/>
  <c r="L40" i="5" s="1"/>
  <c r="I41" i="5"/>
  <c r="K41" i="5" s="1"/>
  <c r="L41" i="5" s="1"/>
  <c r="I42" i="5"/>
  <c r="K42" i="5" s="1"/>
  <c r="L42" i="5" s="1"/>
  <c r="I43" i="5"/>
  <c r="K43" i="5" s="1"/>
  <c r="L43" i="5" s="1"/>
  <c r="I44" i="5"/>
  <c r="K44" i="5" s="1"/>
  <c r="L44" i="5" s="1"/>
  <c r="I45" i="5"/>
  <c r="K45" i="5" s="1"/>
  <c r="L45" i="5" s="1"/>
  <c r="I46" i="5"/>
  <c r="K46" i="5" s="1"/>
  <c r="L46" i="5" s="1"/>
  <c r="I47" i="5"/>
  <c r="K47" i="5" s="1"/>
  <c r="L47" i="5" s="1"/>
  <c r="I48" i="5"/>
  <c r="K48" i="5" s="1"/>
  <c r="L48" i="5" s="1"/>
  <c r="I36" i="5"/>
  <c r="H7" i="6" l="1"/>
  <c r="J7" i="6" s="1"/>
  <c r="I7" i="6"/>
  <c r="H8" i="6"/>
  <c r="J8" i="6" s="1"/>
  <c r="I8" i="6"/>
  <c r="H14" i="6"/>
  <c r="J14" i="6" s="1"/>
  <c r="I14" i="6"/>
  <c r="H16" i="6"/>
  <c r="J16" i="6" s="1"/>
  <c r="I16" i="6"/>
  <c r="H21" i="6"/>
  <c r="J21" i="6" s="1"/>
  <c r="I21" i="6"/>
  <c r="H23" i="6"/>
  <c r="J23" i="6" s="1"/>
  <c r="I23" i="6"/>
  <c r="H30" i="6"/>
  <c r="J30" i="6" s="1"/>
  <c r="I30" i="6"/>
  <c r="H34" i="6"/>
  <c r="J34" i="6" s="1"/>
  <c r="I34" i="6"/>
  <c r="H6" i="6"/>
  <c r="J6" i="6" s="1"/>
  <c r="I6" i="6"/>
  <c r="E50" i="6"/>
  <c r="H12" i="6"/>
  <c r="J12" i="6" s="1"/>
  <c r="I12" i="6"/>
  <c r="H15" i="6"/>
  <c r="J15" i="6" s="1"/>
  <c r="I15" i="6"/>
  <c r="H18" i="6"/>
  <c r="J18" i="6" s="1"/>
  <c r="I18" i="6"/>
  <c r="H22" i="6"/>
  <c r="J22" i="6" s="1"/>
  <c r="I22" i="6"/>
  <c r="H26" i="6"/>
  <c r="J26" i="6" s="1"/>
  <c r="I26" i="6"/>
  <c r="H35" i="6"/>
  <c r="J35" i="6" s="1"/>
  <c r="I35" i="6"/>
  <c r="H19" i="6"/>
  <c r="J19" i="6" s="1"/>
  <c r="I19" i="6"/>
  <c r="H25" i="6"/>
  <c r="J25" i="6" s="1"/>
  <c r="I25" i="6"/>
  <c r="H27" i="6"/>
  <c r="J27" i="6" s="1"/>
  <c r="I27" i="6"/>
  <c r="H32" i="6"/>
  <c r="J32" i="6" s="1"/>
  <c r="I32" i="6"/>
  <c r="H36" i="6"/>
  <c r="J36" i="6" s="1"/>
  <c r="I36" i="6"/>
  <c r="H38" i="6"/>
  <c r="J38" i="6" s="1"/>
  <c r="I38" i="6"/>
  <c r="H20" i="6"/>
  <c r="J20" i="6" s="1"/>
  <c r="I20" i="6"/>
  <c r="H24" i="6"/>
  <c r="J24" i="6" s="1"/>
  <c r="I24" i="6"/>
  <c r="H31" i="6"/>
  <c r="J31" i="6" s="1"/>
  <c r="I31" i="6"/>
  <c r="H33" i="6"/>
  <c r="J33" i="6" s="1"/>
  <c r="I33" i="6"/>
  <c r="H37" i="6"/>
  <c r="J37" i="6" s="1"/>
  <c r="I37" i="6"/>
  <c r="X10" i="6"/>
  <c r="Y10" i="6" s="1"/>
  <c r="X18" i="6"/>
  <c r="Y18" i="6" s="1"/>
  <c r="X37" i="6"/>
  <c r="Y37" i="6" s="1"/>
  <c r="V17" i="6"/>
  <c r="W17" i="6" s="1"/>
  <c r="X36" i="6"/>
  <c r="Y36" i="6" s="1"/>
  <c r="X17" i="6"/>
  <c r="Y17" i="6" s="1"/>
  <c r="V22" i="6"/>
  <c r="W22" i="6" s="1"/>
  <c r="V5" i="6"/>
  <c r="W5" i="6" s="1"/>
  <c r="X21" i="6"/>
  <c r="Y21" i="6" s="1"/>
  <c r="X25" i="6"/>
  <c r="Y25" i="6" s="1"/>
  <c r="V9" i="6"/>
  <c r="W9" i="6" s="1"/>
  <c r="V35" i="6"/>
  <c r="W35" i="6" s="1"/>
  <c r="V19" i="6"/>
  <c r="W19" i="6" s="1"/>
  <c r="V32" i="6"/>
  <c r="W32" i="6" s="1"/>
  <c r="V33" i="6"/>
  <c r="W33" i="6" s="1"/>
  <c r="V13" i="6"/>
  <c r="W13" i="6" s="1"/>
  <c r="X26" i="6"/>
  <c r="Y26" i="6" s="1"/>
  <c r="V30" i="6"/>
  <c r="W30" i="6" s="1"/>
  <c r="X35" i="6"/>
  <c r="Y35" i="6" s="1"/>
  <c r="V7" i="6"/>
  <c r="W7" i="6" s="1"/>
  <c r="V27" i="6"/>
  <c r="W27" i="6" s="1"/>
  <c r="V31" i="6"/>
  <c r="W31" i="6" s="1"/>
  <c r="X11" i="6"/>
  <c r="Y11" i="6" s="1"/>
  <c r="X15" i="6"/>
  <c r="Y15" i="6" s="1"/>
  <c r="X23" i="6"/>
  <c r="Y23" i="6" s="1"/>
  <c r="X27" i="6"/>
  <c r="Y27" i="6" s="1"/>
  <c r="X29" i="6"/>
  <c r="Y29" i="6" s="1"/>
  <c r="X32" i="6"/>
  <c r="Y32" i="6" s="1"/>
  <c r="V37" i="6"/>
  <c r="W37" i="6" s="1"/>
  <c r="V34" i="6"/>
  <c r="W34" i="6" s="1"/>
  <c r="X13" i="6"/>
  <c r="Y13" i="6" s="1"/>
  <c r="V15" i="6"/>
  <c r="W15" i="6" s="1"/>
  <c r="V28" i="6"/>
  <c r="W28" i="6" s="1"/>
  <c r="X31" i="6"/>
  <c r="Y31" i="6" s="1"/>
  <c r="E48" i="6"/>
  <c r="E49" i="6" s="1"/>
  <c r="V8" i="6"/>
  <c r="W8" i="6" s="1"/>
  <c r="V11" i="6"/>
  <c r="W11" i="6" s="1"/>
  <c r="V14" i="6"/>
  <c r="W14" i="6" s="1"/>
  <c r="X19" i="6"/>
  <c r="Y19" i="6" s="1"/>
  <c r="X22" i="6"/>
  <c r="Y22" i="6" s="1"/>
  <c r="V21" i="6"/>
  <c r="W21" i="6" s="1"/>
  <c r="V23" i="6"/>
  <c r="W23" i="6" s="1"/>
  <c r="V24" i="6"/>
  <c r="W24" i="6" s="1"/>
  <c r="V25" i="6"/>
  <c r="W25" i="6" s="1"/>
  <c r="X34" i="6"/>
  <c r="Y34" i="6" s="1"/>
  <c r="X8" i="6"/>
  <c r="Y8" i="6" s="1"/>
  <c r="X12" i="6"/>
  <c r="Y12" i="6" s="1"/>
  <c r="V18" i="6"/>
  <c r="W18" i="6" s="1"/>
  <c r="V29" i="6"/>
  <c r="W29" i="6" s="1"/>
  <c r="V36" i="6"/>
  <c r="W36" i="6" s="1"/>
  <c r="X30" i="6"/>
  <c r="Y30" i="6" s="1"/>
  <c r="X28" i="6"/>
  <c r="Y28" i="6" s="1"/>
  <c r="V26" i="6"/>
  <c r="W26" i="6" s="1"/>
  <c r="X24" i="6"/>
  <c r="Y24" i="6" s="1"/>
  <c r="V20" i="6"/>
  <c r="W20" i="6" s="1"/>
  <c r="X20" i="6"/>
  <c r="Y20" i="6" s="1"/>
  <c r="V16" i="6"/>
  <c r="W16" i="6" s="1"/>
  <c r="X16" i="6"/>
  <c r="Y16" i="6" s="1"/>
  <c r="X14" i="6"/>
  <c r="Y14" i="6" s="1"/>
  <c r="V12" i="6"/>
  <c r="W12" i="6" s="1"/>
  <c r="V6" i="6"/>
  <c r="W6" i="6" s="1"/>
  <c r="X7" i="6"/>
  <c r="Y7" i="6" s="1"/>
  <c r="X9" i="6"/>
  <c r="Y9" i="6" s="1"/>
  <c r="V10" i="6"/>
  <c r="W10" i="6" s="1"/>
  <c r="X6" i="6"/>
  <c r="Y6" i="6" s="1"/>
  <c r="X5" i="6"/>
  <c r="Y5" i="6" s="1"/>
  <c r="I49" i="5"/>
  <c r="E54" i="6" l="1"/>
  <c r="E51" i="6"/>
  <c r="E52" i="6" s="1"/>
  <c r="E60" i="6"/>
  <c r="E55" i="6"/>
  <c r="E56" i="6" s="1"/>
  <c r="G49" i="6"/>
  <c r="G48" i="6"/>
  <c r="T11" i="5"/>
  <c r="T12" i="5"/>
  <c r="T13" i="5"/>
  <c r="T14" i="5"/>
  <c r="T15" i="5"/>
  <c r="T16" i="5"/>
  <c r="T17" i="5"/>
  <c r="T18" i="5"/>
  <c r="T19" i="5"/>
  <c r="T20" i="5"/>
  <c r="T21" i="5"/>
  <c r="T22" i="5"/>
  <c r="T23" i="5"/>
  <c r="T24" i="5"/>
  <c r="T25" i="5"/>
  <c r="T26" i="5"/>
  <c r="T27" i="5"/>
  <c r="T28" i="5"/>
  <c r="T29" i="5"/>
  <c r="T10" i="5"/>
  <c r="W22" i="5"/>
  <c r="W23" i="5"/>
  <c r="W24" i="5"/>
  <c r="W25" i="5"/>
  <c r="W26" i="5"/>
  <c r="W27" i="5"/>
  <c r="W28" i="5"/>
  <c r="W21" i="5" l="1"/>
  <c r="W20" i="5"/>
  <c r="M18" i="4"/>
  <c r="W18" i="5"/>
  <c r="W17" i="5"/>
  <c r="W16" i="5"/>
  <c r="W15" i="5"/>
  <c r="W14" i="5"/>
  <c r="W11" i="5"/>
  <c r="U19" i="5"/>
  <c r="W19" i="5" s="1"/>
  <c r="U13" i="5"/>
  <c r="W13" i="5" s="1"/>
  <c r="U12" i="5"/>
  <c r="W12" i="5" s="1"/>
  <c r="U10" i="5"/>
  <c r="W10" i="5" s="1"/>
  <c r="V122" i="4"/>
  <c r="U122" i="4"/>
  <c r="V121" i="4"/>
  <c r="U121" i="4"/>
  <c r="V120" i="4"/>
  <c r="U120" i="4"/>
  <c r="V119" i="4"/>
  <c r="U119" i="4"/>
  <c r="V118" i="4"/>
  <c r="U118" i="4"/>
  <c r="V117" i="4"/>
  <c r="U117" i="4"/>
  <c r="V113" i="4"/>
  <c r="U113" i="4"/>
  <c r="V112" i="4"/>
  <c r="U112" i="4"/>
  <c r="V111" i="4"/>
  <c r="U111" i="4"/>
  <c r="V110" i="4"/>
  <c r="U110" i="4"/>
  <c r="V109" i="4"/>
  <c r="U109" i="4"/>
  <c r="V108" i="4"/>
  <c r="U108" i="4"/>
  <c r="T87" i="4"/>
  <c r="U87" i="4" s="1"/>
  <c r="R87" i="4"/>
  <c r="S87" i="4" s="1"/>
  <c r="T86" i="4"/>
  <c r="R86" i="4"/>
  <c r="S84" i="4" s="1"/>
  <c r="T84" i="4"/>
  <c r="U84" i="4" s="1"/>
  <c r="T83" i="4"/>
  <c r="U83" i="4" s="1"/>
  <c r="R83" i="4"/>
  <c r="S83" i="4" s="1"/>
  <c r="T82" i="4"/>
  <c r="U82" i="4" s="1"/>
  <c r="R82" i="4"/>
  <c r="S82" i="4" s="1"/>
  <c r="T81" i="4"/>
  <c r="U81" i="4" s="1"/>
  <c r="R81" i="4"/>
  <c r="S81" i="4" s="1"/>
  <c r="U80" i="4"/>
  <c r="S80" i="4"/>
  <c r="R80" i="4"/>
  <c r="T79" i="4"/>
  <c r="U79" i="4" s="1"/>
  <c r="S79" i="4"/>
  <c r="R79" i="4"/>
  <c r="T78" i="4"/>
  <c r="U78" i="4" s="1"/>
  <c r="S78" i="4"/>
  <c r="R78" i="4"/>
  <c r="T77" i="4"/>
  <c r="U77" i="4" s="1"/>
  <c r="S77" i="4"/>
  <c r="R77" i="4"/>
  <c r="R85" i="4" s="1"/>
  <c r="S85" i="4" s="1"/>
  <c r="T72" i="4"/>
  <c r="U68" i="4" s="1"/>
  <c r="R71" i="4"/>
  <c r="R72" i="4" s="1"/>
  <c r="T70" i="4"/>
  <c r="U70" i="4" s="1"/>
  <c r="T69" i="4"/>
  <c r="U69" i="4" s="1"/>
  <c r="L69" i="4"/>
  <c r="T68" i="4"/>
  <c r="L61" i="4"/>
  <c r="R48" i="4"/>
  <c r="R47" i="4"/>
  <c r="R46" i="4"/>
  <c r="R45" i="4"/>
  <c r="R49" i="4" s="1"/>
  <c r="T62" i="4"/>
  <c r="R62" i="4"/>
  <c r="T19" i="4"/>
  <c r="S19" i="4"/>
  <c r="T18" i="4"/>
  <c r="N84" i="4" s="1"/>
  <c r="O84" i="4" s="1"/>
  <c r="S18" i="4"/>
  <c r="L84" i="4" s="1"/>
  <c r="N61" i="4"/>
  <c r="T17" i="4"/>
  <c r="N17" i="4"/>
  <c r="S17" i="4"/>
  <c r="T16" i="4"/>
  <c r="S16" i="4"/>
  <c r="T15" i="4"/>
  <c r="S15" i="4"/>
  <c r="T14" i="4"/>
  <c r="N60" i="4"/>
  <c r="L60" i="4"/>
  <c r="T13" i="4"/>
  <c r="N82" i="4" s="1"/>
  <c r="O82" i="4" s="1"/>
  <c r="N59" i="4"/>
  <c r="S13" i="4"/>
  <c r="L82" i="4" s="1"/>
  <c r="T12" i="4"/>
  <c r="N81" i="4" s="1"/>
  <c r="O81" i="4" s="1"/>
  <c r="N58" i="4"/>
  <c r="L58" i="4"/>
  <c r="T11" i="4"/>
  <c r="N80" i="4" s="1"/>
  <c r="O80" i="4" s="1"/>
  <c r="N57" i="4"/>
  <c r="L57" i="4"/>
  <c r="T10" i="4"/>
  <c r="N79" i="4" s="1"/>
  <c r="O79" i="4" s="1"/>
  <c r="N56" i="4"/>
  <c r="L56" i="4"/>
  <c r="T9" i="4"/>
  <c r="N78" i="4" s="1"/>
  <c r="O78" i="4" s="1"/>
  <c r="N9" i="4"/>
  <c r="N55" i="4"/>
  <c r="L68" i="4"/>
  <c r="T8" i="4"/>
  <c r="N8" i="4"/>
  <c r="S8" i="4"/>
  <c r="T7" i="4"/>
  <c r="S7" i="4"/>
  <c r="N7" i="4"/>
  <c r="N70" i="4"/>
  <c r="T6" i="4"/>
  <c r="S6" i="4"/>
  <c r="T5" i="4"/>
  <c r="N77" i="4" s="1"/>
  <c r="N5" i="4"/>
  <c r="L54" i="4"/>
  <c r="N88" i="4"/>
  <c r="O88" i="4" s="1"/>
  <c r="N83" i="4" l="1"/>
  <c r="O83" i="4" s="1"/>
  <c r="T63" i="4"/>
  <c r="S48" i="4"/>
  <c r="S47" i="4"/>
  <c r="S46" i="4"/>
  <c r="S45" i="4"/>
  <c r="R63" i="4"/>
  <c r="S68" i="4"/>
  <c r="S69" i="4"/>
  <c r="S71" i="4"/>
  <c r="S70" i="4"/>
  <c r="K5" i="4" a="1"/>
  <c r="S10" i="4"/>
  <c r="L79" i="4" s="1"/>
  <c r="S11" i="4"/>
  <c r="L80" i="4" s="1"/>
  <c r="N69" i="4"/>
  <c r="T85" i="4"/>
  <c r="U85" i="4" s="1"/>
  <c r="N86" i="4"/>
  <c r="O86" i="4" s="1"/>
  <c r="S5" i="4"/>
  <c r="S12" i="4"/>
  <c r="L81" i="4" s="1"/>
  <c r="L4" i="4"/>
  <c r="S9" i="4"/>
  <c r="L78" i="4" s="1"/>
  <c r="S14" i="4"/>
  <c r="L83" i="4" s="1"/>
  <c r="N54" i="4"/>
  <c r="L55" i="4"/>
  <c r="L62" i="4" s="1"/>
  <c r="L59" i="4"/>
  <c r="N68" i="4"/>
  <c r="L70" i="4"/>
  <c r="T71" i="4"/>
  <c r="U71" i="4" s="1"/>
  <c r="U72" i="4" s="1"/>
  <c r="N87" i="4"/>
  <c r="O87" i="4" s="1"/>
  <c r="K14" i="4" a="1"/>
  <c r="L87" i="4" l="1"/>
  <c r="M87" i="4" s="1"/>
  <c r="M61" i="4"/>
  <c r="M56" i="4"/>
  <c r="M58" i="4"/>
  <c r="M57" i="4"/>
  <c r="M54" i="4"/>
  <c r="M60" i="4"/>
  <c r="S60" i="4"/>
  <c r="S58" i="4"/>
  <c r="S56" i="4"/>
  <c r="S54" i="4"/>
  <c r="S61" i="4"/>
  <c r="S59" i="4"/>
  <c r="S57" i="4"/>
  <c r="S55" i="4"/>
  <c r="U61" i="4"/>
  <c r="U59" i="4"/>
  <c r="U57" i="4"/>
  <c r="U55" i="4"/>
  <c r="U60" i="4"/>
  <c r="U58" i="4"/>
  <c r="U56" i="4"/>
  <c r="U54" i="4"/>
  <c r="K14" i="4"/>
  <c r="N62" i="4"/>
  <c r="L5" i="4" a="1"/>
  <c r="L5" i="4" s="1"/>
  <c r="L14" i="4" a="1"/>
  <c r="L14" i="4" s="1"/>
  <c r="N71" i="4"/>
  <c r="O70" i="4" s="1"/>
  <c r="L71" i="4"/>
  <c r="U62" i="4"/>
  <c r="M10" i="4"/>
  <c r="O10" i="4" s="1"/>
  <c r="K5" i="4"/>
  <c r="S72" i="4"/>
  <c r="M59" i="4"/>
  <c r="L86" i="4"/>
  <c r="M79" i="4" s="1"/>
  <c r="L77" i="4"/>
  <c r="M77" i="4" s="1"/>
  <c r="M55" i="4"/>
  <c r="L88" i="4"/>
  <c r="M88" i="4" s="1"/>
  <c r="S62" i="4"/>
  <c r="S49" i="4"/>
  <c r="O77" i="4"/>
  <c r="O69" i="4" l="1"/>
  <c r="M8" i="4"/>
  <c r="O8" i="4" s="1"/>
  <c r="O68" i="4"/>
  <c r="M86" i="4"/>
  <c r="M84" i="4"/>
  <c r="M82" i="4"/>
  <c r="M13" i="4"/>
  <c r="O13" i="4" s="1"/>
  <c r="M12" i="4"/>
  <c r="O12" i="4" s="1"/>
  <c r="M11" i="4"/>
  <c r="O11" i="4" s="1"/>
  <c r="M81" i="4"/>
  <c r="M78" i="4"/>
  <c r="M83" i="4"/>
  <c r="M6" i="4"/>
  <c r="O6" i="4" s="1"/>
  <c r="M7" i="4"/>
  <c r="O7" i="4" s="1"/>
  <c r="O71" i="4"/>
  <c r="O57" i="4"/>
  <c r="O60" i="4"/>
  <c r="O59" i="4"/>
  <c r="O58" i="4"/>
  <c r="O61" i="4"/>
  <c r="O55" i="4"/>
  <c r="O56" i="4"/>
  <c r="M16" i="4"/>
  <c r="O16" i="4" s="1"/>
  <c r="U63" i="4"/>
  <c r="S63" i="4"/>
  <c r="M80" i="4"/>
  <c r="M5" i="4"/>
  <c r="M9" i="4"/>
  <c r="O9" i="4" s="1"/>
  <c r="M69" i="4"/>
  <c r="M68" i="4"/>
  <c r="O54" i="4"/>
  <c r="M19" i="4"/>
  <c r="M70" i="4"/>
  <c r="M15" i="4"/>
  <c r="O15" i="4" s="1"/>
  <c r="M14" i="4"/>
  <c r="O14" i="4" s="1"/>
  <c r="M17" i="4"/>
  <c r="O17" i="4" s="1"/>
  <c r="M62" i="4"/>
  <c r="J25" i="3"/>
  <c r="C25" i="3"/>
  <c r="J24" i="3"/>
  <c r="C24" i="3"/>
  <c r="H15" i="2"/>
  <c r="H14" i="2"/>
  <c r="H12" i="2"/>
  <c r="H11" i="2"/>
  <c r="C29" i="2" s="1"/>
  <c r="H10" i="2"/>
  <c r="H8" i="2"/>
  <c r="H7" i="2"/>
  <c r="H6" i="2"/>
  <c r="C30" i="2" s="1"/>
  <c r="O62" i="4" l="1"/>
  <c r="L24" i="4"/>
  <c r="L23" i="4"/>
  <c r="O5" i="4"/>
  <c r="L22" i="4"/>
  <c r="M71" i="4"/>
  <c r="O19" i="4"/>
  <c r="O18" i="4"/>
  <c r="L25" i="4" l="1"/>
  <c r="L48" i="4"/>
  <c r="L47" i="4"/>
  <c r="L46" i="4"/>
  <c r="L45" i="4"/>
  <c r="L49" i="4" l="1"/>
  <c r="M45" i="4" s="1"/>
  <c r="M48" i="4" l="1"/>
  <c r="M47" i="4"/>
  <c r="M46" i="4"/>
  <c r="M49" i="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tc={B5DC5291-6A6D-48C7-A6C7-D48CFE382A60}</author>
    <author>tc={554B21F3-EFB7-49C5-962B-7A8B26EF7170}</author>
    <author>tc={8A7D8302-9A73-4C71-B1C6-4B3DCE14D226}</author>
    <author>tc={EC31951F-36DB-4BB9-889B-66C815AE699D}</author>
    <author>tc={0366A16D-EEAC-403F-96A9-4310780EA050}</author>
    <author>tc={4262ED9D-7D4D-4979-A886-69ABD815975C}</author>
    <author>tc={D776B7B1-62B5-4346-9580-94152522D5BD}</author>
    <author>tc={BA761599-396A-49D5-AA6D-4BC19FBDF2BD}</author>
    <author>tc={E320C1C6-DE32-49A6-870A-0918B7BE0E85}</author>
    <author>tc={21204627-F6DC-4143-9567-33068CB8C7FA}</author>
    <author>tc={9873AE17-3FF6-4804-B27E-E3E701DD8B0C}</author>
    <author>tc={56DB3520-C5F7-4FA4-B4D9-82B6B2808C68}</author>
    <author>tc={91993813-061C-47E7-A3AB-2463BC6DB191}</author>
    <author>tc={10EC9C8E-F434-45E3-B814-D8578688DD09}</author>
    <author>tc={2E6F47D5-070C-44D3-BAB1-67ADAE18466B}</author>
    <author>tc={0023FFC6-039A-46E8-8E63-6F287132D253}</author>
    <author>tc={70A75F81-4CAB-4384-A689-206C8CFA0516}</author>
    <author>tc={99DC78EC-4683-44A1-AD26-041BE706B124}</author>
    <author>tc={CD64E6C6-5474-4A71-9BAB-A199E58F34DC}</author>
    <author>tc={D2921E57-2D44-4B35-989E-5AA00252E3C8}</author>
    <author>tc={1371A6D2-3AC0-4404-BBF4-3F45CF4B722B}</author>
    <author>tc={7AF6FB8E-74D6-4C88-BA41-503CE35E7727}</author>
    <author>tc={4D46370C-7FFD-4489-9A9B-2DC1439F982E}</author>
  </authors>
  <commentList>
    <comment ref="P3" authorId="0" shapeId="0" xr:uid="{B5DC5291-6A6D-48C7-A6C7-D48CFE382A60}">
      <text>
        <t>[Comentario encadenado]
Su versión de Excel le permite leer este comentario encadenado; sin embargo, las ediciones que se apliquen se quitarán si el archivo se abre en una versión más reciente de Excel. Más información: https://go.microsoft.com/fwlink/?linkid=870924
Comentario:
    BP is Beam Pump, PCP is Progressive Cavity Pump, ESP is Electrical Submersible Pump</t>
      </text>
    </comment>
    <comment ref="Q3" authorId="1" shapeId="0" xr:uid="{554B21F3-EFB7-49C5-962B-7A8B26EF7170}">
      <text>
        <t>[Comentario encadenado]
Su versión de Excel le permite leer este comentario encadenado; sin embargo, las ediciones que se apliquen se quitarán si el archivo se abre en una versión más reciente de Excel. Más información: https://go.microsoft.com/fwlink/?linkid=870924
Comentario:
    WI is Water Injection; GI is Gas Injection</t>
      </text>
    </comment>
    <comment ref="R3" authorId="2" shapeId="0" xr:uid="{8A7D8302-9A73-4C71-B1C6-4B3DCE14D226}">
      <text>
        <t>[Comentario encadenado]
Su versión de Excel le permite leer este comentario encadenado; sin embargo, las ediciones que se apliquen se quitarán si el archivo se abre en una versión más reciente de Excel. Más información: https://go.microsoft.com/fwlink/?linkid=870924
Comentario:
    SI is Steam Injection; AI is Air Injection; CHI is Chemical Inyection (includes Polymer and/or surfractant injection); nnI is Nanofluids Inections; NI is Nitrogen Injection; SAG is surfractang alternative gas</t>
      </text>
    </comment>
    <comment ref="Q43" authorId="3" shapeId="0" xr:uid="{EC31951F-36DB-4BB9-889B-66C815AE699D}">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ANH (https://www.anh.gov.co/documents/4172/Cuencas_Sedimentarias_de_Colombia_PDF.pdf)</t>
      </text>
    </comment>
    <comment ref="Q66" authorId="4" shapeId="0" xr:uid="{0366A16D-EEAC-403F-96A9-4310780EA05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Upstream Characterization UPME (2021)</t>
      </text>
    </comment>
    <comment ref="T72" authorId="5" shapeId="0" xr:uid="{4262ED9D-7D4D-4979-A886-69ABD815975C}">
      <text>
        <t>[Comentario encadenado]
Su versión de Excel le permite leer este comentario encadenado; sin embargo, las ediciones que se apliquen se quitarán si el archivo se abre en una versión más reciente de Excel. Más información: https://go.microsoft.com/fwlink/?linkid=870924
Comentario:
    ANH use to report de fiscalized gas that includes:  Gas lift + Reinjected gas + Gas to plant + transformed gas + gas to gaseoduct.
In 2018 the fiscalized gas production was 2253 Mscf/d, but the commercialized gas production was 1050 Mscf/d.
in 2010 the commercialized gas was 1040 Mscf/d.
Respuesta:
    https://www.valoraanalitik.com/2019/01/16/colombia-cerro-el-2018-con-record-en-produccion-de-gas-y-petroleo/</t>
      </text>
    </comment>
    <comment ref="R76" authorId="6" shapeId="0" xr:uid="{D776B7B1-62B5-4346-9580-94152522D5BD}">
      <text>
        <t>[Comentario encadenado]
Su versión de Excel le permite leer este comentario encadenado; sin embargo, las ediciones que se apliquen se quitarán si el archivo se abre en una versión más reciente de Excel. Más información: https://go.microsoft.com/fwlink/?linkid=870924
Comentario:
    Data from ANH report: Reserves 2018</t>
      </text>
    </comment>
    <comment ref="T77" authorId="7" shapeId="0" xr:uid="{BA761599-396A-49D5-AA6D-4BC19FBDF2BD}">
      <text>
        <t>[Comentario encadenado]
Su versión de Excel le permite leer este comentario encadenado; sin embargo, las ediciones que se apliquen se quitarán si el archivo se abre en una versión más reciente de Excel. Más información: https://go.microsoft.com/fwlink/?linkid=870924
Comentario:
    Chichimene + Apiay + 10 oilfields</t>
      </text>
    </comment>
    <comment ref="R78" authorId="8" shapeId="0" xr:uid="{E320C1C6-DE32-49A6-870A-0918B7BE0E85}">
      <text>
        <t>[Comentario encadenado]
Su versión de Excel le permite leer este comentario encadenado; sin embargo, las ediciones que se apliquen se quitarán si el archivo se abre en una versión más reciente de Excel. Más información: https://go.microsoft.com/fwlink/?linkid=870924
Comentario:
    Infantas + la Cira + Lisama + LLanito + Yarigui-Cantagallo</t>
      </text>
    </comment>
    <comment ref="T78" authorId="9" shapeId="0" xr:uid="{21204627-F6DC-4143-9567-33068CB8C7FA}">
      <text>
        <t>[Comentario encadenado]
Su versión de Excel le permite leer este comentario encadenado; sin embargo, las ediciones que se apliquen se quitarán si el archivo se abre en una versión más reciente de Excel. Más información: https://go.microsoft.com/fwlink/?linkid=870924
Comentario:
    Cira + Infantas + Yarigui-Cantagallo +12 oilfields</t>
      </text>
    </comment>
    <comment ref="R79" authorId="10" shapeId="0" xr:uid="{9873AE17-3FF6-4804-B27E-E3E701DD8B0C}">
      <text>
        <t>[Comentario encadenado]
Su versión de Excel le permite leer este comentario encadenado; sin embargo, las ediciones que se apliquen se quitarán si el archivo se abre en una versión más reciente de Excel. Más información: https://go.microsoft.com/fwlink/?linkid=870924
Comentario:
    Caño limon + 24 campos</t>
      </text>
    </comment>
    <comment ref="T79" authorId="11" shapeId="0" xr:uid="{56DB3520-C5F7-4FA4-B4D9-82B6B2808C68}">
      <text>
        <t>[Comentario encadenado]
Su versión de Excel le permite leer este comentario encadenado; sin embargo, las ediciones que se apliquen se quitarán si el archivo se abre en una versión más reciente de Excel. Más información: https://go.microsoft.com/fwlink/?linkid=870924
Comentario:
    Andina + Capachos</t>
      </text>
    </comment>
    <comment ref="R80" authorId="12" shapeId="0" xr:uid="{91993813-061C-47E7-A3AB-2463BC6DB191}">
      <text>
        <t>[Comentario encadenado]
Su versión de Excel le permite leer este comentario encadenado; sin embargo, las ediciones que se apliquen se quitarán si el archivo se abre en una versión más reciente de Excel. Más información: https://go.microsoft.com/fwlink/?linkid=870924
Comentario:
    Boquete + cicuco (Yarigui-Cantagallo is not considered as part of Bolivar Department but Santander)</t>
      </text>
    </comment>
    <comment ref="R81" authorId="13" shapeId="0" xr:uid="{10EC9C8E-F434-45E3-B814-D8578688DD09}">
      <text>
        <t>[Comentario encadenado]
Su versión de Excel le permite leer este comentario encadenado; sin embargo, las ediciones que se apliquen se quitarán si el archivo se abre en una versión más reciente de Excel. Más información: https://go.microsoft.com/fwlink/?linkid=870924
Comentario:
    Casabe + Nare + Peñas Blancas + Teca-Corcona</t>
      </text>
    </comment>
    <comment ref="T81" authorId="14" shapeId="0" xr:uid="{2E6F47D5-070C-44D3-BAB1-67ADAE18466B}">
      <text>
        <t>[Comentario encadenado]
Su versión de Excel le permite leer este comentario encadenado; sin embargo, las ediciones que se apliquen se quitarán si el archivo se abre en una versión más reciente de Excel. Más información: https://go.microsoft.com/fwlink/?linkid=870924
Comentario:
    Casabe + Peñas Blancas</t>
      </text>
    </comment>
    <comment ref="R82" authorId="15" shapeId="0" xr:uid="{0023FFC6-039A-46E8-8E63-6F287132D253}">
      <text>
        <t>[Comentario encadenado]
Su versión de Excel le permite leer este comentario encadenado; sin embargo, las ediciones que se apliquen se quitarán si el archivo se abre en una versión más reciente de Excel. Más información: https://go.microsoft.com/fwlink/?linkid=870924
Comentario:
    Gibraltar + Girasol + Moriche + Velasquez + 8 oilfields</t>
      </text>
    </comment>
    <comment ref="T82" authorId="16" shapeId="0" xr:uid="{70A75F81-4CAB-4384-A689-206C8CFA0516}">
      <text>
        <t>[Comentario encadenado]
Su versión de Excel le permite leer este comentario encadenado; sin embargo, las ediciones que se apliquen se quitarán si el archivo se abre en una versión más reciente de Excel. Más información: https://go.microsoft.com/fwlink/?linkid=870924
Comentario:
    Gibraltar + 5 gasfields</t>
      </text>
    </comment>
    <comment ref="T83" authorId="17" shapeId="0" xr:uid="{99DC78EC-4683-44A1-AD26-041BE706B124}">
      <text>
        <t>[Comentario encadenado]
Su versión de Excel le permite leer este comentario encadenado; sin embargo, las ediciones que se apliquen se quitarán si el archivo se abre en una versión más reciente de Excel. Más información: https://go.microsoft.com/fwlink/?linkid=870924
Comentario:
    Cupiagua + Cusiana + Pauto + 9 gasfields</t>
      </text>
    </comment>
    <comment ref="T84" authorId="18" shapeId="0" xr:uid="{CD64E6C6-5474-4A71-9BAB-A199E58F34DC}">
      <text>
        <t>[Comentario encadenado]
Su versión de Excel le permite leer este comentario encadenado; sin embargo, las ediciones que se apliquen se quitarán si el archivo se abre en una versión más reciente de Excel. Más información: https://go.microsoft.com/fwlink/?linkid=870924
Comentario:
    Ballena + Chuchupa</t>
      </text>
    </comment>
    <comment ref="R87" authorId="19" shapeId="0" xr:uid="{D2921E57-2D44-4B35-989E-5AA00252E3C8}">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https://nuevoportal.ecopetrol.com.co/wps/portal/ecopetrol-web/nuestra-empresa/sala-de-prensa/boletines-de-prensa/boletines-2019/boletines-2018/Grupo%20Ecopetrol%20incremento%20sus%20reservas%20probadas%20de%20hidrocarburos%20al%20cierre%20de%202018</t>
      </text>
    </comment>
    <comment ref="T87" authorId="20" shapeId="0" xr:uid="{1371A6D2-3AC0-4404-BBF4-3F45CF4B722B}">
      <text>
        <t>[Comentario encadenado]
Su versión de Excel le permite leer este comentario encadenado; sin embargo, las ediciones que se apliquen se quitarán si el archivo se abre en una versión más reciente de Excel. Más información: https://go.microsoft.com/fwlink/?linkid=870924
Comentario:
    1 Equivalent oil barrel is about 5800 scf</t>
      </text>
    </comment>
    <comment ref="R97" authorId="21" shapeId="0" xr:uid="{7AF6FB8E-74D6-4C88-BA41-503CE35E7727}">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https://nuevoportal.ecopetrol.com.co/wps/portal/ecopetrol-web/nuestra-empresa/sala-de-prensa/boletines-de-prensa/boletines-2019/boletines-2018/Grupo%20Ecopetrol%20incremento%20sus%20reservas%20probadas%20de%20hidrocarburos%20al%20cierre%20de%202018</t>
      </text>
    </comment>
    <comment ref="Q104" authorId="22" shapeId="0" xr:uid="{4D46370C-7FFD-4489-9A9B-2DC1439F982E}">
      <text>
        <t>[Comentario encadenado]
Su versión de Excel le permite leer este comentario encadenado; sin embargo, las ediciones que se apliquen se quitarán si el archivo se abre en una versión más reciente de Excel. Más información: https://go.microsoft.com/fwlink/?linkid=870924
Comentario:
    Boletin Estadistico UPME 2016-2020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U22" authorId="0" shapeId="0" xr:uid="{9A7E7D35-8E04-4306-B9E3-CEF0D97B40FA}">
      <text>
        <r>
          <rPr>
            <b/>
            <sz val="9"/>
            <color indexed="81"/>
            <rFont val="Tahoma"/>
            <family val="2"/>
          </rPr>
          <t>JULIAN:</t>
        </r>
        <r>
          <rPr>
            <sz val="9"/>
            <color indexed="81"/>
            <rFont val="Tahoma"/>
            <family val="2"/>
          </rPr>
          <t xml:space="preserve">
spe-171080-ms</t>
        </r>
      </text>
    </comment>
    <comment ref="U23" authorId="0" shapeId="0" xr:uid="{DEED395F-1D1B-424C-A1A8-2483B506D4A8}">
      <text>
        <r>
          <rPr>
            <b/>
            <sz val="9"/>
            <color indexed="81"/>
            <rFont val="Tahoma"/>
            <family val="2"/>
          </rPr>
          <t>JULIAN:</t>
        </r>
        <r>
          <rPr>
            <sz val="9"/>
            <color indexed="81"/>
            <rFont val="Tahoma"/>
            <family val="2"/>
          </rPr>
          <t xml:space="preserve">
spe-165273-ms</t>
        </r>
      </text>
    </comment>
    <comment ref="F24" authorId="0" shapeId="0" xr:uid="{3AEA3F1E-ACF2-42CF-9928-7D104AA72A5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U24" authorId="0" shapeId="0" xr:uid="{721FB5EC-A40A-4A58-9A4A-3D991283EEA3}">
      <text>
        <r>
          <rPr>
            <b/>
            <sz val="9"/>
            <color indexed="81"/>
            <rFont val="Tahoma"/>
            <family val="2"/>
          </rPr>
          <t>JULIAN:</t>
        </r>
        <r>
          <rPr>
            <sz val="9"/>
            <color indexed="81"/>
            <rFont val="Tahoma"/>
            <family val="2"/>
          </rPr>
          <t xml:space="preserve">
spe-138979-ms</t>
        </r>
      </text>
    </comment>
    <comment ref="U25" authorId="0" shapeId="0" xr:uid="{021120BA-4355-4767-B534-349B36E47141}">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U26" authorId="0" shapeId="0" xr:uid="{AB424C1A-019E-4FB3-9CA1-987A9D0ACC1F}">
      <text>
        <r>
          <rPr>
            <b/>
            <sz val="9"/>
            <color indexed="81"/>
            <rFont val="Tahoma"/>
            <family val="2"/>
          </rPr>
          <t>JULIAN:</t>
        </r>
        <r>
          <rPr>
            <sz val="9"/>
            <color indexed="81"/>
            <rFont val="Tahoma"/>
            <family val="2"/>
          </rPr>
          <t xml:space="preserve">
9-16 api</t>
        </r>
      </text>
    </comment>
    <comment ref="U27" authorId="0" shapeId="0" xr:uid="{03F48D67-635D-40EF-8147-C3E6BDC78A04}">
      <text>
        <r>
          <rPr>
            <b/>
            <sz val="9"/>
            <color indexed="81"/>
            <rFont val="Tahoma"/>
            <family val="2"/>
          </rPr>
          <t>JULIAN:</t>
        </r>
        <r>
          <rPr>
            <sz val="9"/>
            <color indexed="81"/>
            <rFont val="Tahoma"/>
            <family val="2"/>
          </rPr>
          <t xml:space="preserve">
Solo vapor.</t>
        </r>
      </text>
    </comment>
    <comment ref="U29" authorId="0" shapeId="0" xr:uid="{8FF7CB05-762A-4817-8177-C646D05EFBD9}">
      <text>
        <r>
          <rPr>
            <b/>
            <sz val="9"/>
            <color indexed="81"/>
            <rFont val="Tahoma"/>
            <family val="2"/>
          </rPr>
          <t>JULIAN:</t>
        </r>
        <r>
          <rPr>
            <sz val="9"/>
            <color indexed="81"/>
            <rFont val="Tahoma"/>
            <family val="2"/>
          </rPr>
          <t xml:space="preserve">
http://www.scielo.org.co/scielo.php?script=sci_arttext&amp;pid=S0122-53832001000100009
Usa gas lift</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81272EF-5D77-4F82-AF39-0C76AD9EB519}" keepAlive="1" name="Consulta - Akacias_" description="Conexión a la consulta 'Akacias_' en el libro." type="5" refreshedVersion="8" background="1" saveData="1">
    <dbPr connection="Provider=Microsoft.Mashup.OleDb.1;Data Source=$Workbook$;Location=Akacias_;Extended Properties=&quot;&quot;" command="SELECT * FROM [Akacias_]"/>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1">
    <bk>
      <extLst>
        <ext uri="{3e2802c4-a4d2-4d8b-9148-e3be6c30e623}">
          <xlrd:rvb i="0"/>
        </ext>
      </extLst>
    </bk>
    <bk>
      <extLst>
        <ext uri="{3e2802c4-a4d2-4d8b-9148-e3be6c30e623}">
          <xlrd:rvb i="10"/>
        </ext>
      </extLst>
    </bk>
    <bk>
      <extLst>
        <ext uri="{3e2802c4-a4d2-4d8b-9148-e3be6c30e623}">
          <xlrd:rvb i="18"/>
        </ext>
      </extLst>
    </bk>
    <bk>
      <extLst>
        <ext uri="{3e2802c4-a4d2-4d8b-9148-e3be6c30e623}">
          <xlrd:rvb i="26"/>
        </ext>
      </extLst>
    </bk>
    <bk>
      <extLst>
        <ext uri="{3e2802c4-a4d2-4d8b-9148-e3be6c30e623}">
          <xlrd:rvb i="35"/>
        </ext>
      </extLst>
    </bk>
    <bk>
      <extLst>
        <ext uri="{3e2802c4-a4d2-4d8b-9148-e3be6c30e623}">
          <xlrd:rvb i="44"/>
        </ext>
      </extLst>
    </bk>
    <bk>
      <extLst>
        <ext uri="{3e2802c4-a4d2-4d8b-9148-e3be6c30e623}">
          <xlrd:rvb i="52"/>
        </ext>
      </extLst>
    </bk>
    <bk>
      <extLst>
        <ext uri="{3e2802c4-a4d2-4d8b-9148-e3be6c30e623}">
          <xlrd:rvb i="61"/>
        </ext>
      </extLst>
    </bk>
    <bk>
      <extLst>
        <ext uri="{3e2802c4-a4d2-4d8b-9148-e3be6c30e623}">
          <xlrd:rvb i="70"/>
        </ext>
      </extLst>
    </bk>
    <bk>
      <extLst>
        <ext uri="{3e2802c4-a4d2-4d8b-9148-e3be6c30e623}">
          <xlrd:rvb i="78"/>
        </ext>
      </extLst>
    </bk>
    <bk>
      <extLst>
        <ext uri="{3e2802c4-a4d2-4d8b-9148-e3be6c30e623}">
          <xlrd:rvb i="86"/>
        </ext>
      </extLst>
    </bk>
  </futureMetadata>
  <cellMetadata count="1">
    <bk>
      <rc t="1" v="0"/>
    </bk>
  </cellMetadata>
  <valueMetadata count="11">
    <bk>
      <rc t="2" v="0"/>
    </bk>
    <bk>
      <rc t="2" v="1"/>
    </bk>
    <bk>
      <rc t="2" v="2"/>
    </bk>
    <bk>
      <rc t="2" v="3"/>
    </bk>
    <bk>
      <rc t="2" v="4"/>
    </bk>
    <bk>
      <rc t="2" v="5"/>
    </bk>
    <bk>
      <rc t="2" v="6"/>
    </bk>
    <bk>
      <rc t="2" v="7"/>
    </bk>
    <bk>
      <rc t="2" v="8"/>
    </bk>
    <bk>
      <rc t="2" v="9"/>
    </bk>
    <bk>
      <rc t="2" v="10"/>
    </bk>
  </valueMetadata>
</metadata>
</file>

<file path=xl/sharedStrings.xml><?xml version="1.0" encoding="utf-8"?>
<sst xmlns="http://schemas.openxmlformats.org/spreadsheetml/2006/main" count="1251" uniqueCount="571">
  <si>
    <t>2. Oil and Gas Production by Oilfield (TOP 5) at 2018</t>
  </si>
  <si>
    <t>Characteristic / Main features</t>
  </si>
  <si>
    <t>Order by oil production</t>
  </si>
  <si>
    <t>Department</t>
  </si>
  <si>
    <t>City-town-location</t>
  </si>
  <si>
    <t>Basin</t>
  </si>
  <si>
    <t>Oilfield</t>
  </si>
  <si>
    <t>Company</t>
  </si>
  <si>
    <t>Oil Production [B/d]</t>
  </si>
  <si>
    <t>Gas commercialized [Mscf/d]
= to Plant + to pipelines (Jun/2018)</t>
  </si>
  <si>
    <t>Gas Production [Mscf/d]</t>
  </si>
  <si>
    <t>API Gravity</t>
  </si>
  <si>
    <t>Viscocity</t>
  </si>
  <si>
    <t>Year of initial production</t>
  </si>
  <si>
    <t>Primary production formation</t>
  </si>
  <si>
    <t>Porosity (%)</t>
  </si>
  <si>
    <t>Permeability (mD)</t>
  </si>
  <si>
    <t xml:space="preserve">Reserves </t>
  </si>
  <si>
    <t>FR [%]</t>
  </si>
  <si>
    <t>Primary method</t>
  </si>
  <si>
    <t>Artificial lift method</t>
  </si>
  <si>
    <t>Water production</t>
  </si>
  <si>
    <t>Gas production</t>
  </si>
  <si>
    <t>Secondary production</t>
  </si>
  <si>
    <t>Tertiary production</t>
  </si>
  <si>
    <t>Special considerations</t>
  </si>
  <si>
    <t>Meta</t>
  </si>
  <si>
    <t>Puerto Gaitan</t>
  </si>
  <si>
    <t>Llanos Orientales</t>
  </si>
  <si>
    <t>Rubiales</t>
  </si>
  <si>
    <t>ECP</t>
  </si>
  <si>
    <t>-</t>
  </si>
  <si>
    <t>11.3 - 14.4</t>
  </si>
  <si>
    <t>310 - 730 cP @147F</t>
  </si>
  <si>
    <t>1980 (discovered) 2003-2006 (production)</t>
  </si>
  <si>
    <t>Carbonera "Arenas Basales"</t>
  </si>
  <si>
    <t>0.25 - 0.32</t>
  </si>
  <si>
    <t>5000, 50000 (5 - 13 D RU3)</t>
  </si>
  <si>
    <t>OOIP = 4608 MSTB, Reserves (2011) = 385 MSTB</t>
  </si>
  <si>
    <t>3.7% (2011)</t>
  </si>
  <si>
    <t>Water bottom drive</t>
  </si>
  <si>
    <t>PCP, ESP</t>
  </si>
  <si>
    <t>BS&amp;W = 81% (emulsion state)</t>
  </si>
  <si>
    <t>GOR = 5 - 8 scf/STB</t>
  </si>
  <si>
    <t>88% of wells are horizontals (RU 2). ALS information is contained in RU1</t>
  </si>
  <si>
    <t>Acacias/Castilla Nueva</t>
  </si>
  <si>
    <t>Castilla (c, e, n, n)</t>
  </si>
  <si>
    <t>150 cp</t>
  </si>
  <si>
    <t xml:space="preserve">1969 (discovered) and </t>
  </si>
  <si>
    <t>Guadalupe (K2, k1)</t>
  </si>
  <si>
    <t>0.2, 16-22 (CAS 2)</t>
  </si>
  <si>
    <t>500 - 10000 Md</t>
  </si>
  <si>
    <t>OOIP= 1900 MBBL (K2) OOIP= 900 MSTB (K1)</t>
  </si>
  <si>
    <t>FR=15%  Np= 198 MSTB (2007)</t>
  </si>
  <si>
    <t>Active-bottom aquifer</t>
  </si>
  <si>
    <t>ESP</t>
  </si>
  <si>
    <t>205 MBWPD</t>
  </si>
  <si>
    <t xml:space="preserve">Water injection </t>
  </si>
  <si>
    <t>Nanofluids</t>
  </si>
  <si>
    <t>Multilateral wells reduces water cut and boost oil production. CAS 1 (Some date about drilling costs). CAS2  (Nanofluids)</t>
  </si>
  <si>
    <t>Acacias/Guamal</t>
  </si>
  <si>
    <t>Chichimene</t>
  </si>
  <si>
    <t>20 (Guadalupe) / 7-9 (San Fernando)</t>
  </si>
  <si>
    <t>150-500 cp@150F (Guadalupe) and 2000-7000 cp@180F (San Fernando)</t>
  </si>
  <si>
    <t>1969 (discovered) and 1985 (production). Since 2000 is operated by ECP</t>
  </si>
  <si>
    <t>San Fernando T2, Guadalupe K1-K2</t>
  </si>
  <si>
    <t xml:space="preserve">16-22% (Guadalupe), 16-20% (San Fernando) </t>
  </si>
  <si>
    <t>500 - 10000 mD (Guadalupe) 800 - 4000 mD (San Fernando)</t>
  </si>
  <si>
    <t>OOIP = 247 MSTB (Guadalupe) and OOIP= 2577 MST (San Fernando)</t>
  </si>
  <si>
    <t>FR=16.92% (Np=41.80 MSTB)</t>
  </si>
  <si>
    <t>Gas in solution (San Fernando) and Active Aquifer (Guadalupe)</t>
  </si>
  <si>
    <t>93% of wells uses ESP, the others use PCP</t>
  </si>
  <si>
    <t>BSW=90-95% (Guadalupe) and BSW=10% (San Fernando)</t>
  </si>
  <si>
    <t>GOR= 0 (Guadalupe) GOR=200-500 scf/STB (San Fernando)</t>
  </si>
  <si>
    <t xml:space="preserve">Water injection to pressure maintenance </t>
  </si>
  <si>
    <t>ISC, Nanofluids injection</t>
  </si>
  <si>
    <t>ISC (CHI 1), Reducing skin through ChemInj (CHI 2), 70,000 bbl water is discharged (CHI 8), comparision between ESP - PCP (CHI 7, 3)</t>
  </si>
  <si>
    <t>Santander</t>
  </si>
  <si>
    <t>Barrancabermeja</t>
  </si>
  <si>
    <t>VMM</t>
  </si>
  <si>
    <t>La Cira</t>
  </si>
  <si>
    <t>20 - 25</t>
  </si>
  <si>
    <t>10 - 40cP</t>
  </si>
  <si>
    <t>1918 (discovered and produced)</t>
  </si>
  <si>
    <t>Colorado (Sand A), Mugrosa (Sand B and C). Sand C contributes over 90% oil production and reserves</t>
  </si>
  <si>
    <t xml:space="preserve">22% (Sand C), </t>
  </si>
  <si>
    <t>50 - 2000 Md</t>
  </si>
  <si>
    <t>OOIP=  3900 MSTB (CIRA 11), Reserves = 172 MMSTO (CIRA 10)</t>
  </si>
  <si>
    <t>FR = 13% (Primary production until 1957), FR= 3% (Waterflooding 1959-2005) FR= 3% (Waterflooding 2005-2018)</t>
  </si>
  <si>
    <t>BP 760 wells (76%), PCP 135 wells (14%), ESP 99 wells (10%), ESPCP 6 wells (2014)</t>
  </si>
  <si>
    <t>Produced 506000 BWPD  and Injected 618000 BWIPD (2018), Water-cut=90%.</t>
  </si>
  <si>
    <t>150 scf/STB</t>
  </si>
  <si>
    <t>Gas injection / Water Injection (since 60s) / Water injection optimization (2006)</t>
  </si>
  <si>
    <t>2014 the field has 1000 producing wells and 408 injectors (CIRA 2). 95% producing wells are under waterflooding (CIRA 9)</t>
  </si>
  <si>
    <t>Quifa</t>
  </si>
  <si>
    <t>Frontera</t>
  </si>
  <si>
    <t>13 - 14</t>
  </si>
  <si>
    <t>180 - 300 cP@Reservoir</t>
  </si>
  <si>
    <t>2008 (discovered) 2010 (production)</t>
  </si>
  <si>
    <t>0.25 - 0.33</t>
  </si>
  <si>
    <t>5000 - 10000</t>
  </si>
  <si>
    <t>OOIP= 1500 MBBL</t>
  </si>
  <si>
    <t>12% Vertical wells, 22.3% horizontal wells (all primary production), 30% ISC</t>
  </si>
  <si>
    <t>Mainly ESP. PCP</t>
  </si>
  <si>
    <t>BS&amp;W &gt; 90% (emulsion state)</t>
  </si>
  <si>
    <t>GOR = 7 - 8 scf/STB</t>
  </si>
  <si>
    <t>ISC (2011 - 2014) Pilot</t>
  </si>
  <si>
    <t>QU 2, 3 (ISC) Q5 (Treatment), QU 7 (ALS)</t>
  </si>
  <si>
    <t>Arauca</t>
  </si>
  <si>
    <t>Llanos Orientales*</t>
  </si>
  <si>
    <t>Caño Limon</t>
  </si>
  <si>
    <t>OXY</t>
  </si>
  <si>
    <t>1983 (discovered)</t>
  </si>
  <si>
    <t>Carbonera, Units K1, K2, K3</t>
  </si>
  <si>
    <t>500 - 5000</t>
  </si>
  <si>
    <t>Reserves more than 1 MMSTB, OOIP 1.7 MMSTB</t>
  </si>
  <si>
    <t>FR=58% (1995)</t>
  </si>
  <si>
    <t>Edge-water drive</t>
  </si>
  <si>
    <t>ESP (304 in 2006) nearly 98% of active wells</t>
  </si>
  <si>
    <t>Watercut=80% this is 1 MBWD (1995), Watercut= 93% this is 2.851.721 barrels of fluids  ( CAÑO 3, 2012)</t>
  </si>
  <si>
    <t>GOR = 6 scf/STB</t>
  </si>
  <si>
    <t>Waterflooding</t>
  </si>
  <si>
    <t>394 productor wells, 9 injection wells (2012 according to CAÑO 3).  Waterflooding (CAÑO 7)
ALS consumes nearly 75% of the energy in the oilfield, and the 25% is consumed by production facilities, injection water.  Nearly 50% of the energy generated is based on diesel (CAÑO 3). Cost of energy generated is U S86/MWh and purchased energy 83 UAS/MWh, for a total an annual 96,000,000 USD</t>
  </si>
  <si>
    <t>Bolivar</t>
  </si>
  <si>
    <t>Puerto Wilches</t>
  </si>
  <si>
    <t>Yarigui-Cantagallo</t>
  </si>
  <si>
    <t>24 cP@ReservoirTemperature</t>
  </si>
  <si>
    <t>1940 (discovered) 1941 (production)</t>
  </si>
  <si>
    <t>Mainly Cantagallo sands. Mugrosa, La Paz</t>
  </si>
  <si>
    <t>0.18 - 20</t>
  </si>
  <si>
    <t>50 - 182 Md</t>
  </si>
  <si>
    <t>OOIP= 1,048 MMSTB (77% of the total)in 2015. YARI 7OOIP= 750 MMSTB in 1974.</t>
  </si>
  <si>
    <t>FR= 20.7%, Np= 155 MMSTB in 1999</t>
  </si>
  <si>
    <t xml:space="preserve">Gas in solution / water drive </t>
  </si>
  <si>
    <t>WaterCut&gt;90% (YARI 3)</t>
  </si>
  <si>
    <t>Waterflooding since 2008</t>
  </si>
  <si>
    <t>Polymer Injection</t>
  </si>
  <si>
    <t>Sand production represents costs about 913,860 USD/y (YARI 4). Waterflooding will incorporate 35  MMSTB of reserves (YARI 5). Cost data about PI is in YARI 7.</t>
  </si>
  <si>
    <t>Antioquia</t>
  </si>
  <si>
    <t>Yondo</t>
  </si>
  <si>
    <t>Casabe</t>
  </si>
  <si>
    <t>1941 (discovered)</t>
  </si>
  <si>
    <t>La Paz, Mugrosa, Colorado</t>
  </si>
  <si>
    <t>10 - 300 mD</t>
  </si>
  <si>
    <t>OOIP= 1,700 MSTB. Np= 350 MMSTB (CASA 3)</t>
  </si>
  <si>
    <t>FR@ Primary= 13% (CASA 7). FR@ Secondary=3.4%, FR@ SecondarySelective= 5.4% (CASA 5).
FR=19% (CASA 3)</t>
  </si>
  <si>
    <t>Fluid and rock expansion, solution gas drive</t>
  </si>
  <si>
    <t>PCP (61%) BP (35%)</t>
  </si>
  <si>
    <t xml:space="preserve">Watercut= 80% </t>
  </si>
  <si>
    <t>Waterflooding since 1985. Water Injection 125,000 BWPD (CASA 6). 1 BOPD to 6 BWPD (CASA 5)</t>
  </si>
  <si>
    <t>Oil, water produced and injected data (CASA 1). Water Injection Plant energy consumption (CASA 1).
ALS data  in (CASA 4)</t>
  </si>
  <si>
    <t>Boyaca</t>
  </si>
  <si>
    <t>Puerto Boyaca</t>
  </si>
  <si>
    <t>Moriche</t>
  </si>
  <si>
    <t>Mansarovar</t>
  </si>
  <si>
    <t>800 - 2600cP</t>
  </si>
  <si>
    <t>1983 (discovered) and 2008 (produced)</t>
  </si>
  <si>
    <t>Sand A and B (Chuspas Group)</t>
  </si>
  <si>
    <t>0.2 - 0.28</t>
  </si>
  <si>
    <t>300 - 2000 Md</t>
  </si>
  <si>
    <t>Np= 7 MMSTB (MORI 1), Reserves (2021)= 46 MMBL, OOIP= 1072 MMBL</t>
  </si>
  <si>
    <t>FR= 2% (MORI 1), FR= 6.3% (MORI 6)</t>
  </si>
  <si>
    <t>Gas solution, parcial water drive</t>
  </si>
  <si>
    <t>BP</t>
  </si>
  <si>
    <t>CSS (OSR)&lt; 1 STB/MMBTU</t>
  </si>
  <si>
    <t>604 wells: 522 producers and 13 injectors (MORI 2 - 2016). Energy requirements for CSS 10900 MMBTU/D (MORI 2). GHG Emissions 420.404 CO2eq (MORI 2), 10% by flaring. Steam injected is abouyt 27,000 MMBTU at 80% quality (MARI 3)</t>
  </si>
  <si>
    <t>Casanare</t>
  </si>
  <si>
    <t>Jacana + Tigana (t+ n + s +s )</t>
  </si>
  <si>
    <t>GEOPARK</t>
  </si>
  <si>
    <t>19 (Jacana)</t>
  </si>
  <si>
    <t>Jacana was discovered in 2015. Tigana was discovered in 2014.</t>
  </si>
  <si>
    <t>Cesar</t>
  </si>
  <si>
    <t>Acordionero</t>
  </si>
  <si>
    <t>GRAN TIERRA</t>
  </si>
  <si>
    <t>7 - 487cP</t>
  </si>
  <si>
    <t>2013 (production)</t>
  </si>
  <si>
    <t>Mugrosa, Colorado, Esmeralddas</t>
  </si>
  <si>
    <t>0.15-0.2</t>
  </si>
  <si>
    <t>20-6000 mD</t>
  </si>
  <si>
    <t>Waterflooding (40,000 bwpd)</t>
  </si>
  <si>
    <t>21 wells in 2018  (ARCO 1). Energy generated is based on diesel, there are data and analysis to reuse the gas produced (ARCO 1)</t>
  </si>
  <si>
    <t>All production data is taken from https://www.anh.gov.co/es/operaciones-y-regal%C3%ADas/sistemas-integrados-operaciones/estad%C3%ADsticas-de-producci%C3%B3n/</t>
  </si>
  <si>
    <t>RU2</t>
  </si>
  <si>
    <t xml:space="preserve"> RU 1, RU 2</t>
  </si>
  <si>
    <t>RU1</t>
  </si>
  <si>
    <t>RU1 (review information about AL)</t>
  </si>
  <si>
    <t>RU3</t>
  </si>
  <si>
    <t>Castilla also includes Castilla Norte and Castilla Este</t>
  </si>
  <si>
    <t>CAS 1</t>
  </si>
  <si>
    <t>CAS 2</t>
  </si>
  <si>
    <t>CAS1</t>
  </si>
  <si>
    <t>CAS 6</t>
  </si>
  <si>
    <t>CAS 3</t>
  </si>
  <si>
    <t>Chichimene also includes Chichimene SW</t>
  </si>
  <si>
    <t>CHI 6</t>
  </si>
  <si>
    <t>CHI 9, CHI 7</t>
  </si>
  <si>
    <t>CHI 4</t>
  </si>
  <si>
    <t>CHI 9</t>
  </si>
  <si>
    <t>CHI 7</t>
  </si>
  <si>
    <t>CHI 5</t>
  </si>
  <si>
    <t>CHI 8, CHI 5</t>
  </si>
  <si>
    <t>CHI 1, CHI 4</t>
  </si>
  <si>
    <t>La Cira also includes Infantas</t>
  </si>
  <si>
    <t>CIRA 11</t>
  </si>
  <si>
    <t>CIRA 1</t>
  </si>
  <si>
    <t>CIRA 11, 10</t>
  </si>
  <si>
    <t>CIRA 11, 10, 9</t>
  </si>
  <si>
    <t>CIRA 8</t>
  </si>
  <si>
    <t>CIRA 11, 9</t>
  </si>
  <si>
    <t>Tigana includes Tigana sur and tigana norte</t>
  </si>
  <si>
    <t>QU 5</t>
  </si>
  <si>
    <t>QU 2</t>
  </si>
  <si>
    <t>QU 2, QU 4</t>
  </si>
  <si>
    <t>QU 7</t>
  </si>
  <si>
    <t>QU 3</t>
  </si>
  <si>
    <t>QU5</t>
  </si>
  <si>
    <t>Acordionero also includes Acordionero-24</t>
  </si>
  <si>
    <t>CAÑO 1</t>
  </si>
  <si>
    <t>CAÑO 2</t>
  </si>
  <si>
    <t>CAÑO 1, CAÑO 3</t>
  </si>
  <si>
    <t>CAÑO 7</t>
  </si>
  <si>
    <t>Casabe also includes Casabe Sur</t>
  </si>
  <si>
    <t>https://www.geo-park.com/files/releases/Jacana_Press_Release_ESP.pdf</t>
  </si>
  <si>
    <t>https://www.grantierra.com/operations/company-snapshot</t>
  </si>
  <si>
    <t>ARCO 3</t>
  </si>
  <si>
    <t>ARCO 1</t>
  </si>
  <si>
    <t>ARCO 2</t>
  </si>
  <si>
    <t>Observation (Pending): most of gas is flared or used in oilfield. The gas is not reinjected.</t>
  </si>
  <si>
    <t>YARI 7</t>
  </si>
  <si>
    <t>YARI 3</t>
  </si>
  <si>
    <t>YARI 5, 7</t>
  </si>
  <si>
    <t>YARI 5</t>
  </si>
  <si>
    <t>YARI 3, 5</t>
  </si>
  <si>
    <t>YARI 3, 6</t>
  </si>
  <si>
    <t>CASA 3</t>
  </si>
  <si>
    <t>CASA 1</t>
  </si>
  <si>
    <t>CASA 15</t>
  </si>
  <si>
    <t>CASA 6, CASA 3</t>
  </si>
  <si>
    <t>CASA 7</t>
  </si>
  <si>
    <t>CASA 6</t>
  </si>
  <si>
    <t>CASA 7, 6</t>
  </si>
  <si>
    <t>MORI 1</t>
  </si>
  <si>
    <t>MORI 6</t>
  </si>
  <si>
    <t>MORI 3</t>
  </si>
  <si>
    <t>Oil production</t>
  </si>
  <si>
    <t>Total [B/d]</t>
  </si>
  <si>
    <t>% respect to national production</t>
  </si>
  <si>
    <t>Total [Mscf/d]</t>
  </si>
  <si>
    <t>% respect to ECP production</t>
  </si>
  <si>
    <t>Total ECP [Mscf/d]</t>
  </si>
  <si>
    <t>BP is Beam Pump, PCP is Progressive Cavity Pump, ESP is Electrical Submersible Pump</t>
  </si>
  <si>
    <t>Order by gas production</t>
  </si>
  <si>
    <t>Gas Production* [Mscf/d] June 2018</t>
  </si>
  <si>
    <t>SG gas</t>
  </si>
  <si>
    <t>Heating Value</t>
  </si>
  <si>
    <t>Aguazul</t>
  </si>
  <si>
    <t>Cupiagua (Cupiagua + Liria + Sur)</t>
  </si>
  <si>
    <t>37 (initially), 48 (current)</t>
  </si>
  <si>
    <t>HHV= 42.67 MJ/kg, LHV= 38.62 MJ/kg</t>
  </si>
  <si>
    <t>1992 (discovered) and 1996 (produced)</t>
  </si>
  <si>
    <t>Mirador, Barco, Guadalupe</t>
  </si>
  <si>
    <t>1 - 10 mD</t>
  </si>
  <si>
    <t>OOIP= 1000 MMSTB and OGIP= 4 Tcf (CUPI 3)</t>
  </si>
  <si>
    <t>FR= 42%, Frsomelayers=60%</t>
  </si>
  <si>
    <t>Gas cap expansion, solution gas drive</t>
  </si>
  <si>
    <t>280 stb/MMscf</t>
  </si>
  <si>
    <t>Gas injection, 450 MMscfd (stars 1998)</t>
  </si>
  <si>
    <t>Nanofluids and Foams, SAG</t>
  </si>
  <si>
    <t>CPF has the capacity of 16,000 BOPD and 850 MMscfd (660 from Cupiagua and 180  from Pauto/Receptor)(CUPI 1)</t>
  </si>
  <si>
    <t>Tauramena</t>
  </si>
  <si>
    <t>Cusiana (Cusiana + Norte)</t>
  </si>
  <si>
    <t>1988 (discovered) and 1994 (production)</t>
  </si>
  <si>
    <t xml:space="preserve">OOIP= 1500 MMSTB OGIP= 3 Tcf </t>
  </si>
  <si>
    <t>RF= 50% (Mirador) RF=25% (Barco, Guadalupe)</t>
  </si>
  <si>
    <t>Water injection (Barco and Guadalupe) / Gas injection (Mirador)</t>
  </si>
  <si>
    <t>SAG</t>
  </si>
  <si>
    <t>Yopal</t>
  </si>
  <si>
    <t>Pauto Sur (Sur + Recetor)</t>
  </si>
  <si>
    <t>EQUION*</t>
  </si>
  <si>
    <t>Gross= 1210 BTU/ft3, Net= 1098  BTU/ft3</t>
  </si>
  <si>
    <t>1995 (Discovered) and 2001 (production)</t>
  </si>
  <si>
    <t>Z</t>
  </si>
  <si>
    <t>0.03 - 0.05</t>
  </si>
  <si>
    <t>&lt; 10mD</t>
  </si>
  <si>
    <t>IGIP&gt; 1 Tcf. 
Reserves (Pauto&amp;Floreña)= 70 MSTB  (Light Oil)
Reserves (Pauto&amp;Floreña)= 5000 Gcf  (Gas)</t>
  </si>
  <si>
    <t>Np= 180,000 Bl &amp; Gp= 12,000 Mcf (2016)</t>
  </si>
  <si>
    <t>Natural flow</t>
  </si>
  <si>
    <t>30 - 350 STB/MMscf</t>
  </si>
  <si>
    <t>Nitrogen Injection</t>
  </si>
  <si>
    <t>Between Pauto&amp;Floreña: 25 wells: 1 water injection, 4 gas injection, 20 producer wells (PAU 8). 
Gas composition and Gas distribution in PAU 9</t>
  </si>
  <si>
    <t>Floreña (Floreña + Mirador)</t>
  </si>
  <si>
    <t>44 - 47</t>
  </si>
  <si>
    <t>Gross= 1158 BTU/ft3, Net= 1049  BTU/ft3</t>
  </si>
  <si>
    <t>Reserves (Pauto&amp;Floreña)= 70 MSTB  (Light Oil)
Reserves (Pauto&amp;Floreña)= 5000 Gcf  (Gas)</t>
  </si>
  <si>
    <t>Np= 80,000 Bl &amp; Gp=5,500 Mcf (2016)</t>
  </si>
  <si>
    <t xml:space="preserve"> P&amp;F =3000 BWPD, BSW&lt;0.5</t>
  </si>
  <si>
    <t>P&amp;F= 30000 BOPD / 180 MMscfd</t>
  </si>
  <si>
    <t>Gas injection 80 MMsfcd</t>
  </si>
  <si>
    <t>Between Pauto&amp;Floreña: 25 wells: 1 water injection, 4 gas injection, 20 producer wells (PAU 8).
Treatment in site (FLO 1, 2)
Gas composition in PAU 9</t>
  </si>
  <si>
    <t>Guajira</t>
  </si>
  <si>
    <t>Manaure</t>
  </si>
  <si>
    <t>Chuchupa</t>
  </si>
  <si>
    <t>CHEVRON</t>
  </si>
  <si>
    <t>HHV= 37.13 MJ/kg, LHV= 33.44 MJ/kg</t>
  </si>
  <si>
    <t>1973 (discovered) and 1979 (production)</t>
  </si>
  <si>
    <t>Units A, B1, B2, C</t>
  </si>
  <si>
    <t>0.2-0.3</t>
  </si>
  <si>
    <t>210mD - &gt;1 D</t>
  </si>
  <si>
    <t>OGIP: P10= 4.1 Tcf,  P50= 4.7 Tcf   P90= 5.3 Tcf</t>
  </si>
  <si>
    <t>FR=45% (2009)</t>
  </si>
  <si>
    <t>WGR= 0.2 bwpd/MMscfd</t>
  </si>
  <si>
    <t>Ballena</t>
  </si>
  <si>
    <t>OGIP= 1.5 Tcf</t>
  </si>
  <si>
    <t>FR=30% (1996)</t>
  </si>
  <si>
    <t>Cordoba</t>
  </si>
  <si>
    <t>Nelson</t>
  </si>
  <si>
    <t>GEOPRODUCTION OIL AND GAS COMPANY</t>
  </si>
  <si>
    <t>Norte de Santander</t>
  </si>
  <si>
    <t>Gibraltar</t>
  </si>
  <si>
    <t>PAU 7</t>
  </si>
  <si>
    <t>PAU 8</t>
  </si>
  <si>
    <t>PAU 5</t>
  </si>
  <si>
    <t>CUPI 8,9, PAU 10</t>
  </si>
  <si>
    <t>CUPI 1</t>
  </si>
  <si>
    <t>CUSI 7</t>
  </si>
  <si>
    <t>CUPI</t>
  </si>
  <si>
    <t>CUPI 6</t>
  </si>
  <si>
    <t>CUSI 5</t>
  </si>
  <si>
    <t>CUPI 4</t>
  </si>
  <si>
    <t>CUPI 3</t>
  </si>
  <si>
    <t>CUPI 1, 6</t>
  </si>
  <si>
    <t>CHU 3</t>
  </si>
  <si>
    <t>CUSI 7,8</t>
  </si>
  <si>
    <t>CHU 1</t>
  </si>
  <si>
    <t>CHU 5</t>
  </si>
  <si>
    <t>CUSI 8</t>
  </si>
  <si>
    <t>CUSI 2</t>
  </si>
  <si>
    <t>PAU 1, CUSI 2, CUSI 6</t>
  </si>
  <si>
    <t>CUSI 2, 4</t>
  </si>
  <si>
    <t>FLO 5</t>
  </si>
  <si>
    <t>PAU 1, FLO 5</t>
  </si>
  <si>
    <t>Deparment</t>
  </si>
  <si>
    <t>Akacias</t>
  </si>
  <si>
    <t>Dina</t>
  </si>
  <si>
    <t>San Francisco</t>
  </si>
  <si>
    <t>Tello</t>
  </si>
  <si>
    <t>Apiay</t>
  </si>
  <si>
    <t>Area Teca-Corcona</t>
  </si>
  <si>
    <t>Type of Oil producing</t>
  </si>
  <si>
    <t>Primary Recovery - SLA*</t>
  </si>
  <si>
    <t>Secondary Recovery</t>
  </si>
  <si>
    <t>Tertiary Recovery</t>
  </si>
  <si>
    <t>WI</t>
  </si>
  <si>
    <t>nnI</t>
  </si>
  <si>
    <t>AI, nnl</t>
  </si>
  <si>
    <t>ESP, PCP</t>
  </si>
  <si>
    <t>AI</t>
  </si>
  <si>
    <t>BP, PCP,. ESP</t>
  </si>
  <si>
    <t>GI, WI</t>
  </si>
  <si>
    <t>CHI</t>
  </si>
  <si>
    <t>PCP, BP</t>
  </si>
  <si>
    <t>SI</t>
  </si>
  <si>
    <t>GI</t>
  </si>
  <si>
    <t>nnI, SAG</t>
  </si>
  <si>
    <t>WI, GI</t>
  </si>
  <si>
    <t>NI</t>
  </si>
  <si>
    <t>Chichimene quema y usa el gas en campo</t>
  </si>
  <si>
    <t>Cira solo envia un pequeño porcentaje a planta para el aprovechamiento del gas</t>
  </si>
  <si>
    <t>Yarigui-Cantagallo sí envia un % del gas a oleducto</t>
  </si>
  <si>
    <t>Gas commercialized [Mscf/d]</t>
  </si>
  <si>
    <t>Oil production (&gt; 1% modeled production)</t>
  </si>
  <si>
    <t>Gas production (&gt; 1% modeled production )</t>
  </si>
  <si>
    <t>Clasification by production</t>
  </si>
  <si>
    <t>Cummulative Production in R/P@Oil (MSTB) =</t>
  </si>
  <si>
    <t>Cummulative Production en R/P GAS (Gscf - MMScf) =</t>
  </si>
  <si>
    <t>STB/d</t>
  </si>
  <si>
    <t>Mscf/d</t>
  </si>
  <si>
    <t>Oil producers</t>
  </si>
  <si>
    <t>Gas producers</t>
  </si>
  <si>
    <t>Oil and gas producers</t>
  </si>
  <si>
    <t>Total</t>
  </si>
  <si>
    <t>Oil classification by API gravity</t>
  </si>
  <si>
    <t>Lower limit</t>
  </si>
  <si>
    <t>Upper Limit</t>
  </si>
  <si>
    <t>Extra Heavy Oil</t>
  </si>
  <si>
    <t>Heavy Oil</t>
  </si>
  <si>
    <t>Medium Oil</t>
  </si>
  <si>
    <t>Light Oil</t>
  </si>
  <si>
    <t>Oil and gas production in the model and Colombia in 2018</t>
  </si>
  <si>
    <t xml:space="preserve">Colombia </t>
  </si>
  <si>
    <t>Model</t>
  </si>
  <si>
    <t>Model/Colombia</t>
  </si>
  <si>
    <t>Oil and gas production in the model (oilfields operated by ECP) and ECP in 2018</t>
  </si>
  <si>
    <t>Oil Production (STB/d)</t>
  </si>
  <si>
    <t>Oilfield in the model  by ECP</t>
  </si>
  <si>
    <t>ECP/ Model ECP</t>
  </si>
  <si>
    <t>Gas production (Mscf/d)</t>
  </si>
  <si>
    <t>Gas commercialized (Mscf/d)</t>
  </si>
  <si>
    <t>Production of the model according API gravity</t>
  </si>
  <si>
    <r>
      <t xml:space="preserve">Production of the Colombia according API gravity </t>
    </r>
    <r>
      <rPr>
        <b/>
        <sz val="11"/>
        <color rgb="FFFF0000"/>
        <rFont val="Calibri"/>
        <family val="2"/>
        <scheme val="minor"/>
      </rPr>
      <t>in 2010</t>
    </r>
  </si>
  <si>
    <t>Oil production STB/d</t>
  </si>
  <si>
    <t>Production of the model according Deparment in 2018</t>
  </si>
  <si>
    <t>Production of Colombia 2018</t>
  </si>
  <si>
    <t>%</t>
  </si>
  <si>
    <t>Gas production Mscf/d</t>
  </si>
  <si>
    <t>Other Deparments</t>
  </si>
  <si>
    <t>Production of the model according sedimentary basin in 2018</t>
  </si>
  <si>
    <t>Production of Colombia 2010 according sedimentary basins in 2018</t>
  </si>
  <si>
    <t>Other bains</t>
  </si>
  <si>
    <t xml:space="preserve">Reserves in model </t>
  </si>
  <si>
    <t>Reserves in Colombia at the end of 2018</t>
  </si>
  <si>
    <t>Oil Reserves (MSTB)</t>
  </si>
  <si>
    <t>Gas Reserves ( Gscf - MMscf)</t>
  </si>
  <si>
    <t>Model/Reality</t>
  </si>
  <si>
    <t>Colombia</t>
  </si>
  <si>
    <t>Oifields by ECP in the model</t>
  </si>
  <si>
    <t>Oifields by ECP&amp;EQUION in the model</t>
  </si>
  <si>
    <t>reserve-replacement ratio (RRR) in Colombia 2018</t>
  </si>
  <si>
    <t>Oil Reserves added (MSTB)</t>
  </si>
  <si>
    <t>Gas Reserves added (Gscf - MMscf)</t>
  </si>
  <si>
    <t>New discoveries</t>
  </si>
  <si>
    <t>EOR and new projects</t>
  </si>
  <si>
    <t>Re-evaluations</t>
  </si>
  <si>
    <t>General balance last years in Colombia</t>
  </si>
  <si>
    <t>Oil</t>
  </si>
  <si>
    <t>Reserves P1 (MSTB)</t>
  </si>
  <si>
    <t>Annual Production  (MSTB)</t>
  </si>
  <si>
    <t>Reserves added (MSTB)</t>
  </si>
  <si>
    <t>RRR</t>
  </si>
  <si>
    <t>R/P</t>
  </si>
  <si>
    <t>R</t>
  </si>
  <si>
    <t>P</t>
  </si>
  <si>
    <t>I</t>
  </si>
  <si>
    <t>I/P</t>
  </si>
  <si>
    <t>Gas</t>
  </si>
  <si>
    <t>GAS</t>
  </si>
  <si>
    <r>
      <t>G</t>
    </r>
    <r>
      <rPr>
        <b/>
        <vertAlign val="subscript"/>
        <sz val="14"/>
        <color theme="1"/>
        <rFont val="Calibri"/>
        <family val="2"/>
        <scheme val="minor"/>
      </rPr>
      <t>USOS</t>
    </r>
  </si>
  <si>
    <r>
      <t>G</t>
    </r>
    <r>
      <rPr>
        <b/>
        <vertAlign val="subscript"/>
        <sz val="14"/>
        <color theme="1"/>
        <rFont val="Calibri"/>
        <family val="2"/>
        <scheme val="minor"/>
      </rPr>
      <t>COMM</t>
    </r>
  </si>
  <si>
    <r>
      <t>G</t>
    </r>
    <r>
      <rPr>
        <b/>
        <vertAlign val="subscript"/>
        <sz val="14"/>
        <color theme="1"/>
        <rFont val="Calibri"/>
        <family val="2"/>
        <scheme val="minor"/>
      </rPr>
      <t>FISCA</t>
    </r>
  </si>
  <si>
    <r>
      <t>G</t>
    </r>
    <r>
      <rPr>
        <b/>
        <vertAlign val="subscript"/>
        <sz val="14"/>
        <color theme="1"/>
        <rFont val="Calibri"/>
        <family val="2"/>
        <scheme val="minor"/>
      </rPr>
      <t>sla</t>
    </r>
  </si>
  <si>
    <r>
      <t>G</t>
    </r>
    <r>
      <rPr>
        <b/>
        <vertAlign val="subscript"/>
        <sz val="14"/>
        <color theme="1"/>
        <rFont val="Calibri"/>
        <family val="2"/>
        <scheme val="minor"/>
      </rPr>
      <t>REI</t>
    </r>
  </si>
  <si>
    <r>
      <t>O</t>
    </r>
    <r>
      <rPr>
        <b/>
        <vertAlign val="subscript"/>
        <sz val="14"/>
        <color theme="1"/>
        <rFont val="Calibri"/>
        <family val="2"/>
        <scheme val="minor"/>
      </rPr>
      <t>FISCA</t>
    </r>
  </si>
  <si>
    <r>
      <t>G</t>
    </r>
    <r>
      <rPr>
        <b/>
        <vertAlign val="subscript"/>
        <sz val="14"/>
        <color theme="1"/>
        <rFont val="Calibri"/>
        <family val="2"/>
        <scheme val="minor"/>
      </rPr>
      <t>FISC</t>
    </r>
  </si>
  <si>
    <r>
      <t>G</t>
    </r>
    <r>
      <rPr>
        <b/>
        <vertAlign val="subscript"/>
        <sz val="14"/>
        <color theme="1"/>
        <rFont val="Calibri"/>
        <family val="2"/>
        <scheme val="minor"/>
      </rPr>
      <t>CONS</t>
    </r>
  </si>
  <si>
    <r>
      <t>G</t>
    </r>
    <r>
      <rPr>
        <b/>
        <vertAlign val="subscript"/>
        <sz val="14"/>
        <color theme="1"/>
        <rFont val="Calibri"/>
        <family val="2"/>
        <scheme val="minor"/>
      </rPr>
      <t>FLA</t>
    </r>
  </si>
  <si>
    <r>
      <t>G</t>
    </r>
    <r>
      <rPr>
        <b/>
        <vertAlign val="subscript"/>
        <sz val="14"/>
        <color theme="1"/>
        <rFont val="Calibri"/>
        <family val="2"/>
        <scheme val="minor"/>
      </rPr>
      <t>PLANT</t>
    </r>
  </si>
  <si>
    <r>
      <t>G</t>
    </r>
    <r>
      <rPr>
        <b/>
        <vertAlign val="subscript"/>
        <sz val="14"/>
        <color theme="1"/>
        <rFont val="Calibri"/>
        <family val="2"/>
        <scheme val="minor"/>
      </rPr>
      <t>TRANS</t>
    </r>
  </si>
  <si>
    <r>
      <t>G</t>
    </r>
    <r>
      <rPr>
        <b/>
        <vertAlign val="subscript"/>
        <sz val="14"/>
        <color theme="1"/>
        <rFont val="Calibri"/>
        <family val="2"/>
        <scheme val="minor"/>
      </rPr>
      <t>PIPE</t>
    </r>
  </si>
  <si>
    <t>2019, MPC/D</t>
  </si>
  <si>
    <t>Orito</t>
  </si>
  <si>
    <r>
      <t>G</t>
    </r>
    <r>
      <rPr>
        <b/>
        <vertAlign val="subscript"/>
        <sz val="14"/>
        <color theme="1"/>
        <rFont val="Calibri"/>
        <family val="2"/>
        <scheme val="minor"/>
      </rPr>
      <t>FISC</t>
    </r>
    <r>
      <rPr>
        <b/>
        <sz val="14"/>
        <color theme="1"/>
        <rFont val="Calibri"/>
        <family val="2"/>
        <scheme val="minor"/>
      </rPr>
      <t xml:space="preserve"> - G</t>
    </r>
    <r>
      <rPr>
        <b/>
        <vertAlign val="subscript"/>
        <sz val="14"/>
        <color theme="1"/>
        <rFont val="Calibri"/>
        <family val="2"/>
        <scheme val="minor"/>
      </rPr>
      <t>REI</t>
    </r>
  </si>
  <si>
    <t>PUTUMAYO</t>
  </si>
  <si>
    <t>Aipe</t>
  </si>
  <si>
    <t>Neiva/Palermo</t>
  </si>
  <si>
    <t>Neiva</t>
  </si>
  <si>
    <t>Villavicencio</t>
  </si>
  <si>
    <t>Puerto Nare</t>
  </si>
  <si>
    <t>Toledo</t>
  </si>
  <si>
    <t>VSM</t>
  </si>
  <si>
    <t>Cordillera Oriental</t>
  </si>
  <si>
    <t>LLO</t>
  </si>
  <si>
    <t>Putumayo</t>
  </si>
  <si>
    <t>ANTIOQUIA</t>
  </si>
  <si>
    <t>CASANARE</t>
  </si>
  <si>
    <t>CESAR</t>
  </si>
  <si>
    <t>CUNDINAMARCA</t>
  </si>
  <si>
    <t>HUILA</t>
  </si>
  <si>
    <t>META</t>
  </si>
  <si>
    <t>NORTE DE SANTANDER</t>
  </si>
  <si>
    <t>SANTANDER</t>
  </si>
  <si>
    <t>SUCRE</t>
  </si>
  <si>
    <t>TOLIMA</t>
  </si>
  <si>
    <t>BOLIVAR</t>
  </si>
  <si>
    <t>MI MODELO</t>
  </si>
  <si>
    <t>offshore</t>
  </si>
  <si>
    <t>RR (Mmboe)</t>
  </si>
  <si>
    <t>G</t>
  </si>
  <si>
    <t>O</t>
  </si>
  <si>
    <t>G (bcf)</t>
  </si>
  <si>
    <t>Total production, boed</t>
  </si>
  <si>
    <t>FR</t>
  </si>
  <si>
    <t>EC year</t>
  </si>
  <si>
    <t>Intercepto</t>
  </si>
  <si>
    <t>Pendiente</t>
  </si>
  <si>
    <t>boe =</t>
  </si>
  <si>
    <t>scf</t>
  </si>
  <si>
    <t>Produccion@LE (boed)</t>
  </si>
  <si>
    <t>Potencial estimado</t>
  </si>
  <si>
    <t>Mmboe</t>
  </si>
  <si>
    <t>Integral</t>
  </si>
  <si>
    <t>Error</t>
  </si>
  <si>
    <t>Apiay Este</t>
  </si>
  <si>
    <t>Castilla</t>
  </si>
  <si>
    <t>Castilla Este</t>
  </si>
  <si>
    <t>Castilla Norte</t>
  </si>
  <si>
    <t>Casabe Sur</t>
  </si>
  <si>
    <t>Chichimene SW</t>
  </si>
  <si>
    <t>Cupiagua</t>
  </si>
  <si>
    <t>Cupiagua Liria</t>
  </si>
  <si>
    <t>Cupiagua Sur</t>
  </si>
  <si>
    <t>Cusiana Norte</t>
  </si>
  <si>
    <t>Cusiana</t>
  </si>
  <si>
    <t>Dina Terciarios</t>
  </si>
  <si>
    <t>Dina Cretaceos</t>
  </si>
  <si>
    <t>Dina Norte</t>
  </si>
  <si>
    <t>Florena</t>
  </si>
  <si>
    <t>Florena Mirador</t>
  </si>
  <si>
    <t>Según ellos</t>
  </si>
  <si>
    <t>Infantas</t>
  </si>
  <si>
    <t>Pauto Sur Recetor</t>
  </si>
  <si>
    <t>Pauto Sur</t>
  </si>
  <si>
    <t>Teca</t>
  </si>
  <si>
    <t>Yarigui</t>
  </si>
  <si>
    <t>RESERVAS TOTAL</t>
  </si>
  <si>
    <t>RESSERVAS CRUDO</t>
  </si>
  <si>
    <t>RESREVAS GAS</t>
  </si>
  <si>
    <t>Bscf</t>
  </si>
  <si>
    <t>RESERVAS DE GAS</t>
  </si>
  <si>
    <t>según ecp</t>
  </si>
  <si>
    <t>Bonga</t>
  </si>
  <si>
    <t>Provincia</t>
  </si>
  <si>
    <t>Mamey</t>
  </si>
  <si>
    <t>Bonanza</t>
  </si>
  <si>
    <t>Mscf</t>
  </si>
  <si>
    <t>años</t>
  </si>
  <si>
    <t>scf/boe</t>
  </si>
  <si>
    <t>Scf</t>
  </si>
  <si>
    <t>ca</t>
  </si>
  <si>
    <t>be/d</t>
  </si>
  <si>
    <t>Mbe/d</t>
  </si>
  <si>
    <t>g</t>
  </si>
  <si>
    <t>o</t>
  </si>
  <si>
    <t>Según yo</t>
  </si>
  <si>
    <t>ECP, 2019</t>
  </si>
  <si>
    <t>G, Mpc</t>
  </si>
  <si>
    <t>O, bl</t>
  </si>
  <si>
    <t>Barriles</t>
  </si>
  <si>
    <t>%O</t>
  </si>
  <si>
    <t>%O, global</t>
  </si>
  <si>
    <t xml:space="preserve">  </t>
  </si>
  <si>
    <t>Total Reservas</t>
  </si>
  <si>
    <t>Total O</t>
  </si>
  <si>
    <t>O (Mmboe)</t>
  </si>
  <si>
    <t>G (Mmboe)</t>
  </si>
  <si>
    <t>O PJ</t>
  </si>
  <si>
    <t>TJ/kbl</t>
  </si>
  <si>
    <t>PJ</t>
  </si>
  <si>
    <t>G, PJ</t>
  </si>
  <si>
    <t>TJ/MPC</t>
  </si>
  <si>
    <t>PJ/MPC</t>
  </si>
  <si>
    <t>J/bl</t>
  </si>
  <si>
    <t>PJ/bl</t>
  </si>
  <si>
    <t>R, totales, PJ</t>
  </si>
  <si>
    <t>Error calculado</t>
  </si>
  <si>
    <t>GOR</t>
  </si>
  <si>
    <t>AKACIAS</t>
  </si>
  <si>
    <t>2018,0231850117098; 8114,754098360656</t>
  </si>
  <si>
    <t>2018,9135831381734; 19754,09836065574</t>
  </si>
  <si>
    <t>2020,027400468384; 9590,163934426233</t>
  </si>
  <si>
    <t>2021,0482435597191; 16885,245901639348</t>
  </si>
  <si>
    <t>2022,0573770491803; 20081,967213114756</t>
  </si>
  <si>
    <t>2023,125761124122; 19016,393442622953</t>
  </si>
  <si>
    <t>2023,9777517564403; 17213,114754098362</t>
  </si>
  <si>
    <t>2024,9744730679158; 16065,573770491805</t>
  </si>
  <si>
    <t>2029,96018735363; 11065,573770491806</t>
  </si>
  <si>
    <t>2035,0222482435597; 7786,885245901642</t>
  </si>
  <si>
    <t>2039,9440281030445; 5409,836065573771</t>
  </si>
  <si>
    <t>2045,0110070257613; 3852,4590163934445</t>
  </si>
  <si>
    <t>2047,9374707259954; 3114,754098360656</t>
  </si>
  <si>
    <t>Column1</t>
  </si>
  <si>
    <t>Column2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</si>
</sst>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_-* #,##0.0_-;\-* #,##0.0_-;_-* &quot;-&quot;??_-;_-@_-"/>
    <numFmt numFmtId="166" formatCode="0.0"/>
    <numFmt numFmtId="167" formatCode="0.0%"/>
    <numFmt numFmtId="168" formatCode="0.0000"/>
    <numFmt numFmtId="169" formatCode="0.000"/>
    <numFmt numFmtId="170" formatCode="_-* #,##0.0_-;\-* #,##0.0_-;_-* &quot;-&quot;?_-;_-@_-"/>
  </numFmts>
  <fonts count="22"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0"/>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sz val="5"/>
      <color theme="1"/>
      <name val="Calibri"/>
      <family val="2"/>
      <scheme val="minor"/>
    </font>
    <font>
      <sz val="8"/>
      <color theme="0" tint="-0.249977111117893"/>
      <name val="Calibri"/>
      <family val="2"/>
      <scheme val="minor"/>
    </font>
    <font>
      <b/>
      <sz val="8"/>
      <color theme="1"/>
      <name val="Calibri"/>
      <family val="2"/>
      <scheme val="minor"/>
    </font>
    <font>
      <b/>
      <sz val="9"/>
      <color theme="1"/>
      <name val="Calibri"/>
      <family val="2"/>
      <scheme val="minor"/>
    </font>
    <font>
      <sz val="11"/>
      <color theme="0" tint="-4.9989318521683403E-2"/>
      <name val="Calibri"/>
      <family val="2"/>
      <scheme val="minor"/>
    </font>
    <font>
      <b/>
      <sz val="11"/>
      <color rgb="FFFF0000"/>
      <name val="Calibri"/>
      <family val="2"/>
      <scheme val="minor"/>
    </font>
    <font>
      <sz val="11"/>
      <color theme="0" tint="-0.34998626667073579"/>
      <name val="Calibri"/>
      <family val="2"/>
      <scheme val="minor"/>
    </font>
    <font>
      <b/>
      <sz val="12"/>
      <color rgb="FF202124"/>
      <name val="Arial"/>
      <family val="2"/>
    </font>
    <font>
      <b/>
      <sz val="14"/>
      <color theme="1"/>
      <name val="Calibri"/>
      <family val="2"/>
      <scheme val="minor"/>
    </font>
    <font>
      <b/>
      <vertAlign val="subscript"/>
      <sz val="14"/>
      <color theme="1"/>
      <name val="Calibri"/>
      <family val="2"/>
      <scheme val="minor"/>
    </font>
    <font>
      <b/>
      <sz val="12"/>
      <color rgb="FFFF0000"/>
      <name val="Calibri"/>
      <family val="2"/>
      <scheme val="minor"/>
    </font>
    <font>
      <sz val="9"/>
      <color indexed="81"/>
      <name val="Tahoma"/>
      <family val="2"/>
    </font>
    <font>
      <b/>
      <sz val="9"/>
      <color indexed="81"/>
      <name val="Tahoma"/>
      <family val="2"/>
    </font>
    <font>
      <sz val="11"/>
      <color rgb="FFFF0000"/>
      <name val="Calibri"/>
      <family val="2"/>
      <scheme val="minor"/>
    </font>
  </fonts>
  <fills count="11">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92D050"/>
        <bgColor indexed="64"/>
      </patternFill>
    </fill>
    <fill>
      <patternFill patternType="solid">
        <fgColor theme="7" tint="0.79998168889431442"/>
        <bgColor indexed="64"/>
      </patternFill>
    </fill>
    <fill>
      <patternFill patternType="solid">
        <fgColor rgb="FFFFFF00"/>
        <bgColor indexed="64"/>
      </patternFill>
    </fill>
  </fills>
  <borders count="27">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double">
        <color indexed="64"/>
      </bottom>
      <diagonal/>
    </border>
    <border>
      <left/>
      <right/>
      <top style="thin">
        <color indexed="64"/>
      </top>
      <bottom style="double">
        <color indexed="64"/>
      </bottom>
      <diagonal/>
    </border>
    <border>
      <left/>
      <right/>
      <top style="double">
        <color indexed="64"/>
      </top>
      <bottom/>
      <diagonal/>
    </border>
    <border>
      <left style="double">
        <color indexed="64"/>
      </left>
      <right/>
      <top style="double">
        <color indexed="64"/>
      </top>
      <bottom/>
      <diagonal/>
    </border>
    <border>
      <left/>
      <right style="double">
        <color indexed="64"/>
      </right>
      <top/>
      <bottom/>
      <diagonal/>
    </border>
    <border>
      <left style="double">
        <color indexed="64"/>
      </left>
      <right/>
      <top/>
      <bottom/>
      <diagonal/>
    </border>
    <border>
      <left style="double">
        <color indexed="64"/>
      </left>
      <right/>
      <top/>
      <bottom style="double">
        <color indexed="64"/>
      </bottom>
      <diagonal/>
    </border>
    <border>
      <left/>
      <right style="double">
        <color indexed="64"/>
      </right>
      <top style="double">
        <color indexed="64"/>
      </top>
      <bottom/>
      <diagonal/>
    </border>
    <border>
      <left/>
      <right style="double">
        <color indexed="64"/>
      </right>
      <top style="thin">
        <color indexed="64"/>
      </top>
      <bottom style="double">
        <color indexed="64"/>
      </bottom>
      <diagonal/>
    </border>
    <border>
      <left/>
      <right style="double">
        <color indexed="64"/>
      </right>
      <top/>
      <bottom style="double">
        <color indexed="64"/>
      </bottom>
      <diagonal/>
    </border>
    <border>
      <left/>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cellStyleXfs>
  <cellXfs count="273">
    <xf numFmtId="0" fontId="0" fillId="0" borderId="0" xfId="0"/>
    <xf numFmtId="0" fontId="0" fillId="2" borderId="0" xfId="0" applyFill="1"/>
    <xf numFmtId="0" fontId="4" fillId="3" borderId="1" xfId="0" applyFont="1" applyFill="1" applyBorder="1" applyAlignment="1">
      <alignment horizontal="center"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2" fillId="2" borderId="0" xfId="0" applyFont="1" applyFill="1" applyAlignment="1">
      <alignment horizontal="center" vertical="center" wrapText="1"/>
    </xf>
    <xf numFmtId="0" fontId="5" fillId="2" borderId="1" xfId="0" applyFont="1" applyFill="1" applyBorder="1" applyAlignment="1">
      <alignment horizontal="center" vertical="center" wrapText="1"/>
    </xf>
    <xf numFmtId="0" fontId="5" fillId="2" borderId="2" xfId="0" applyFont="1" applyFill="1" applyBorder="1" applyAlignment="1">
      <alignment horizontal="center" vertical="center" wrapText="1"/>
    </xf>
    <xf numFmtId="164" fontId="5" fillId="2" borderId="2" xfId="1" applyNumberFormat="1" applyFont="1" applyFill="1" applyBorder="1" applyAlignment="1">
      <alignment horizontal="center" vertical="center" wrapText="1"/>
    </xf>
    <xf numFmtId="43" fontId="5" fillId="2" borderId="2" xfId="1" applyFont="1" applyFill="1" applyBorder="1" applyAlignment="1">
      <alignment horizontal="center" vertical="center" wrapText="1"/>
    </xf>
    <xf numFmtId="17" fontId="5" fillId="2" borderId="2" xfId="0" applyNumberFormat="1" applyFont="1" applyFill="1" applyBorder="1" applyAlignment="1">
      <alignment horizontal="center" vertical="center" wrapText="1"/>
    </xf>
    <xf numFmtId="0" fontId="5" fillId="2" borderId="3" xfId="0" applyFont="1" applyFill="1" applyBorder="1" applyAlignment="1">
      <alignment horizontal="center" vertical="center" wrapText="1"/>
    </xf>
    <xf numFmtId="0" fontId="6" fillId="2" borderId="0" xfId="0" applyFont="1" applyFill="1" applyAlignment="1">
      <alignment horizontal="left" vertical="top"/>
    </xf>
    <xf numFmtId="10" fontId="5" fillId="2" borderId="2" xfId="0" applyNumberFormat="1" applyFont="1" applyFill="1" applyBorder="1" applyAlignment="1">
      <alignment horizontal="center" vertical="center" wrapText="1"/>
    </xf>
    <xf numFmtId="15" fontId="5" fillId="2" borderId="2" xfId="0" applyNumberFormat="1" applyFont="1" applyFill="1" applyBorder="1" applyAlignment="1">
      <alignment horizontal="center" vertical="center" wrapText="1"/>
    </xf>
    <xf numFmtId="9" fontId="5" fillId="2" borderId="2" xfId="0" applyNumberFormat="1" applyFont="1" applyFill="1" applyBorder="1" applyAlignment="1">
      <alignment horizontal="center" vertical="center" wrapText="1"/>
    </xf>
    <xf numFmtId="0" fontId="5" fillId="2" borderId="2" xfId="3" applyFont="1" applyFill="1" applyBorder="1" applyAlignment="1">
      <alignment horizontal="center" vertical="center" wrapText="1"/>
    </xf>
    <xf numFmtId="0" fontId="5" fillId="2" borderId="4" xfId="0" applyFont="1" applyFill="1" applyBorder="1" applyAlignment="1">
      <alignment horizontal="center" vertical="center" wrapText="1"/>
    </xf>
    <xf numFmtId="0" fontId="5" fillId="2" borderId="5" xfId="0" applyFont="1" applyFill="1" applyBorder="1" applyAlignment="1">
      <alignment horizontal="center" vertical="center" wrapText="1"/>
    </xf>
    <xf numFmtId="164" fontId="5" fillId="2" borderId="5" xfId="1" applyNumberFormat="1" applyFont="1" applyFill="1" applyBorder="1" applyAlignment="1">
      <alignment horizontal="center" vertical="center" wrapText="1"/>
    </xf>
    <xf numFmtId="43" fontId="5" fillId="2" borderId="5" xfId="1" applyFont="1" applyFill="1" applyBorder="1" applyAlignment="1">
      <alignment horizontal="center" vertical="center" wrapText="1"/>
    </xf>
    <xf numFmtId="0" fontId="5" fillId="2" borderId="6" xfId="0" applyFont="1" applyFill="1" applyBorder="1" applyAlignment="1">
      <alignment horizontal="center" vertical="center" wrapText="1"/>
    </xf>
    <xf numFmtId="15" fontId="6" fillId="2" borderId="0" xfId="0" applyNumberFormat="1" applyFont="1" applyFill="1" applyAlignment="1">
      <alignment horizontal="left" vertical="top"/>
    </xf>
    <xf numFmtId="0" fontId="5" fillId="4" borderId="1" xfId="0" applyFont="1" applyFill="1" applyBorder="1" applyAlignment="1">
      <alignment horizontal="center" vertical="center" wrapText="1"/>
    </xf>
    <xf numFmtId="0" fontId="5" fillId="4" borderId="2" xfId="0" applyFont="1" applyFill="1" applyBorder="1" applyAlignment="1">
      <alignment horizontal="center" vertical="center" wrapText="1"/>
    </xf>
    <xf numFmtId="164" fontId="5" fillId="4" borderId="2" xfId="1" applyNumberFormat="1" applyFont="1" applyFill="1" applyBorder="1" applyAlignment="1">
      <alignment horizontal="center" vertical="center" wrapText="1"/>
    </xf>
    <xf numFmtId="0" fontId="5" fillId="4" borderId="3" xfId="0" applyFont="1" applyFill="1" applyBorder="1" applyAlignment="1">
      <alignment horizontal="center" vertical="center" wrapText="1"/>
    </xf>
    <xf numFmtId="0" fontId="7" fillId="2" borderId="4" xfId="0" applyFont="1" applyFill="1" applyBorder="1" applyAlignment="1">
      <alignment horizontal="left" vertical="center"/>
    </xf>
    <xf numFmtId="0" fontId="0" fillId="2" borderId="5" xfId="0" applyFill="1" applyBorder="1"/>
    <xf numFmtId="0" fontId="8" fillId="2" borderId="5" xfId="0" applyFont="1" applyFill="1" applyBorder="1" applyAlignment="1">
      <alignment horizontal="center" vertical="center"/>
    </xf>
    <xf numFmtId="0" fontId="6" fillId="2" borderId="5" xfId="0" applyFont="1" applyFill="1" applyBorder="1" applyAlignment="1">
      <alignment horizontal="center"/>
    </xf>
    <xf numFmtId="0" fontId="8" fillId="2" borderId="6" xfId="0" applyFont="1" applyFill="1" applyBorder="1" applyAlignment="1">
      <alignment horizontal="center" vertical="center"/>
    </xf>
    <xf numFmtId="0" fontId="7" fillId="2" borderId="0" xfId="0" applyFont="1" applyFill="1" applyAlignment="1">
      <alignment horizontal="center" vertical="center"/>
    </xf>
    <xf numFmtId="0" fontId="7" fillId="2" borderId="7" xfId="0" applyFont="1" applyFill="1" applyBorder="1"/>
    <xf numFmtId="0" fontId="8" fillId="2" borderId="0" xfId="0" applyFont="1" applyFill="1" applyAlignment="1">
      <alignment horizontal="center" vertical="center"/>
    </xf>
    <xf numFmtId="0" fontId="6" fillId="2" borderId="0" xfId="0" applyFont="1" applyFill="1" applyAlignment="1">
      <alignment horizontal="center"/>
    </xf>
    <xf numFmtId="0" fontId="8" fillId="2" borderId="8" xfId="0" applyFont="1" applyFill="1" applyBorder="1" applyAlignment="1">
      <alignment horizontal="center" vertical="center"/>
    </xf>
    <xf numFmtId="0" fontId="8" fillId="2" borderId="0" xfId="0" applyFont="1" applyFill="1" applyAlignment="1">
      <alignment horizontal="center"/>
    </xf>
    <xf numFmtId="0" fontId="8" fillId="2" borderId="8" xfId="0" applyFont="1" applyFill="1" applyBorder="1" applyAlignment="1">
      <alignment horizontal="center"/>
    </xf>
    <xf numFmtId="0" fontId="7" fillId="2" borderId="9" xfId="0" applyFont="1" applyFill="1" applyBorder="1"/>
    <xf numFmtId="0" fontId="0" fillId="2" borderId="10" xfId="0" applyFill="1" applyBorder="1"/>
    <xf numFmtId="0" fontId="6" fillId="2" borderId="10" xfId="0" applyFont="1" applyFill="1" applyBorder="1" applyAlignment="1">
      <alignment horizontal="center"/>
    </xf>
    <xf numFmtId="0" fontId="6" fillId="2" borderId="11" xfId="0" applyFont="1" applyFill="1" applyBorder="1" applyAlignment="1">
      <alignment horizontal="center"/>
    </xf>
    <xf numFmtId="0" fontId="2" fillId="3" borderId="9" xfId="0" applyFont="1" applyFill="1" applyBorder="1" applyAlignment="1">
      <alignment horizontal="centerContinuous"/>
    </xf>
    <xf numFmtId="0" fontId="0" fillId="3" borderId="10" xfId="0" applyFill="1" applyBorder="1" applyAlignment="1">
      <alignment horizontal="centerContinuous"/>
    </xf>
    <xf numFmtId="0" fontId="0" fillId="3" borderId="10" xfId="0" applyFill="1" applyBorder="1" applyAlignment="1">
      <alignment horizontal="center"/>
    </xf>
    <xf numFmtId="0" fontId="6" fillId="3" borderId="11" xfId="0" applyFont="1" applyFill="1" applyBorder="1" applyAlignment="1">
      <alignment horizontal="center"/>
    </xf>
    <xf numFmtId="0" fontId="2" fillId="3" borderId="10" xfId="0" applyFont="1" applyFill="1" applyBorder="1" applyAlignment="1">
      <alignment horizontal="left"/>
    </xf>
    <xf numFmtId="0" fontId="2" fillId="2" borderId="0" xfId="0" applyFont="1" applyFill="1" applyAlignment="1">
      <alignment horizontal="centerContinuous"/>
    </xf>
    <xf numFmtId="0" fontId="6" fillId="2" borderId="0" xfId="0" applyFont="1" applyFill="1" applyAlignment="1">
      <alignment horizontal="centerContinuous"/>
    </xf>
    <xf numFmtId="0" fontId="2" fillId="3" borderId="7" xfId="0" applyFont="1" applyFill="1" applyBorder="1"/>
    <xf numFmtId="164" fontId="2" fillId="3" borderId="8" xfId="0" applyNumberFormat="1" applyFont="1" applyFill="1" applyBorder="1"/>
    <xf numFmtId="0" fontId="2" fillId="3" borderId="7" xfId="0" applyFont="1" applyFill="1" applyBorder="1" applyAlignment="1">
      <alignment horizontal="left"/>
    </xf>
    <xf numFmtId="0" fontId="2" fillId="3" borderId="0" xfId="0" applyFont="1" applyFill="1" applyAlignment="1">
      <alignment horizontal="left"/>
    </xf>
    <xf numFmtId="0" fontId="2" fillId="3" borderId="5" xfId="0" applyFont="1" applyFill="1" applyBorder="1" applyAlignment="1">
      <alignment horizontal="left"/>
    </xf>
    <xf numFmtId="0" fontId="2" fillId="3" borderId="0" xfId="0" applyFont="1" applyFill="1"/>
    <xf numFmtId="9" fontId="2" fillId="3" borderId="8" xfId="2" applyFont="1" applyFill="1" applyBorder="1"/>
    <xf numFmtId="9" fontId="2" fillId="3" borderId="0" xfId="2" applyFont="1" applyFill="1" applyBorder="1"/>
    <xf numFmtId="2" fontId="2" fillId="3" borderId="0" xfId="2" applyNumberFormat="1" applyFont="1" applyFill="1" applyBorder="1"/>
    <xf numFmtId="10" fontId="2" fillId="3" borderId="12" xfId="0" applyNumberFormat="1" applyFont="1" applyFill="1" applyBorder="1" applyAlignment="1">
      <alignment horizontal="left"/>
    </xf>
    <xf numFmtId="0" fontId="2" fillId="2" borderId="0" xfId="0" applyFont="1" applyFill="1"/>
    <xf numFmtId="9" fontId="2" fillId="2" borderId="0" xfId="2" applyFont="1" applyFill="1" applyBorder="1"/>
    <xf numFmtId="0" fontId="2" fillId="3" borderId="9" xfId="0" applyFont="1" applyFill="1" applyBorder="1"/>
    <xf numFmtId="164" fontId="2" fillId="3" borderId="11" xfId="0" applyNumberFormat="1" applyFont="1" applyFill="1" applyBorder="1"/>
    <xf numFmtId="0" fontId="2" fillId="3" borderId="10" xfId="0" applyFont="1" applyFill="1" applyBorder="1"/>
    <xf numFmtId="9" fontId="2" fillId="3" borderId="11" xfId="2" applyFont="1" applyFill="1" applyBorder="1"/>
    <xf numFmtId="9" fontId="2" fillId="3" borderId="10" xfId="2" applyFont="1" applyFill="1" applyBorder="1"/>
    <xf numFmtId="2" fontId="2" fillId="3" borderId="10" xfId="2" applyNumberFormat="1" applyFont="1" applyFill="1" applyBorder="1"/>
    <xf numFmtId="10" fontId="2" fillId="3" borderId="13" xfId="0" applyNumberFormat="1" applyFont="1" applyFill="1" applyBorder="1" applyAlignment="1">
      <alignment horizontal="left"/>
    </xf>
    <xf numFmtId="165" fontId="5" fillId="2" borderId="2" xfId="1" applyNumberFormat="1" applyFont="1" applyFill="1" applyBorder="1" applyAlignment="1">
      <alignment horizontal="center" vertical="center" wrapText="1"/>
    </xf>
    <xf numFmtId="0" fontId="5" fillId="5" borderId="1" xfId="0" applyFont="1" applyFill="1" applyBorder="1" applyAlignment="1">
      <alignment horizontal="center" vertical="center" wrapText="1"/>
    </xf>
    <xf numFmtId="0" fontId="5" fillId="5" borderId="2" xfId="0" applyFont="1" applyFill="1" applyBorder="1" applyAlignment="1">
      <alignment horizontal="center" vertical="center" wrapText="1"/>
    </xf>
    <xf numFmtId="164" fontId="5" fillId="5" borderId="2" xfId="1" applyNumberFormat="1" applyFont="1" applyFill="1" applyBorder="1" applyAlignment="1">
      <alignment horizontal="center" vertical="center" wrapText="1"/>
    </xf>
    <xf numFmtId="165" fontId="5" fillId="5" borderId="2" xfId="1" applyNumberFormat="1" applyFont="1" applyFill="1" applyBorder="1" applyAlignment="1">
      <alignment horizontal="center" vertical="center" wrapText="1"/>
    </xf>
    <xf numFmtId="0" fontId="2" fillId="3" borderId="11" xfId="0" applyFont="1" applyFill="1" applyBorder="1"/>
    <xf numFmtId="0" fontId="2" fillId="2" borderId="0" xfId="0" applyFont="1" applyFill="1" applyAlignment="1">
      <alignment horizontal="center" wrapText="1"/>
    </xf>
    <xf numFmtId="0" fontId="5" fillId="2" borderId="5" xfId="0" applyFont="1" applyFill="1" applyBorder="1" applyAlignment="1">
      <alignment horizontal="center" vertical="center"/>
    </xf>
    <xf numFmtId="0" fontId="2" fillId="2" borderId="0" xfId="0" applyFont="1" applyFill="1" applyAlignment="1">
      <alignment horizontal="center" vertical="center"/>
    </xf>
    <xf numFmtId="0" fontId="0" fillId="2" borderId="0" xfId="0" applyFill="1" applyAlignment="1">
      <alignment horizontal="center" vertical="center"/>
    </xf>
    <xf numFmtId="0" fontId="0" fillId="2" borderId="5" xfId="0" applyFill="1" applyBorder="1" applyAlignment="1">
      <alignment horizontal="center" vertical="center"/>
    </xf>
    <xf numFmtId="0" fontId="0" fillId="2" borderId="5" xfId="0" applyFill="1" applyBorder="1" applyAlignment="1">
      <alignment horizontal="center"/>
    </xf>
    <xf numFmtId="0" fontId="0" fillId="2" borderId="5" xfId="0" applyFill="1" applyBorder="1" applyAlignment="1">
      <alignment horizontal="center" vertical="center" wrapText="1"/>
    </xf>
    <xf numFmtId="0" fontId="9" fillId="2" borderId="0" xfId="0" applyFont="1" applyFill="1" applyAlignment="1">
      <alignment horizontal="center" vertical="center"/>
    </xf>
    <xf numFmtId="0" fontId="9" fillId="2" borderId="0" xfId="0" applyFont="1" applyFill="1"/>
    <xf numFmtId="0" fontId="0" fillId="2" borderId="0" xfId="0" applyFill="1" applyAlignment="1">
      <alignment horizontal="right"/>
    </xf>
    <xf numFmtId="0" fontId="0" fillId="2" borderId="0" xfId="0" applyFill="1" applyAlignment="1">
      <alignment horizontal="left"/>
    </xf>
    <xf numFmtId="0" fontId="2" fillId="2" borderId="0" xfId="0" applyFont="1" applyFill="1" applyAlignment="1">
      <alignment horizontal="center"/>
    </xf>
    <xf numFmtId="0" fontId="10" fillId="2" borderId="0" xfId="0" applyFont="1" applyFill="1" applyAlignment="1">
      <alignment horizontal="center" wrapText="1"/>
    </xf>
    <xf numFmtId="164" fontId="6" fillId="2" borderId="0" xfId="1" applyNumberFormat="1" applyFont="1" applyFill="1" applyAlignment="1">
      <alignment horizontal="center" vertical="center"/>
    </xf>
    <xf numFmtId="164" fontId="6" fillId="2" borderId="0" xfId="1" applyNumberFormat="1" applyFont="1" applyFill="1" applyAlignment="1">
      <alignment horizontal="center" vertical="center" wrapText="1"/>
    </xf>
    <xf numFmtId="0" fontId="11" fillId="2" borderId="0" xfId="0" applyFont="1" applyFill="1" applyAlignment="1">
      <alignment horizontal="center"/>
    </xf>
    <xf numFmtId="0" fontId="12" fillId="2" borderId="0" xfId="0" applyFont="1" applyFill="1"/>
    <xf numFmtId="164" fontId="7" fillId="2" borderId="5" xfId="1" applyNumberFormat="1" applyFont="1" applyFill="1" applyBorder="1" applyAlignment="1">
      <alignment horizontal="center" vertical="center" wrapText="1"/>
    </xf>
    <xf numFmtId="166" fontId="0" fillId="6" borderId="5" xfId="0" applyNumberFormat="1" applyFill="1" applyBorder="1"/>
    <xf numFmtId="164" fontId="0" fillId="2" borderId="0" xfId="0" applyNumberFormat="1" applyFill="1"/>
    <xf numFmtId="2" fontId="0" fillId="2" borderId="0" xfId="0" applyNumberFormat="1" applyFill="1"/>
    <xf numFmtId="0" fontId="5" fillId="2" borderId="0" xfId="0" applyFont="1" applyFill="1"/>
    <xf numFmtId="0" fontId="0" fillId="2" borderId="14" xfId="0" applyFill="1" applyBorder="1" applyAlignment="1">
      <alignment horizontal="center" vertical="center"/>
    </xf>
    <xf numFmtId="0" fontId="0" fillId="2" borderId="0" xfId="0" applyFill="1" applyAlignment="1">
      <alignment horizontal="center"/>
    </xf>
    <xf numFmtId="0" fontId="12" fillId="2" borderId="0" xfId="0" applyFont="1" applyFill="1" applyAlignment="1">
      <alignment horizontal="center"/>
    </xf>
    <xf numFmtId="0" fontId="0" fillId="2" borderId="0" xfId="0" applyFill="1" applyAlignment="1">
      <alignment horizontal="right" vertical="center"/>
    </xf>
    <xf numFmtId="164" fontId="0" fillId="2" borderId="0" xfId="1" applyNumberFormat="1" applyFont="1" applyFill="1" applyAlignment="1">
      <alignment vertical="center"/>
    </xf>
    <xf numFmtId="167" fontId="0" fillId="2" borderId="0" xfId="0" applyNumberFormat="1" applyFill="1"/>
    <xf numFmtId="0" fontId="0" fillId="2" borderId="0" xfId="0" applyFill="1" applyAlignment="1">
      <alignment horizontal="right" wrapText="1"/>
    </xf>
    <xf numFmtId="167" fontId="0" fillId="2" borderId="0" xfId="0" applyNumberFormat="1" applyFill="1" applyAlignment="1">
      <alignment horizontal="center" vertical="center"/>
    </xf>
    <xf numFmtId="164" fontId="0" fillId="2" borderId="0" xfId="1" applyNumberFormat="1" applyFont="1" applyFill="1"/>
    <xf numFmtId="43" fontId="0" fillId="2" borderId="0" xfId="0" applyNumberFormat="1" applyFill="1"/>
    <xf numFmtId="164" fontId="0" fillId="2" borderId="0" xfId="1" applyNumberFormat="1" applyFont="1" applyFill="1" applyBorder="1" applyAlignment="1">
      <alignment horizontal="center" vertical="center"/>
    </xf>
    <xf numFmtId="167" fontId="0" fillId="2" borderId="0" xfId="1" applyNumberFormat="1" applyFont="1" applyFill="1" applyBorder="1" applyAlignment="1">
      <alignment horizontal="center" vertical="center"/>
    </xf>
    <xf numFmtId="164" fontId="0" fillId="2" borderId="0" xfId="1" applyNumberFormat="1" applyFont="1" applyFill="1" applyAlignment="1">
      <alignment horizontal="center" vertical="center"/>
    </xf>
    <xf numFmtId="10" fontId="0" fillId="2" borderId="0" xfId="0" applyNumberFormat="1" applyFill="1" applyAlignment="1">
      <alignment horizontal="center" vertical="center"/>
    </xf>
    <xf numFmtId="9" fontId="0" fillId="2" borderId="0" xfId="0" applyNumberFormat="1" applyFill="1" applyAlignment="1">
      <alignment horizontal="center" vertical="center"/>
    </xf>
    <xf numFmtId="164" fontId="0" fillId="2" borderId="14" xfId="1" applyNumberFormat="1" applyFont="1" applyFill="1" applyBorder="1" applyAlignment="1">
      <alignment horizontal="center" vertical="center"/>
    </xf>
    <xf numFmtId="9" fontId="0" fillId="2" borderId="14" xfId="0" applyNumberFormat="1" applyFill="1" applyBorder="1" applyAlignment="1">
      <alignment horizontal="center" vertical="center"/>
    </xf>
    <xf numFmtId="0" fontId="0" fillId="2" borderId="16" xfId="0" applyFill="1" applyBorder="1"/>
    <xf numFmtId="9" fontId="0" fillId="2" borderId="0" xfId="0" applyNumberFormat="1" applyFill="1" applyAlignment="1">
      <alignment horizontal="center"/>
    </xf>
    <xf numFmtId="164" fontId="0" fillId="2" borderId="17" xfId="1" applyNumberFormat="1" applyFont="1" applyFill="1" applyBorder="1"/>
    <xf numFmtId="167" fontId="0" fillId="2" borderId="18" xfId="0" applyNumberFormat="1" applyFill="1" applyBorder="1" applyAlignment="1">
      <alignment horizontal="center" vertical="center"/>
    </xf>
    <xf numFmtId="164" fontId="0" fillId="2" borderId="0" xfId="1" applyNumberFormat="1" applyFont="1" applyFill="1" applyBorder="1"/>
    <xf numFmtId="167" fontId="0" fillId="2" borderId="0" xfId="0" applyNumberFormat="1" applyFill="1" applyAlignment="1">
      <alignment horizontal="center"/>
    </xf>
    <xf numFmtId="0" fontId="0" fillId="2" borderId="0" xfId="0" applyFill="1" applyAlignment="1">
      <alignment vertical="center"/>
    </xf>
    <xf numFmtId="164" fontId="0" fillId="2" borderId="19" xfId="1" applyNumberFormat="1" applyFont="1" applyFill="1" applyBorder="1"/>
    <xf numFmtId="164" fontId="0" fillId="2" borderId="14" xfId="1" applyNumberFormat="1" applyFont="1" applyFill="1" applyBorder="1"/>
    <xf numFmtId="167" fontId="0" fillId="2" borderId="14" xfId="0" applyNumberFormat="1" applyFill="1" applyBorder="1" applyAlignment="1">
      <alignment horizontal="center" vertical="center"/>
    </xf>
    <xf numFmtId="164" fontId="0" fillId="2" borderId="20" xfId="1" applyNumberFormat="1" applyFont="1" applyFill="1" applyBorder="1"/>
    <xf numFmtId="167" fontId="0" fillId="2" borderId="14" xfId="1" applyNumberFormat="1" applyFont="1" applyFill="1" applyBorder="1" applyAlignment="1">
      <alignment horizontal="center"/>
    </xf>
    <xf numFmtId="167" fontId="0" fillId="2" borderId="21" xfId="0" applyNumberFormat="1" applyFill="1" applyBorder="1" applyAlignment="1">
      <alignment horizontal="center" vertical="center"/>
    </xf>
    <xf numFmtId="164" fontId="0" fillId="2" borderId="16" xfId="0" applyNumberFormat="1" applyFill="1" applyBorder="1"/>
    <xf numFmtId="0" fontId="0" fillId="7" borderId="15" xfId="0" applyFill="1" applyBorder="1"/>
    <xf numFmtId="164" fontId="0" fillId="7" borderId="15" xfId="0" applyNumberFormat="1" applyFill="1" applyBorder="1"/>
    <xf numFmtId="167" fontId="0" fillId="7" borderId="22" xfId="0" applyNumberFormat="1" applyFill="1" applyBorder="1" applyAlignment="1">
      <alignment horizontal="center" vertical="center"/>
    </xf>
    <xf numFmtId="0" fontId="0" fillId="2" borderId="21" xfId="0" applyFill="1" applyBorder="1" applyAlignment="1">
      <alignment horizontal="center" vertical="center"/>
    </xf>
    <xf numFmtId="9" fontId="0" fillId="2" borderId="18" xfId="0" applyNumberFormat="1" applyFill="1" applyBorder="1" applyAlignment="1">
      <alignment horizontal="center" vertical="center"/>
    </xf>
    <xf numFmtId="43" fontId="0" fillId="2" borderId="0" xfId="0" applyNumberFormat="1" applyFill="1" applyAlignment="1">
      <alignment horizontal="center" vertical="center"/>
    </xf>
    <xf numFmtId="164" fontId="14" fillId="2" borderId="0" xfId="1" applyNumberFormat="1" applyFont="1" applyFill="1" applyAlignment="1">
      <alignment horizontal="center" vertical="center"/>
    </xf>
    <xf numFmtId="167" fontId="0" fillId="2" borderId="0" xfId="0" applyNumberFormat="1" applyFill="1" applyAlignment="1">
      <alignment vertical="center"/>
    </xf>
    <xf numFmtId="0" fontId="0" fillId="2" borderId="14" xfId="0" applyFill="1" applyBorder="1"/>
    <xf numFmtId="9" fontId="0" fillId="2" borderId="23" xfId="0" applyNumberFormat="1" applyFill="1" applyBorder="1" applyAlignment="1">
      <alignment horizontal="center" vertical="center"/>
    </xf>
    <xf numFmtId="43" fontId="0" fillId="2" borderId="14" xfId="0" applyNumberFormat="1" applyFill="1" applyBorder="1" applyAlignment="1">
      <alignment horizontal="center" vertical="center"/>
    </xf>
    <xf numFmtId="0" fontId="14" fillId="2" borderId="0" xfId="0" applyFont="1" applyFill="1"/>
    <xf numFmtId="166" fontId="14" fillId="2" borderId="0" xfId="0" applyNumberFormat="1" applyFont="1" applyFill="1"/>
    <xf numFmtId="164" fontId="0" fillId="2" borderId="0" xfId="0" applyNumberFormat="1" applyFill="1" applyAlignment="1">
      <alignment horizontal="center" vertical="center"/>
    </xf>
    <xf numFmtId="0" fontId="0" fillId="7" borderId="14" xfId="0" applyFill="1" applyBorder="1"/>
    <xf numFmtId="164" fontId="14" fillId="7" borderId="14" xfId="1" applyNumberFormat="1" applyFont="1" applyFill="1" applyBorder="1" applyAlignment="1">
      <alignment horizontal="center" vertical="center"/>
    </xf>
    <xf numFmtId="9" fontId="0" fillId="7" borderId="23" xfId="0" applyNumberFormat="1" applyFill="1" applyBorder="1" applyAlignment="1">
      <alignment horizontal="center" vertical="center"/>
    </xf>
    <xf numFmtId="167" fontId="0" fillId="7" borderId="14" xfId="0" applyNumberFormat="1" applyFill="1" applyBorder="1" applyAlignment="1">
      <alignment vertical="center"/>
    </xf>
    <xf numFmtId="164" fontId="14" fillId="2" borderId="0" xfId="0" applyNumberFormat="1" applyFont="1" applyFill="1"/>
    <xf numFmtId="9" fontId="0" fillId="2" borderId="0" xfId="0" applyNumberFormat="1" applyFill="1"/>
    <xf numFmtId="2" fontId="14" fillId="8" borderId="0" xfId="0" applyNumberFormat="1" applyFont="1" applyFill="1"/>
    <xf numFmtId="0" fontId="0" fillId="2" borderId="24" xfId="0" applyFill="1" applyBorder="1"/>
    <xf numFmtId="0" fontId="2" fillId="2" borderId="24" xfId="0" applyFont="1" applyFill="1" applyBorder="1" applyAlignment="1">
      <alignment horizontal="center" vertical="center"/>
    </xf>
    <xf numFmtId="0" fontId="0" fillId="2" borderId="24" xfId="0" applyFill="1" applyBorder="1" applyAlignment="1">
      <alignment horizontal="center" vertical="center"/>
    </xf>
    <xf numFmtId="1" fontId="0" fillId="2" borderId="0" xfId="0" applyNumberFormat="1" applyFill="1" applyAlignment="1">
      <alignment horizontal="center"/>
    </xf>
    <xf numFmtId="9" fontId="0" fillId="2" borderId="0" xfId="2" applyFont="1" applyFill="1" applyAlignment="1">
      <alignment horizontal="center"/>
    </xf>
    <xf numFmtId="1" fontId="0" fillId="2" borderId="0" xfId="0" applyNumberFormat="1" applyFill="1" applyAlignment="1">
      <alignment horizontal="center" vertical="center"/>
    </xf>
    <xf numFmtId="2" fontId="0" fillId="2" borderId="0" xfId="0" applyNumberFormat="1" applyFill="1" applyAlignment="1">
      <alignment horizontal="center"/>
    </xf>
    <xf numFmtId="166" fontId="0" fillId="2" borderId="0" xfId="0" applyNumberFormat="1" applyFill="1" applyAlignment="1">
      <alignment horizontal="center" vertical="center"/>
    </xf>
    <xf numFmtId="0" fontId="0" fillId="2" borderId="14" xfId="0" applyFill="1" applyBorder="1" applyAlignment="1">
      <alignment vertical="center"/>
    </xf>
    <xf numFmtId="1" fontId="0" fillId="2" borderId="14" xfId="0" applyNumberFormat="1" applyFill="1" applyBorder="1" applyAlignment="1">
      <alignment horizontal="center"/>
    </xf>
    <xf numFmtId="9" fontId="0" fillId="2" borderId="14" xfId="2" applyFont="1" applyFill="1" applyBorder="1" applyAlignment="1">
      <alignment horizontal="center"/>
    </xf>
    <xf numFmtId="1" fontId="0" fillId="2" borderId="14" xfId="0" applyNumberFormat="1" applyFill="1" applyBorder="1" applyAlignment="1">
      <alignment horizontal="center" vertical="center"/>
    </xf>
    <xf numFmtId="167" fontId="0" fillId="2" borderId="14" xfId="0" applyNumberFormat="1" applyFill="1" applyBorder="1" applyAlignment="1">
      <alignment horizontal="center"/>
    </xf>
    <xf numFmtId="2" fontId="0" fillId="7" borderId="15" xfId="0" applyNumberFormat="1" applyFill="1" applyBorder="1" applyAlignment="1">
      <alignment horizontal="center"/>
    </xf>
    <xf numFmtId="9" fontId="0" fillId="7" borderId="15" xfId="2" applyFont="1" applyFill="1" applyBorder="1" applyAlignment="1">
      <alignment horizontal="center"/>
    </xf>
    <xf numFmtId="166" fontId="0" fillId="7" borderId="15" xfId="0" applyNumberFormat="1" applyFill="1" applyBorder="1" applyAlignment="1">
      <alignment horizontal="center" vertical="center"/>
    </xf>
    <xf numFmtId="167" fontId="0" fillId="7" borderId="15" xfId="0" applyNumberFormat="1" applyFill="1" applyBorder="1" applyAlignment="1">
      <alignment horizontal="center"/>
    </xf>
    <xf numFmtId="1" fontId="0" fillId="2" borderId="5" xfId="0" applyNumberFormat="1" applyFill="1" applyBorder="1" applyAlignment="1">
      <alignment horizontal="center" vertical="center"/>
    </xf>
    <xf numFmtId="9" fontId="0" fillId="2" borderId="5" xfId="0" applyNumberFormat="1" applyFill="1" applyBorder="1" applyAlignment="1">
      <alignment horizontal="center" vertical="center"/>
    </xf>
    <xf numFmtId="2" fontId="0" fillId="2" borderId="5" xfId="0" applyNumberFormat="1" applyFill="1" applyBorder="1" applyAlignment="1">
      <alignment horizontal="center" vertical="center"/>
    </xf>
    <xf numFmtId="166" fontId="0" fillId="2" borderId="5" xfId="0" applyNumberFormat="1" applyFill="1" applyBorder="1" applyAlignment="1">
      <alignment horizontal="center" vertical="center"/>
    </xf>
    <xf numFmtId="0" fontId="0" fillId="2" borderId="15" xfId="0" applyFill="1" applyBorder="1"/>
    <xf numFmtId="1" fontId="0" fillId="2" borderId="15" xfId="0" applyNumberFormat="1" applyFill="1" applyBorder="1" applyAlignment="1">
      <alignment horizontal="center" vertical="center"/>
    </xf>
    <xf numFmtId="9" fontId="0" fillId="2" borderId="15" xfId="0" applyNumberFormat="1" applyFill="1" applyBorder="1" applyAlignment="1">
      <alignment horizontal="center" vertical="center"/>
    </xf>
    <xf numFmtId="2" fontId="0" fillId="2" borderId="15" xfId="0" applyNumberFormat="1" applyFill="1" applyBorder="1" applyAlignment="1">
      <alignment horizontal="center" vertical="center"/>
    </xf>
    <xf numFmtId="166" fontId="0" fillId="2" borderId="15" xfId="0" applyNumberFormat="1" applyFill="1" applyBorder="1" applyAlignment="1">
      <alignment horizontal="center" vertical="center"/>
    </xf>
    <xf numFmtId="0" fontId="0" fillId="2" borderId="14" xfId="0" applyFill="1" applyBorder="1" applyAlignment="1">
      <alignment horizontal="right"/>
    </xf>
    <xf numFmtId="9" fontId="0" fillId="2" borderId="0" xfId="2" applyFont="1" applyFill="1" applyAlignment="1">
      <alignment horizontal="center" vertical="center"/>
    </xf>
    <xf numFmtId="9" fontId="0" fillId="2" borderId="14" xfId="2" applyFont="1" applyFill="1" applyBorder="1" applyAlignment="1">
      <alignment horizontal="center" vertical="center"/>
    </xf>
    <xf numFmtId="2" fontId="0" fillId="2" borderId="14" xfId="0" applyNumberFormat="1" applyFill="1" applyBorder="1" applyAlignment="1">
      <alignment horizontal="center"/>
    </xf>
    <xf numFmtId="0" fontId="16" fillId="2" borderId="0" xfId="0" applyFont="1" applyFill="1" applyAlignment="1">
      <alignment horizontal="center" vertical="center" wrapText="1"/>
    </xf>
    <xf numFmtId="0" fontId="0" fillId="9" borderId="0" xfId="0" applyFill="1"/>
    <xf numFmtId="0" fontId="16" fillId="6" borderId="0" xfId="0" applyFont="1" applyFill="1" applyAlignment="1">
      <alignment horizontal="center" vertical="center" wrapText="1"/>
    </xf>
    <xf numFmtId="0" fontId="5" fillId="6" borderId="5" xfId="0" applyFont="1" applyFill="1" applyBorder="1" applyAlignment="1">
      <alignment horizontal="center" vertical="center" wrapText="1"/>
    </xf>
    <xf numFmtId="0" fontId="2" fillId="0" borderId="0" xfId="0" applyFont="1"/>
    <xf numFmtId="1" fontId="5" fillId="6" borderId="5" xfId="0" applyNumberFormat="1" applyFont="1" applyFill="1" applyBorder="1" applyAlignment="1">
      <alignment horizontal="center" vertical="center" wrapText="1"/>
    </xf>
    <xf numFmtId="166" fontId="5" fillId="2" borderId="5" xfId="0" applyNumberFormat="1" applyFont="1" applyFill="1" applyBorder="1" applyAlignment="1">
      <alignment horizontal="center" vertical="center" wrapText="1"/>
    </xf>
    <xf numFmtId="9" fontId="0" fillId="0" borderId="0" xfId="2" applyFont="1"/>
    <xf numFmtId="164" fontId="0" fillId="0" borderId="0" xfId="1" applyNumberFormat="1" applyFont="1"/>
    <xf numFmtId="164" fontId="0" fillId="0" borderId="0" xfId="0" applyNumberFormat="1"/>
    <xf numFmtId="0" fontId="5" fillId="9" borderId="5" xfId="0" applyFont="1" applyFill="1" applyBorder="1" applyAlignment="1">
      <alignment horizontal="center" vertical="center"/>
    </xf>
    <xf numFmtId="164" fontId="0" fillId="9" borderId="0" xfId="1" applyNumberFormat="1" applyFont="1" applyFill="1"/>
    <xf numFmtId="9" fontId="0" fillId="9" borderId="0" xfId="2" applyFont="1" applyFill="1"/>
    <xf numFmtId="164" fontId="0" fillId="9" borderId="0" xfId="0" applyNumberFormat="1" applyFill="1"/>
    <xf numFmtId="0" fontId="0" fillId="9" borderId="5" xfId="0" applyFill="1" applyBorder="1" applyAlignment="1">
      <alignment horizontal="center" vertical="center" wrapText="1"/>
    </xf>
    <xf numFmtId="0" fontId="0" fillId="0" borderId="0" xfId="0" applyAlignment="1">
      <alignment horizontal="center" vertical="center"/>
    </xf>
    <xf numFmtId="43" fontId="0" fillId="0" borderId="0" xfId="1" applyFont="1" applyAlignment="1">
      <alignment horizontal="center" vertical="center"/>
    </xf>
    <xf numFmtId="10" fontId="0" fillId="0" borderId="0" xfId="0" applyNumberFormat="1" applyAlignment="1">
      <alignment horizontal="center" vertical="center"/>
    </xf>
    <xf numFmtId="165" fontId="0" fillId="0" borderId="9" xfId="1" applyNumberFormat="1" applyFont="1" applyBorder="1" applyAlignment="1">
      <alignment horizontal="center" vertical="center"/>
    </xf>
    <xf numFmtId="165" fontId="0" fillId="0" borderId="10" xfId="1" applyNumberFormat="1" applyFont="1" applyBorder="1" applyAlignment="1">
      <alignment horizontal="center" vertical="center"/>
    </xf>
    <xf numFmtId="0" fontId="0" fillId="0" borderId="11" xfId="0" applyBorder="1" applyAlignment="1">
      <alignment horizontal="center" vertical="center"/>
    </xf>
    <xf numFmtId="10" fontId="0" fillId="0" borderId="13" xfId="0" applyNumberFormat="1" applyBorder="1" applyAlignment="1">
      <alignment horizontal="center" vertical="center"/>
    </xf>
    <xf numFmtId="1" fontId="0" fillId="0" borderId="9" xfId="1" applyNumberFormat="1" applyFont="1" applyBorder="1" applyAlignment="1">
      <alignment horizontal="center" vertical="center"/>
    </xf>
    <xf numFmtId="164" fontId="0" fillId="0" borderId="9" xfId="1" applyNumberFormat="1" applyFont="1" applyBorder="1" applyAlignment="1">
      <alignment horizontal="center" vertical="center"/>
    </xf>
    <xf numFmtId="164" fontId="0" fillId="0" borderId="10" xfId="1" applyNumberFormat="1" applyFont="1" applyBorder="1" applyAlignment="1">
      <alignment horizontal="center" vertical="center"/>
    </xf>
    <xf numFmtId="0" fontId="0" fillId="0" borderId="11" xfId="0" applyBorder="1"/>
    <xf numFmtId="0" fontId="0" fillId="0" borderId="0" xfId="0" applyAlignment="1">
      <alignment horizontal="center"/>
    </xf>
    <xf numFmtId="0" fontId="0" fillId="0" borderId="10" xfId="0" applyBorder="1" applyAlignment="1">
      <alignment horizontal="center" vertical="center"/>
    </xf>
    <xf numFmtId="0" fontId="0" fillId="0" borderId="4" xfId="0" applyBorder="1" applyAlignment="1">
      <alignment horizontal="centerContinuous" vertical="center"/>
    </xf>
    <xf numFmtId="0" fontId="0" fillId="0" borderId="5" xfId="0" applyBorder="1" applyAlignment="1">
      <alignment horizontal="centerContinuous" vertical="center"/>
    </xf>
    <xf numFmtId="0" fontId="0" fillId="0" borderId="6" xfId="0" applyBorder="1" applyAlignment="1">
      <alignment horizontal="centerContinuous" vertical="center"/>
    </xf>
    <xf numFmtId="0" fontId="0" fillId="0" borderId="9" xfId="0" applyBorder="1"/>
    <xf numFmtId="1" fontId="0" fillId="0" borderId="13" xfId="0" applyNumberFormat="1" applyBorder="1"/>
    <xf numFmtId="165" fontId="0" fillId="0" borderId="0" xfId="0" applyNumberFormat="1"/>
    <xf numFmtId="164" fontId="0" fillId="0" borderId="0" xfId="1" applyNumberFormat="1" applyFont="1" applyBorder="1" applyAlignment="1">
      <alignment horizontal="center" vertical="center"/>
    </xf>
    <xf numFmtId="164" fontId="0" fillId="0" borderId="0" xfId="0" applyNumberFormat="1" applyAlignment="1">
      <alignment horizontal="center"/>
    </xf>
    <xf numFmtId="164" fontId="0" fillId="0" borderId="0" xfId="1" applyNumberFormat="1" applyFont="1" applyBorder="1" applyAlignment="1">
      <alignment horizontal="center"/>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5" xfId="0" applyFont="1" applyBorder="1" applyAlignment="1">
      <alignment horizontal="center" vertical="center"/>
    </xf>
    <xf numFmtId="0" fontId="2" fillId="0" borderId="1" xfId="0" applyFont="1" applyBorder="1"/>
    <xf numFmtId="0" fontId="2" fillId="0" borderId="3" xfId="0" applyFont="1" applyBorder="1"/>
    <xf numFmtId="0" fontId="2" fillId="0" borderId="25" xfId="0" applyFont="1" applyBorder="1"/>
    <xf numFmtId="168" fontId="0" fillId="0" borderId="0" xfId="0" applyNumberFormat="1"/>
    <xf numFmtId="168" fontId="0" fillId="0" borderId="7" xfId="0" applyNumberFormat="1" applyBorder="1"/>
    <xf numFmtId="168" fontId="0" fillId="0" borderId="8" xfId="0" applyNumberFormat="1" applyBorder="1"/>
    <xf numFmtId="168" fontId="0" fillId="0" borderId="9" xfId="0" applyNumberFormat="1" applyBorder="1"/>
    <xf numFmtId="168" fontId="0" fillId="0" borderId="11" xfId="0" applyNumberFormat="1" applyBorder="1"/>
    <xf numFmtId="10" fontId="0" fillId="0" borderId="0" xfId="0" applyNumberFormat="1"/>
    <xf numFmtId="166" fontId="0" fillId="0" borderId="0" xfId="0" applyNumberFormat="1"/>
    <xf numFmtId="166" fontId="0" fillId="0" borderId="0" xfId="0" applyNumberFormat="1" applyAlignment="1">
      <alignment horizontal="center" vertical="center"/>
    </xf>
    <xf numFmtId="1" fontId="0" fillId="0" borderId="0" xfId="0" applyNumberFormat="1" applyAlignment="1">
      <alignment horizontal="center" vertical="center"/>
    </xf>
    <xf numFmtId="0" fontId="0" fillId="0" borderId="7" xfId="0" applyBorder="1"/>
    <xf numFmtId="0" fontId="0" fillId="0" borderId="8" xfId="0" applyBorder="1"/>
    <xf numFmtId="1" fontId="0" fillId="0" borderId="26" xfId="0" applyNumberFormat="1" applyBorder="1"/>
    <xf numFmtId="9" fontId="21" fillId="10" borderId="0" xfId="2" applyFont="1" applyFill="1"/>
    <xf numFmtId="169" fontId="2" fillId="0" borderId="25" xfId="0" applyNumberFormat="1" applyFont="1" applyBorder="1" applyAlignment="1">
      <alignment horizontal="center" vertical="center"/>
    </xf>
    <xf numFmtId="1" fontId="2" fillId="0" borderId="25" xfId="0" applyNumberFormat="1" applyFont="1" applyBorder="1" applyAlignment="1">
      <alignment horizontal="center" vertical="center"/>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1" fontId="2" fillId="3" borderId="9" xfId="1" applyNumberFormat="1" applyFont="1" applyFill="1" applyBorder="1" applyAlignment="1">
      <alignment horizontal="center" vertical="center"/>
    </xf>
    <xf numFmtId="1" fontId="0" fillId="3" borderId="0" xfId="0" applyNumberFormat="1" applyFill="1" applyAlignment="1">
      <alignment horizontal="center" vertical="center"/>
    </xf>
    <xf numFmtId="9" fontId="0" fillId="3" borderId="0" xfId="2" applyFont="1" applyFill="1" applyAlignment="1">
      <alignment horizontal="center" vertical="center"/>
    </xf>
    <xf numFmtId="9" fontId="0" fillId="0" borderId="0" xfId="0" applyNumberFormat="1"/>
    <xf numFmtId="170" fontId="0" fillId="0" borderId="0" xfId="0" applyNumberFormat="1"/>
    <xf numFmtId="166" fontId="0" fillId="0" borderId="0" xfId="0" applyNumberFormat="1" applyAlignment="1">
      <alignment horizontal="center"/>
    </xf>
    <xf numFmtId="0" fontId="2" fillId="0" borderId="0" xfId="0" applyFont="1" applyAlignment="1">
      <alignment horizontal="center" vertical="center"/>
    </xf>
    <xf numFmtId="1" fontId="0" fillId="0" borderId="0" xfId="0" applyNumberFormat="1"/>
    <xf numFmtId="1" fontId="0" fillId="0" borderId="0" xfId="0" applyNumberFormat="1" applyAlignment="1">
      <alignment horizontal="center"/>
    </xf>
    <xf numFmtId="2" fontId="0" fillId="0" borderId="5" xfId="0" applyNumberFormat="1" applyBorder="1"/>
    <xf numFmtId="0" fontId="0" fillId="10" borderId="0" xfId="0" applyFill="1" applyAlignment="1">
      <alignment horizontal="center" vertical="center"/>
    </xf>
    <xf numFmtId="1" fontId="0" fillId="10" borderId="0" xfId="0" applyNumberFormat="1" applyFill="1" applyAlignment="1">
      <alignment horizontal="center" vertical="center"/>
    </xf>
    <xf numFmtId="169" fontId="0" fillId="0" borderId="0" xfId="0" applyNumberFormat="1"/>
    <xf numFmtId="2" fontId="2" fillId="0" borderId="0" xfId="1" applyNumberFormat="1" applyFont="1" applyBorder="1" applyAlignment="1">
      <alignment horizontal="center" vertical="center"/>
    </xf>
    <xf numFmtId="1" fontId="2" fillId="0" borderId="0" xfId="0" applyNumberFormat="1" applyFont="1" applyAlignment="1">
      <alignment horizontal="center" vertical="center"/>
    </xf>
    <xf numFmtId="1" fontId="2" fillId="0" borderId="0" xfId="1" applyNumberFormat="1" applyFont="1" applyBorder="1" applyAlignment="1">
      <alignment horizontal="center" vertical="center"/>
    </xf>
    <xf numFmtId="0" fontId="2" fillId="3" borderId="1" xfId="0" applyFont="1" applyFill="1" applyBorder="1" applyAlignment="1">
      <alignment horizontal="center"/>
    </xf>
    <xf numFmtId="0" fontId="2" fillId="3" borderId="2" xfId="0" applyFont="1" applyFill="1" applyBorder="1" applyAlignment="1">
      <alignment horizontal="center"/>
    </xf>
    <xf numFmtId="0" fontId="2" fillId="3" borderId="3" xfId="0" applyFont="1" applyFill="1" applyBorder="1" applyAlignment="1">
      <alignment horizontal="center"/>
    </xf>
    <xf numFmtId="0" fontId="0" fillId="3" borderId="5" xfId="0" applyFill="1" applyBorder="1" applyAlignment="1">
      <alignment horizontal="center"/>
    </xf>
    <xf numFmtId="0" fontId="2" fillId="3" borderId="7" xfId="0" applyFont="1" applyFill="1" applyBorder="1" applyAlignment="1">
      <alignment horizontal="left"/>
    </xf>
    <xf numFmtId="0" fontId="2" fillId="3" borderId="0" xfId="0" applyFont="1" applyFill="1" applyAlignment="1">
      <alignment horizontal="left"/>
    </xf>
    <xf numFmtId="0" fontId="15" fillId="0" borderId="5" xfId="0" applyFont="1" applyBorder="1" applyAlignment="1">
      <alignment horizontal="center"/>
    </xf>
    <xf numFmtId="0" fontId="15" fillId="0" borderId="5" xfId="0" applyFont="1" applyBorder="1" applyAlignment="1">
      <alignment horizontal="center" vertical="center"/>
    </xf>
    <xf numFmtId="0" fontId="15" fillId="2" borderId="15" xfId="0" applyFont="1" applyFill="1" applyBorder="1" applyAlignment="1">
      <alignment horizontal="center" vertical="center"/>
    </xf>
    <xf numFmtId="0" fontId="2" fillId="2" borderId="15" xfId="0" applyFont="1" applyFill="1" applyBorder="1" applyAlignment="1">
      <alignment horizontal="center"/>
    </xf>
    <xf numFmtId="0" fontId="2" fillId="2" borderId="14" xfId="0" applyFont="1" applyFill="1" applyBorder="1" applyAlignment="1">
      <alignment horizontal="center"/>
    </xf>
    <xf numFmtId="0" fontId="2" fillId="2" borderId="0" xfId="0" applyFont="1" applyFill="1" applyAlignment="1">
      <alignment horizontal="center" vertical="center" wrapText="1"/>
    </xf>
    <xf numFmtId="0" fontId="2" fillId="2" borderId="15" xfId="0" applyFont="1" applyFill="1" applyBorder="1" applyAlignment="1">
      <alignment horizontal="center" vertical="center"/>
    </xf>
    <xf numFmtId="0" fontId="2" fillId="2" borderId="15" xfId="0" applyFont="1" applyFill="1" applyBorder="1" applyAlignment="1">
      <alignment horizontal="center" wrapText="1"/>
    </xf>
    <xf numFmtId="0" fontId="18" fillId="0" borderId="0" xfId="0" applyFont="1" applyAlignment="1">
      <alignment horizontal="center"/>
    </xf>
    <xf numFmtId="0" fontId="0" fillId="0" borderId="10" xfId="0" applyBorder="1" applyAlignment="1">
      <alignment horizontal="center"/>
    </xf>
  </cellXfs>
  <cellStyles count="4">
    <cellStyle name="Hipervínculo" xfId="3" builtinId="8"/>
    <cellStyle name="Millares" xfId="1" builtinId="3"/>
    <cellStyle name="Normal" xfId="0" builtinId="0"/>
    <cellStyle name="Porcentaje" xfId="2" builtinId="5"/>
  </cellStyles>
  <dxfs count="46">
    <dxf>
      <fill>
        <patternFill>
          <bgColor rgb="FFFF0000"/>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microsoft.com/office/2017/06/relationships/rdRichValueStructure" Target="richData/rdrichvaluestructure.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17/06/relationships/rdSupportingPropertyBagStructure" Target="richData/rdsupportingpropertybagstructure.xml"/><Relationship Id="rId7" Type="http://schemas.openxmlformats.org/officeDocument/2006/relationships/worksheet" Target="worksheets/sheet7.xml"/><Relationship Id="rId12" Type="http://schemas.openxmlformats.org/officeDocument/2006/relationships/connections" Target="connections.xml"/><Relationship Id="rId17" Type="http://schemas.microsoft.com/office/2017/06/relationships/rdRichValue" Target="richData/rdrichvalue.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20/07/relationships/rdRichValueWebImage" Target="richData/rdRichValueWebImage.xml"/><Relationship Id="rId20" Type="http://schemas.microsoft.com/office/2017/06/relationships/richStyles" Target="richData/rich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sheetMetadata" Target="metadata.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microsoft.com/office/2017/06/relationships/rdArray" Target="richData/rdarray.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microsoft.com/office/2017/06/relationships/rdSupportingPropertyBag" Target="richData/rdsupportingpropertybag.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8">
          <cx:pt idx="0">10106924</cx:pt>
          <cx:pt idx="1">10106936</cx:pt>
          <cx:pt idx="2">10106929</cx:pt>
          <cx:pt idx="3">9421486</cx:pt>
          <cx:pt idx="4">10106933</cx:pt>
          <cx:pt idx="5">10106930</cx:pt>
          <cx:pt idx="6">10106928</cx:pt>
          <cx:pt idx="7">10106951</cx:pt>
        </cx:lvl>
      </cx:strDim>
      <cx:strDim type="cat">
        <cx:f>_xlchart.v6.13</cx:f>
        <cx:nf>_xlchart.v6.12</cx:nf>
      </cx:strDim>
      <cx:numDim type="colorVal">
        <cx:f>_xlchart.v6.15</cx:f>
        <cx:nf>_xlchart.v6.14</cx:nf>
      </cx:numDim>
    </cx:data>
  </cx:chartData>
  <cx:chart>
    <cx:title pos="t" align="ctr" overlay="0">
      <cx:tx>
        <cx:txData>
          <cx:v>Oil production</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Oil production</a:t>
          </a:r>
        </a:p>
      </cx:txPr>
    </cx:title>
    <cx:plotArea>
      <cx:plotAreaRegion>
        <cx:series layoutId="regionMap" uniqueId="{4E3DC997-3E87-41FC-ACE6-F30E991338C0}" formatIdx="0">
          <cx:tx>
            <cx:txData>
              <cx:f>_xlchart.v6.14</cx:f>
              <cx:v>Oil production STB/d</cx:v>
            </cx:txData>
          </cx:tx>
          <cx:spPr>
            <a:solidFill>
              <a:schemeClr val="bg1">
                <a:lumMod val="95000"/>
              </a:schemeClr>
            </a:solidFill>
          </cx:spPr>
          <cx:dataPt idx="7">
            <cx:spPr>
              <a:solidFill>
                <a:sysClr val="window" lastClr="FFFFFF">
                  <a:lumMod val="95000"/>
                </a:sysClr>
              </a:solidFill>
            </cx:spPr>
          </cx:dataPt>
          <cx:dataLabels>
            <cx:spPr>
              <a:noFill/>
            </cx:spPr>
            <cx:txPr>
              <a:bodyPr spcFirstLastPara="1" vertOverflow="ellipsis" horzOverflow="overflow" wrap="square" lIns="0" tIns="0" rIns="0" bIns="0" anchor="ctr" anchorCtr="1"/>
              <a:lstStyle/>
              <a:p>
                <a:pPr algn="ctr" rtl="0">
                  <a:defRPr sz="400">
                    <a:solidFill>
                      <a:sysClr val="windowText" lastClr="000000"/>
                    </a:solidFill>
                  </a:defRPr>
                </a:pPr>
                <a:endParaRPr lang="es-ES" sz="400" b="0" i="0" u="none" strike="noStrike" baseline="0">
                  <a:solidFill>
                    <a:sysClr val="windowText" lastClr="000000"/>
                  </a:solidFill>
                  <a:latin typeface="Calibri" panose="020F0502020204030204"/>
                </a:endParaRPr>
              </a:p>
            </cx:txPr>
            <cx:visibility seriesName="0" categoryName="1" value="0"/>
            <cx:separator>, </cx:separator>
          </cx:dataLabels>
          <cx:dataId val="0"/>
          <cx:layoutPr>
            <cx:regionLabelLayout val="showAll"/>
            <cx:geography viewedRegionType="countryRegion" cultureLanguage="es-ES" cultureRegion="CO" attribution="Con tecnología de Bing">
              <cx:geoCache provider="{E9337A44-BEBE-4D9F-B70C-5C5E7DAFC167}">
                <cx:binary>lHpZk+QotuZfKcvnURUghKS22/cBSb7GnhG5vWCRmREIBEgCtP76OdlV09M9y7UZs3hxl7scwTnn
2+I/fqx/+2HeXv1vqzUu/O3H+vcPbYzD3/74I/xo3+xr+N2qH74P/Xv8/Udv/+jf39WPtz9++tdF
OfkHQZj+8aN99fFt/fCf/wF3k299/RpfGxdV3B6nN789vYXJxPBfXv2/XPzt7R+3ed6Gt79/eP1p
latViF79iB/+unT++fcPGGHESpJ/+O2Pf73PX5+4e7Xw5U8KVvnz9f/8tbfXEP/+IWH57xSVBSlw
wVCa4Yx9+G15+8elHP+O8jwvyhQxRhEj2YffXO9j+/cP7PeUUILLHKUspylm9MNvoZ9+XSK/57/e
K4sip/C1FOX/3KOH3myyd//clb9e/+Ym+9ArF8PfP9Bfvz/8+blfj5llBSyK5YhmZc4QLAMWMfx4
fYKDgI/j/9amYnVRdqqmKne11tqYaiIzvd/MPp6skOLeDEQlnM0Tu5JS2Fun9P46xj7yLih0mxCc
cMdKczvNm7r1MrqzdLRLqhCS7mTWFD5JPVv44BStmMZZI3B4EFbc7zuul4LQtJkyNdG6dZI++D3T
Ix9hDyzPU6wmvqeUJVymidkrpCJ570nGznGbl5QnRtDnYWXjQRQ2v+yy9Ee7x+SGdln5pUiXKa/y
LSlui24bT6Id5WdUJLiWiA7HMRT7ZejDdrBabsd8Et1njzp1WMcOP9AsGy9MJu3bGDtyTqPt6qSd
2xPpPXrItUEnveTsRgY7T3wSbH9kk2a3JcrXV4aW9Z0ahS7ZNJeqMS2eXnqZy4Rn1O3PqZLFZSRk
uhFt1LrOdRE/hzhkRyqWeJxWsl1pyNoL0ql2B5WEeCrX0G2clF1x8rNY+0qppX8Qol2O+aDSZ7p1
5NIJlz5Zu4WkMjIJVzVSfFkQJqQOOixf49yaqtB50TezzshtksvxiMiIGjH24rtx1BzpKMP3wbSu
4ynzTPNu8+rRhyTcZB0rb9JlTp5T4/2p8yupsDBOcSVa9FYMWTvXzk5zLeOeKD7hvP3my7Kt+jjT
nm9hxY9iSUrNU5xun/uyXb6xaO1jtkzzYTdemKplwrymrt+/92IVnKAVv6zCphNfKRI3anc+1Em0
+5n00/JciIFWSz+xc1Z6X8mpXFWddDNW3CV5eTu6drSVJEN3LTs73cxE6J/eWxOqrDXqedCFrGPS
5aqKAx2qeWyV4xNbzWGQefdU5jL9vMupPWorzScvC3ZNBjfqo0tnGqoxy9T31IvkZY6K8JAYO5+m
ZEPHpJxmxYe57K4s7mvj0nS8wTAGPJ+FEMe+xOh2WYh9p7IwRzVo7GqB0vkmpTNqiNW654szRe2L
3L0vIuksL3AbrhYa0HPZsqyvimK2z7idN46k3w8Wp2bh81y446xDz904hOeWbvCjKMunn6WS4928
W/MwOes1J6uAc9KzmXjqJX5Ubb43FK/rLc1tFiqFWF63lrkmmbv2ZfalaKBokpTvdF8sN2nGDjDO
urelDMsZ2UCPNklQwn1q88PaDeLgEdRuvakNXXU+mc9r0D7weaXTe8xnUXdq95+XTCHPXTFMJSfF
PCAusOtctaVdd201CvesTdnrMrt15m0Z88Yoz64z6+TLUCzswFwP7w0knja9tz+9jv3ZTZm5sGFC
Ld9WbOtEhjZrZCynK8Nuvphp9dfdDGldGDV/UwSbJ+3y3XI9eqPqkAj7Y0YTHR6nDhF8zlG7n5AR
bjwtLrik0ilGkhcsS5/mEYm7ss+E5QytG4YBlmx3aghCwoFnyamLMf4I+SZbTmZGFe+lpV/9lvWP
s0VWcEEo/Ybl6hhPFjRLnvvcLrwPvkybcs8L3JgehjnfGS3hBJCPSzWNeBSV9UR9dmmMb6XL3FkH
P9xkfp6nZsejxo3fSP8Z9j355PvReo6dnL/iUSb4sCMSilNcsiD5uGboxazI4WPscvY+IsI27tt+
eGM0KVuehx5/zmNH8cExg9pji8pJVDlZYOXTWpCqUIVSVVsQ93ML/fwyON/3Ncu69owMgkuon4qR
qyRxP5NUOFWzBbHHhW1EVFNO0ksIC/HVtpSlqoYCzbeimNIf/d5ne1VkKXNHtCZx4VnWT3ntkr1N
eRR7m93Peu5ivRaivfpyxJ8KuyTXUbXyTRWLHfgEc0DwQNu0OGbMrk8tHYXjJHfrm50mHBooUKhd
Knp/p6gJbS3s2j0kLs++iaDWnRfS6zOc/1jUQRXDwNGipndTTq7nPYYJCog1hJ9hTYvnbqR7W/nF
ym/TWiZPQrggq7im7Tdpx3jJAUwe0LLb41R2eOQ6KdpbPeEU8dGlC+Kxx+NH0avW8r6ledtEgjdW
u2KKscpnNpzZNHnGMxSWm4yxnnBRZuRrr50U52LVmNUhL7PhJLJ+645DoNlciUmLN0Cr4m3ZAhEc
9a1ar27bhg4WX5DrkG5aw2aZdeIbKtLndirtR68oeRvGsJEL2sr2xy5bwJV8K7ICxh5yL4krCeMW
+vAj2XfJKsW2DV3Gsc9QJYtNyirXIbsZwlwklZzT6VsOPf2tFbL7OmSDb7ZiH263VKOe70MvymoN
zq48zp0gn0VaCtRgkw/6Io1HY9M5pE8BUPqeyS5vK1JMg6o2Kld9GDdHDklEvh0uWeb6LNxrU3pV
1lEOxcAj1uVX6i19jsxnHcdFzyLPN20eURLyk+6W8qXEsJ6AmDoSIDWKp1OSnnJl35aM+E/liEbD
IzW+YR1G8FxFaAqPyqPzsTua0k2vGBdWcaL2ahjm5BSpIo9u7eZvWLupKmJR+MoAGOpKrV4fKU2K
n2OXr4d/sNM//mTI/8b+fvQDALJs/6LI/3z5n/fDm/sY/dtbvH0d/uPXV//ntX9/CTTyrzv/4t7/
9uJ/I+L/SpH/Xy/+Gw//0U8u/qL1UvXuXwl1hv8rBl71prff1b9R8F/f+B/km/1eZBhnBaYEFWVB
gUb/Rb4LDDyaUIZgYJc5Yb948V/kG6e/p0VWFiWGP5qXtPwn+U7o7wTYeFGWpCwZgTuT/x/2DYsg
/wv9zrOS4l+/RtKUYFSC4PhX+h2AQWsrVFcjv5B7ZWfA3otuU2XsYwtTUySA6ThZXVOgMeQfwzAv
9ERE4rM73CUrVKuc7/Ewvu/7fE7z+V3HVSaPa1ZKVdlBzEsdZ6bebbpjnq1ASg5bj/PtiZYYujMV
ArlzJ50jHXeKEHPYMRoyngTZbUBXYpyfXavlXhODxvWTLRYTfCU0XsnrXPS9qcaujH2VacSWalhN
VvIxG4y5TrsqE64clv7Jt7MM53Un7c6Jm0X6fe7RNLzPwan5mKWqo3xpf9V8TOZt4nk5D6YRU5K7
p3nQO62c0/EJdbALlYnlaKq+tUt2QGmSB25NbkMje9QNfNn1TI64nJDh7c5YXvXj1FPedcC1au1H
1le002tyEYtsywqWxsy5pS63vJ0HMTTCyB5gaB3bnncynzzs5OyQz/madMo227CToQ7RRHnRZtH6
Tsdy2z/1bYeU/IGCLb/lzjvN9cx8CfzLJo/ZmElA+7UvEp50LrwOIjPwztQ7gNS0RXPLfWLy4pts
9UL5SOZFfPODUA7xNdB1O0zBCf2FbliZ29FnrTxHSru+dnO/DxUNqbInQ9tA6rakia9Fsfb7Z89S
wP6NTSUgsIsJNrxMxn53vERhfzKix/JYkoj252lB41eF4gzgk2991jaOzjZtWmp92wTck7Ea25jG
U1/sEp+s3qgOIMFg9XcmFHa+WoyEuVJWjF1lt31Cxyndk64pEtnOl47KQJtdWtWd6bpreplZOy6P
lI5rcSVbik29xzxtbye6bxsUlSsVB73GzjRYPJ5k6Qyt0yGbEFAft70vsejW2kYgV9k5CDq2FygU
nfElqD7wsdiX/cllgcGHOuR9Ewwr8cNgJzE1U2IKdtOtNNnOqYW+qEPWZX3PW78t28zVPKH8Jm4x
p5Ue6Koqvw9zdykHrfpDV7CtbZbW++01z5EYvuPBj32N51mN1z8p1z4nU34NYRDiVSZ92T8nYtf6
EEvlZfMPIjUlYpm+tAETIHsKCmB+zHZU6B8bgF3R/CsRchLh4ryEfcmufxKfLSl7lfF9G4GWBJQt
sWGp2c1jV7SmPbvoRPaQ7Guibv6kLiMTpT4iNgJO14lFauDDZHVXF4XLgcn8SS6I8FPfoH0t0VlP
k+2HyMNUsHBSQmzLTZxm0T11MmxpbQzK2GUKYlwO1CSa1qRfR/1Zttt2Dd0Ae2fpbD7JYSO4WYXT
S5W6fFLngPNo4HQLv10Zm9f5dbeFTqt9Mm5sShySvC5Jsb4XBTTwTautg/IYjBWew7l7dyqmTUAP
gSK2+bHFUI4NaKc0O8w9rPkrAdk6VFaBb3IBTV6g85i30XxdVz3gerajVVeZgXq90E5CtfRuGMZG
5RSN3yeUrvLZRl+AHlxpEcYatI5bDDcrnvyT3Ych/Mh9UTwjTcxQ7Y7Jq8QrTqFsh+yzMPOEKzlQ
K8/BsbDVeDTlzhfjl7mZGEryJvS0gFk7DMnXrqWl48DmWbWQKFaObK6Pc5eNTyWMGgelJ3SsMirB
TjHAaWYu2Uyutk3M0sDc8qrGXeiuk5Nt4MA0imtKiLsRcSUO2GFqG5Mb/LOldPuerR4pDuRxvqGx
XX2tk7B89FSSZgNn4SGUaTHxdhl6SXhctAj1QAVL6n3qUnE7mjbkdUKHuDW4I50A8iNjeDUzLVyV
gV7fa09pEFyRPnSnHO1ld9pBK4Nw8QRty1FLpiV4ANMGHe6FSDeYEfkwX9iijDsJkbFviyVE3tis
LY08Qd358T2OKtleAhRBtFXMAq48KL3GxvhSgHaQpHyQqH2KGl/Xko0Vcsslh07ie0+e17F4GnO6
AG2G8ZdjErmmC7g9WZJXXbCMszCgE6KJOsmejRdh59igSWI+9NmX6LKHMBRHF+KjhlnIVQ9Fk6B9
rhexMziP1HDt4m1C8U1n1QhDNF3OhXT3eY8/+a79mOGt4Hgzb4taH8c9zPWeEZCGLLzJNXmVjN3r
FJDJbkvVbmm84BAyoJekuEGLp59T4lLeOTxfvOlObm7ba5Hu6JiNKcCKKewBdDl0RxjbKk26j8tQ
XgtNZ47BweIeCrzJ1ii/oEwC84QzGaSLx6wT+cUMtjxi0svHCC0qa+2GLuPT4uz9glmLDlhEekTt
8FNm1lVtsrbcQHc0c8deVdLJm3YNfZND88Ody65uJws4hnZa8GKI91vbtgDU7m5bt5X7TqqnXil2
KEx2Z4yIr0BnviQbZpXW6WWx3XOiWtMscNZHaNiWi6x9LfsR37d2jUfRL4GXilru8748oMyTt6jX
7n5Xy3u+re2hRJuuJpNfEts+kd2Wt2ydH2cCRkDXu/TYTet29P0gwPQZXk3f0aetXdpPiZ3sJbbZ
UPdrl33ZwBi6OhCex8RFegJXKqkUdt/BTgk8H6abPRnzOmDr6j3FogoxkdyBi/g9zOjWGHNTYHsX
dxibbuz1YRbDWCV9xppyK17bTo6cuRlcmN2X4HTYay533QCa12Oq+iqWpj+tdDuQST3A1i03FGqq
X+LGp3F4s9AJfMHDyTvQ7x7MqZ1879vxpEe6cBLMrcr2CxjKWV124WYfW111BORrzNxBG/fQteg8
yfwHjeEc0Hxo01LyUqyHZV0PLWmPpG3tq046f1pa+bPLNeZutdlxWYM96q38MpdrAjWNj/mys0qm
/XGd9bHIZdVOiFTdUiw1jIEn4N8fO5xeQeTdBCk23gvf8a0I11XLykwwQ4mWSRPBSKliO3cHcLvQ
KUlSaOF5YDuX1LIjdmg8DKUsn+mu+o99q8NnRMn8UaYRgfPRio9qc5Ou1tSz86z7VnIstgio7XD3
Mg0RWFLOyoPtdbHxkOL2WqYrvREbUNTZT9PrNA/rS66K7gk+Yh5AocXagbF520af8taswwFod/E2
5EidUiBZJ7eVw91kd/lljmK767YuVuBdsXdGi+4huinWbAMRfAdctKPwsBgLvvs5VnGfwpe+LZP2
1BtSZLfrPGyaSyO2X5bl3odq0dvuD2CMltPZAY/+bhNgpRUtuzjWBUukaajf5o/Z1iqY/HPMtzO0
4RzreTKgW7NZOX1J2bRm33qj8nijIwZTdwm0/6q2hE1vBbgy+XHsjcO0Hjfp5FCVvU9YFXApCw62
k3xUJsBJ9yPQN066rli52lYVarRM6HFCk791uUefNuUjIMFAwSIY3ca70RcTPETcWT3lQRDQ9VgB
uzKgiOoduGU45mGKc+X9BNtApRkNMCQSy9MKvIbwYhL4e5+wz7rArqFkzTlm5aRBpUz3S7I1CYst
2BZTrMCoG2po2fXFrr67msUNJx1igLnYAQIvQ3Kw0rIqYwDFfZeW50X0iGda4wsMhGeT0/ZpXf34
4OSWXpXcMhjESJ/9jM79hL44zFC9jkRVSgfDe5p+ij77Rs3A7knef7R9gb+1ZPCX3iKA5+j7GnKE
5YST5K0cV3a/4/m13/PvyxzWxi7ddtFKteB5I3efRRuvdpjtMUDL3rakAIuatKoqF7O8DNtW1HHv
1QEYhn3fS7MdYIjvlbaqPUBdml9KYsKPw64z8BmmttHUJ0+gKFCzlLOpFegnoI62qGk5gJUMzg0L
IHtQcgkSKCVHKbEAESE5szVFt0DkwtGNLq+opLdm1AMf83y+Ibnw4DcWuOMUrKPn0qH+mk2DACre
mSNxg7ktmBgBd5afYywXsHVWfVROrOfS2aLq0/gJJkMLD1YczC+4EOt0Z2n2Mx/LiqblKRNZNW8G
8xGrJ5mmb3ijX102f5zwAtNS9boC2rdyMZdfo6COq0EZgPmpbMyYUe4s+UrSDHA+KTEEUP2F5TBn
lnbeK8dAV++CnRLF7tYhvfNJ/ATcb+MW7D6/yhc9hJMIc8enyG4T1r1OJHyB3MZxjfC9oOSmhDcj
ns8OFccF9wt41Vt/YqU0F8gBq3EwACyEJjwYnR2Kbrlbt+7ZzdPPDQXM92W4BeZ16zcUb3MFJCAV
XcpZR9/LHmwmsLMXQEl0Swg7dzlYvbbb02ZO/chjAVNUpsehDSNfVHb2Aj1HqY4Tg3UwCva5K2M8
+kRQDqHLjxbv42GKqq8FwEiVM9CIUsEM1EylXHWZ4VjCopOVpHyL67d0ZbXPN0BKyGwrNPgXJdlL
DEHzflOmiv30LCJ4ll058xTF4ejWfD7Htpy4hxF7HhbzCIFH7btoqg7QocFeHAZNYGgk+q6cwSrF
W7lWftZlAy66rAa7fdJ6ukHRk2YsEyilBFTeQjRX3jz7OD4iFtCx7yXi2+JIk6HxR5niwJcifdzl
WuEVPVNdPsxGX0gb7iH2rFqn13pxSj4OPh0OenHxRDqYP5okYFuEsQCHxXQPI3UUIkvfQURJpoUb
O+U3RgcGdwLHWiK23fSKQdyRuZ2jqUWVMOpmthBTggDeqylBd3uW39MtnNPVwWoKT6tsGwCgUXGF
VOBA0UaPZlP27BMocwISTRi71TvOP2Vj2VcuTSZIEsqnPl9uZmlut85iDpripFP5KaNbgxLScrd3
38A2uA3Z9tnM4WXrxqVp96SvNSIGSr84wcwbToVXqIFU09RAjZYquD2p8AIsdYPxwlfYC8hZhYRx
Ghd3O2xgGnRGPM/9aprBuhecDDdWpuUjxb04bxPccjRkO/Tgd9aTLPsbhJLhDDxuPI54oQA4+fQJ
2GoKMYLXFohg4c8+zEOo8EgzC57Dmh6yfe4GsHFssJUuByGrffHi+7gN87ntIpaHbNggN4vg1L/G
qVunppDDnp0gYgdUzFwH2VjZjuvK5w6rQ6nE/JRoQa50DxgoTAL/RgBu1bMqoImE2t4TOLTjhua1
kSnd7i2j4jAlcyjBadpsB7ODTgdJTTzl/RxOGQSS7wYn2SWCk3GOaATNxfB0bMkE/QdW7uZ4lEwV
8CUQanwCcVoNMxxzsi/tsUTFTPlkBIIxg4TNLuVe6vTa2S7cUpJMXyxmvj/qDsPIJjl4G+cSl/io
SlVewbxZyluDjTw7s3TQUWUn/NlZESu2p+EeBYLudyLKh7Zlm3oa9BrWs4l7erMr2hrYYOcvK+RB
x1Gu6E5jYDTHZFHS8RTyXVx34HSBUwABFQNBdwUKsTZexfW9FblrQFbhU7f3GMzDdCd1kcUExkFO
eJLoxyzZtxuF7fOYkv06kEx+MnZhtaBa3UuPwkfs5WO/z9dNFS/EB3/uCdDVjXl6cEo8t3o/wHmD
kmbp66YXchgTpjhd5czXAr9Yqx8FRJRTTFWVTuGBTljzNSvOqyZ3dLWHrk+bPkfjkYXsp9HDBYM2
mH3yza6Z5HH1l701qNGs/+ytvh8gcW2KQm0VBsesZja4iox2Arm3dlBlDHCPsYNM28aAEq0JBEAH
IKe3kyqA4zP91c/qpgMSWYHPCIFsN53Y1t+yrrwkedYkfi34XMzbwRtwFK0o+0eatRHMvbmrsUQI
ULKUTdGLpUkK0A0aglMefZ5eOoLVfQnK4D5zBBIXsBV6HrdfebqnsDrK8AC+XR/rsZzMzdKCK2ct
QncJoroi3XwL4TJ4COAWw7bYjHdtcmSmv5loeyr2+WPa6UbK4dETSLmmJOkgQzcncN26KqrkSkR4
SYdIK7x3XSNYXjYsiTAEKVXngaUWyLM4L2ygfGXJQxn3z2EZS4huxbNOAX8piV8Sn9xriDb5AC5L
FSgEbA6Ro1ZuAZoX7yaXA7IJ+0tU3IM1+72foZ5zcZe39lGvpMEkO8ptezILzSA9GmZuc5jrU5ec
8US+Jwm5glUsIfRMXnFZfMOK7GetdF/7BLRw3z2ILb/Z2HYbJTrvbfF5XbYG0quXYMgJDNPak3Cm
7X50+yLhHwpcowt/2kMPQZ7ApMrz5Xaj7TuR4WL39dbo8TFk2SOMncc8kS8yH98zCJJ78ABkCgSk
s9v9SDp31Dsoky3373NXxKpM509wtnXpC4D2oiFigmeZ3eet0I/jJgZOXXKmELVDWPkwx/7n0M9N
sqbQfuGQ/Xd2zqzJTmTL0v+l30nDJ3AeGzhTnJgjpAjpBVNocCYHHBwH/NfXOpn31pV0s5R227q7
ysrqMU0WeRgc973X+tZezHHqe0izeLeCsbzude5WWmaTUKg4xkcaGHSQdudXdqIQ8Hnd3y+UP7WV
GFMuJpv6JrpfuuAWSt1NrF2dEa4/N0H42kbl3YWBmacEB7V4hz1/yqd+MplfYSUOi3wZ5jFtpVUZ
1S6E2BpHdwTtHbqRrU+LAo7/VDT0YIvwpFzAs6bEATuQeHg/WcjtBC51OowoFs3wDk/wTtbuavZz
ZuV6rPvwnDhUVKZYr+qo3Us+nBtpdpxDO/FEVrk3TZmtW6hTfPkvOkxEqrpB7RPF57QfyxPUxXQR
/aepWg4oKt8pyQ6+7t/abbyFJHat2vlztVmBRdk+N/W4Gz3fjetwV4/szrQVEIBpzSEQ5k1QX6M+
/VhH9UNbF1nrob5o+yleRABKIsGHR8tLATcd2OKrVKOPap25s2X5AtbmuW/GKl07o45lP37tnYLE
jUYQ5QzJB12dZNdq2HnJ2zoVb7YRe6PKZzYln3Cj9TlS6201YWFeKiUALWUxX0M5z1YdDBlrwUPR
Mih3gg7PHU0Obu36T1yL5GrW1ZhOl5qFLgSfZt09rM1U5Ek14K/FWu6cn+/jAvIHpf19tWz7LggS
UFPtnhbDcxNN73m/iB3tjd/HcfQlHqLgME+aZ8Mo+j0P1CPUn88diKklIAH6tvhScPpzVZCbUZoy
XdzwIKAWZZuZj5YseKhifpjLFaujV892ca/4VMtjNSQHaeizrNrT7Ns+Hddg2YMtcXK/dtNyJcKk
flOWbjfUW9jbsgE9kxsqG7wSzW7mYpgAs4T0Cm4KJAFYRqiHQpPBFGg+c+dI5tAmv0oViNM2EBT9
rPD8OoK8/AS/xj/yfvM3rJ2nvJwiiA0cFMFTUM3kBB1rvdZROH6uoGbZbDEAf1CdFG5fzOH6wbZa
HQ0a/3PiV/JhHPn4CbLKmzMbZJX4Irq4soAzInCKl1WI/9RFVmzV/djSKi2n4Fk61h06nMZ9LNos
ZtVOLfN8IxcTH9GI3okhhGY/bzTzIfFpooXZmWrJSRBDGa7jKlUUXylooLwGXpeGCT4TqB0uRUvw
wBt+Rdj4BN8PyzSWG+CXht1XjNkUumgI18m0OR5XifcUrWkDTT3VJm5SKLKPQT/ItG9Nnnj5sulo
xMNvPkZ1/NajPs7mshEZG5yB1Vi8qLHMW9lPIGLC9S2q4tetlMGrmPoDjKRxF3J/1DZ8LAh5Gw37
UsZrlkQ+yFkMpYC75mVb1zAbYJfktaF9OhQotQlcjpO4NKEAOab9WOH1rY6d2tk/x2UAiKC1r7YJ
rmNF7yZHbq2hW670FB3V1CZZp8iURzjUgaboNg2qqUojdFqkG85xUh37oMZGb/wrtIs7HY+f2jB8
qoTxKZn7Nx9t4S0Z3ZFw/lSsXkFLgHK/svYEHOHEsOjWzfC0XFHD6CIcjwJCxW7mluaVGKq8cQ7A
IMflQyu551tvsm0dIJ3BQfoYjheJoYv53lAtvvam6q4lm0k6r4s5tYqWT2xYqqe18+5KUHz0VC7r
nbRFC7V3AGMRYSHnMIPqO9hGArzKGPUCTmbSQRwu6ydnqLolc9Cfp2RCvzeFNMAGyk37FV5d2KVL
UIRvydi6VJoE/h9WayZbs9xHbSkgYc90x7RW71VQsWsry/JEPMOaBxEzkD0O3+hWQJU9BXHP772N
eL4svmyCdG00em3wQfic6qWFwo7Lo8wbsDARCqhSrjsIWVBn+srOD3SdV4j03ljwUyWLB6iH0DvS
NtzIaa1GyJwGHZRek/rbmFQ4xFnHrg2busd27bpr5vr4ivUbPSZJoL/RhamzI5t5KEgSibSsmgk/
SjoOaARICV5TCehGqvXU+M6cElYuV6QwYtfYJHwH4YzZHDsgeWXNHGbtMEYX8am7tbQPDgVxy7Fg
/XQgfBzPPYFXNqkutumWaJYXwxDtNfiQ+2AbsBHXwlKb4SnN7zTr2fvo0nNNcsADBdhyKDtvISAE
orp1y8BPfLbzbpFRdYZ4Fe4XAjcq1cwNe+lR9jbhVJ/EQmyUlobWueslzvQqbqYsGor2VAQqyAIK
nikL1cLPZivZNy0UgJ+ttUxn3CbNjliFWtyLNukfSTttYQrmlKbGoxSD2vOOwK+RmVNL9ZG4sHzf
C9vsNIyHIYd5CkWoWfwXBcc1n03LHrqLsKuJUrlsWP1StjA4TVKHN7VeJ9SyUqJG4eKO1vFyP0a+
9nk79HW0C6F87bd5VbtmEiO2Piket/EukNBJALVRwGnpksitgRseL1fUTupIVnvsitY3adFBr0tB
LtR5CS+yfRTGCL0vbFOXu0C57ispGPlSTMlytQHR/MpZVFS564rpYwEl4r1jTR+BnQJ9lTpfyZuh
ZSVJW+Prj2AK149dGfZih3LGinO0JcG05zoZV51ONb5lXACahtQt0eSgFoH/SrdhXBTqu5HgnIgd
K3bEQN6ECOm3NrpXcYm9ICrUuBx9X6LQAwpI4tNGl6OoLnLhwBuHp1jS6iyKPnkn0av3+cZbBp6i
w4Gzm/tiCg5EbUm0j0Fhww/uFlRSi72gRPO8sd3AEtvmbQIBMJ1Ex/WuGjvY9U2yoAwdNzh8qQZN
qDJlYqmOgm7tFVllafeWO/sGARYcpiYTXJrZJjaBhkvNK8gVnDCVAOycFUO7jntLFZNXrRzK24rg
+Mur2B2gAMfkCJy69o8AUS6rqRzokmvGfNdAz+jIl74L4FDKoMNOGwFNW/dKz1BRheJoZfGPYDcA
FV9kqMKjopwL1vAd4Tig86mbebSrQ9npc4kjV8JmEtrcRE7J6qZfoQN/EqJpxQ1oX/CpUyO6D1M9
LyuumrbwRshMti1VRgBxA6qhzWp7GC1F8pV2m/hWRKgpUg+VcDon1aofZOkCnU0Qi7J6BAORBbL3
0ExAi4CGnawcDiK0nctBcDb9ji7QkE5zEtqvPKCwOEIfbmHelv5dsSRbKuQAGzXhHjuGbarPGoDr
sBsAmyZQEDoGGkQnyfZILArqsLd6Ps+Uyc8wObY1A/wzr/lcFABwwiiQIbDZorlRifPfbLOi6Y/C
ITR5UCBdcQh1EMtdubbjkAchfI7UVnNV5j0ox2u+bHS9dhdk5IDKG5QvWrMSzWgtJ3ae+wlqGdaQ
2PbLxmMgD1FS+PWaBzPIPQC5cZAva6XvBugZahcpIBUZ2Gc13s0VU2y3JQxkZjxD4Dk4B+rkerRB
Is5zo4f7eC08yzQlZ4tjdkGHNa/NU42ab7yhs3IoaHxAge1EBZYhjLclQFnfSfBIazgYPM7aDylY
KIAjC0+wE5MIhcKOuI7pvYsDssKrNzrZdfUUfC6HMGTXA+AcKB/EQU7qC1N/WX1cFqmNegZitMaN
ml4+uKAHQAJSJ3JAbJqSZVjBkCGbKoGtpMMiKbJhW9YnoEHgNCGw1e+kX6l82NTSvtXCT/60xGVp
njXAB7K3UYB2PpzUUKY1irbifRvRVd+A0a5s6vB/WWGYlTPO6LVgE8og1+kPcXApgXhQqhpV+CQh
UNMp2l7EKELQsXIpYyjV9RhlcVuW71HrMpmaAOmFh6ij/sti5sLnGhz7lNqg8q9NHcE53YpO8hRx
l/mNGK+brNIlNEO7xHy8G1TrvsH+rJsLSOrcbkj8tKaExOy9p1qj/IoNDtMBakaTgcsK1q8hXCSz
V6Br4kOYOFVmYSmjGB9Y6TTq8LpWVy2tt28cEQhyYmPL5a4fWpek7bb67hyHfQe6cRnAUnWi5u3e
JbaM0krX9L3jC98Ohsdi28VUFJ9KiLzzRwFIY7oagpqOuaqFwT4ej0uSWZQ7EIwDHVyjLQehH2HN
sDRx8fTYuTG83foCEY1KBZ3Ip23sQa7OLTgbbOZoqYGrtMcVMNQeuyHA1NC5IWsaWsMJ39AXotbT
TFxHZjVjXpVhO121TCUc2+KI7RPmBlwK28YEdj88/S6faw43XpSer/vCGTO/wMOUnwoYjdBVSUs/
U50EL0UjBpcnW8vR6GNxwBEYEq73vVtH8QDFgzVZKDaw0aaYYn5dL8F4x+uhAw9aTZ7Cw+YjzWyw
rOKEndays03QQOQLELMpt50SBmdc74u8JdG8Zfh4bXnds4IBKVtFc9Mq/MNZj0RXWWO2Bv60lCs+
i2Fa7lDTrdWeTQygV9UF7Xi2g4dKRgbQ1qg7WVNeT5BHfFrIyH7Wm+n1vjOFmrKp3ZjINhgp5rAx
w6tDiRrF4m788tli/SQQ10IhD7RqAEyVSq3DgRRN8ZZwFfgDGCgtD8HMx2QfuRC2r69LA2prXDvU
YXPZV9lS6QhKYenGG5NUrNmZWgiHE3Dxd0gO0DVrpzau0xH5BoAmA0AUdNB9WF2NVNt1B2oGOwer
LZ9Ovre/R0jGZNpFxRxvmcbfih2HKjhl8YKEymEyYMXQcbcwBMse4lzGqR4qvqYGvMC7pt8uulGw
8S2L+4lsV21NRVCmkrcKH5OONn9LYo5sCE8WMV+2FKqxy+DEjtLvYNc/SW9d4NB/ZLckSpo4CUnE
YkElmhgK8vUHeLTDBtnpkqKpKkZ8DXYi2JrYuOdzMKR4ks1xM4df/ybg1x9/M0ZEBPgrwf4eg4O9
AK3f5cUI4xWk+YbliIaEj7GE6siMAZLa9NMesnSxR4Rryxs8iGwRo5//4p4vebQf7jkOI0YFzE/G
KfJxP90zVLzSbwK/b03n96Qq3TGmG3iJsFy//vpW/+yneAgyXsbggOOf2Vy/oPAcSuRCCB3bWxqi
IQ8AzOWNauTjr3+KXC77x9uigIl5BDAyAt4g2I+PVVX4uhEH4SgzNpC2MxRFZVBgirwwQXhdzxOE
r2ZECbRh8x0gwadzGIXZry/jxzAgFlRMJZeQokMcFhARfroKVOt6xq7BEN3S9K1BYeqytQnadDBt
9zChHfN/8Yv/tIRj3GuUxJKCgiZx9NNyQnNcVPgmcZt9VKZ97RDB0GEOCPi1HMMHowAI/voe//mt
MsG5YIhRQj+U9PIMvlvAo16R93CLyGHLdDlKUp+yFpBQGDv7F9/KPz1OyWOJxEXCIsEZ4/LHn2IO
vNsyW3DMpDav5SrrKz9zgvgIlIS+TYLjr28NOPuPiwg/xqOYcg7anfHkp1szrBxqoTq0BNKweheY
CgDcCm1R/sVb+5MfigkWi0B1h83n52eYrDOOm7UHKDCG7glMbHm7chfvfn075J9/Rkqoe1QAGORx
xC+L57tXNW+A41fF612nBdt3fU0PDeENjoSpzkZIR5kapU9xEe83ZF12IDm6tOFdmcWyvHQEKwzq
GMmrX1/X5bX98K2iqf3+sn56rV1T4GadqHdbVwL+aAAi+FkrfJZBkwkv7E2jVH3fFgn9iwX1Tw8E
+y1eKz4ZRghhvz+w7x7IgOgr1lnTQmRh3XVfbMn9VoXxX/zKz18Il9jYJUU0AqsWlfNP9xdCr2hh
shF49yAkRlmtdz3qvFTWRZn/+lH+fEP4/iTjBGcKRZaZsZ9W7MhAt6N7ryE7EzhlPmpGQPvrEC9/
sZZ+viesVOQrcHLEFGiXiMIfl9IUgn6ZzFzuybrR8Ub0rn7k0RoC7gFz4v64rX8paXPz94z7j7Ga
36My/8jc/BfN4/xFLp7hYPiPc/H/GwF7YGw/xnL+CNRf/vBv4ZyY/YZ1JiTefIS1jIT8v4dz4vg3
grM9QSqd4+/E5VT4WzhH/iZlQkXCmGSIziM1/+/hHPEbkjQRTbAFspBQvOV/JZvz0+aDYDzKzSQU
uAJcAK4EV/6fsfkk9LJUf9h+IlQ+TMYRAvsoOthPu6IVeib9MNN8GLUurkGsQOwx22aHVC/J8FmG
G1UZ+Nr5ZsWnlKMjljdoIcRZdnI56m7ybx79x9l1JSgo5SPUxBeJIGv8amDzaSfed4VBg5zMkMXU
6gykOk2Gb2qpp+O6lckuuLh8YVhFH+euHsCmMvdItiD8SBLIDvBSmkcROrmD/aH2cizW27JZ1X0V
YGZEaqqweh1BWQNyZ+HwjjoLxgcKpoHrHpXjPVOiv3YoZc+9b3iE5CyR5cUMho+yLRI1wTzaye8Q
Z1K70FYTpgxsNNz3WycdErSuCHDIuvqbhZEeZlM1DGuGlHByKqpCo7ooEHDusMtBvC9iARWn2ZAl
jVra3o4UkxQyHlbLS6dWtPBBCDA0m4lqZlQpSJfmFq44u0nWPo7yYS6j8arWrQhOqqDTksdirm9s
tS7HGiIhbBsrgFRAb9Afeme7F5zH6oG4ErKBivz4GXEUoMIFLjTYe4j4QxaSxr9NpYqAjo/NqQ9C
9l5FfbcHR9PegtKAAsEQT0udDrtPBhA/DF9D6LFkjm2noLH1M2yc5Tp2oXmNmrlGbOOS4Y23pX2x
Uwnma2r69tvaBfWzG6rpFunD6RqqGRytuW++omiZMDMg6B4jbI8xbLWqOQe13vjeT/IWGY7kC0DS
8AwHtLwlGqHc0ortYYm7+nkDIfe4OV/cW4E2M19CPeC3l6LkadHz4o2wsgfmHoffxrVtP00amGuG
PA75IsdkzFg1bTdSFgqAX2K3NqNF2Z9QiQN8krWfAHm6pHhU7vJYmYJbXHsWwFKUTQ3RdS3PiEvp
Hl1gTGeQTcl42sZOYfSAMurKIQDzHIHSvdfdCL9/CaJb6VRkUsx8gMi1yb4D+DCGC6jX3hUbMiPK
AuCo48uYCDGyr7REjxWHY9Ps0UMGNxFYF7+r0AFfT6TVEGqWZfgKxZu9oO0M1otJD4gGZ/rb3AYB
9FBGPsw1VHQU8R0sbzDlsJxA1H+0yNa/JkjafGaBdTcBSVymSxMdoZTXJ4RuBqTrxg6mdOUASqzb
cC4KjHFIFwSmvtV0409mMQJRFlV09xYJF4hxw3zj7bA8J3Hn3+FwTE6EFTHq0IZNN2uQNDf1woZ3
gbaty9QUDPUBqsT0yBH8b+AlNNX0ISgkArIK/uq5bBnMra1CVBbkSXUSAoMFQOiACtyEAzzdbXkk
vDlA60ZchvpGzIjaxhE2KIfRDZlK2uahc4D7mIEPUjXOZBSIyi4oIIuldTKKHUIroBSIIBkSXP3B
hkRlXZk08Pi6vnvXrCP+dy0d1L3vVnIEUSwekQ374jwpd2XhbZ3GMHxuWwRlrvCphzkAzhZNlJ+S
8xrxFR7K1F4ls/Hw2tmWzckskMUF6bcGUEVjjZ2kEwHhMI0JMjCu3LJ2AzRjiqHClgYlN0z6pcxa
iHWfpoav51nG4yswGnrHtuoFStN9AfUC5opowWYskwLhXIIGyuoy8p8rXtPrpqr0k6tpFKaD4tUj
NjOEYjZkY15k51pY9Mgn9VlfeZaPE9reljKg2W3tCMT5MY4+imoK7C2F1fQ3WExMk6wA7IQ8GyGA
nJqwKc4+kOSZkjmu7/0MOeoKdCq5ZePUJXuJ2SunCEA7wiBmul284rmtomXvZFyQ4x/Y2NAhTgOB
2SRXf8aOeSXij+MaPlBV9KlolE9rxcL95mjzqkxEv5ULOJdfgWSBb+yzFyVBHX9BJBrEeRgm05yC
OdJ54Td5+CuMbDQTS4dKErCu/9fRMeDwMxJW6N8oxnCkOAj0VdlhxkfdOZdCyq0Ov9NfjQrkXS2L
j5j8ge8SOzoIZELzLVhOc7ncRXUL2LmuwBzMaCIkEnlwXrxJjhuydZglUC34sOqL245I2R4jDeiX
n/gv6B/4ZiGnnf8H+/pPx77oiihVZO1/L+wrQnwzLRq4VMNFY/8T7Avh3uG9d4CJ/79jX6QVB83M
/yH2NVBMawmr+bpdkzyOjM7/CvpqRgAVwlT28c9hr8CChlpl9GvYS/P5REd1Q/zyDE4eZEACSTgI
EZsfYwwxEXTaYTIPKDfkYuN0SbrgqNre7KKkMve15uyhnq0H+ocBF0V/qVIjT149mfkTJPzwPFwy
ibVukrRPUDUbZFZT5Tg2z65lX2QStdla1+Ut1ZHK46JKdory56ZtVN7MLTwEtjRxNntlX1SlAGhO
cOJZawJUvO51gSX6gElEH5S8JFDJyq9YjOlESooBZiccsBRed52b2r0vCjmGWYBJVqCcBvkIMk69
8qotHktmwT46MZCdDcAnl7ZbTo2s6KFbRtBmFvwnxWA2D7J8sSE4IvCJPccclFo1Ousj+NnpClA9
uKpKWOlZV4BiLOL4K5LQl1FEy/0aTm+Oxy6nhTRPc7hAMm1Bl6BYqbOF+CmzcEZuUC8C0a7lp4rM
mO3BpjY3DWqasEa2vHJL85LYOnqPTXnNSk5uewxvISgLMfnGuAxuM5JNk38/TT3oQIE4rqO9S22X
SPAm/M6g8AD3H77vMFMN8AnAK2ZgtJQ4n4+sKXyqR/YxEgQMVkxIBrChPUdtVeUiqOqsDaBsBfGM
EwQvHVlzZu4J2PnUiOolaurnOAnAeiIPn7Z1iLINVsinqbeAvKJ2rnYI6IPL9xY28VbL02x6dTfI
VuMXfYm8k1t88DQhxHWbSLZmbAF52lSgOXDn06MG0XbWTCLvOWGhdq1KJvwOWc+29/R2GKoZ6WBA
MNdywYAoEHT1Y7NofVx7oGkCVfxXeHDLvTI0XlIlQvqEqnTcwULTeWMiNBNbj7E4KHzNXYl27Jiw
qcRIH1C/qaaIRNK2Hw8w27pDBCftI+IJdA+hHyIx0DADSDUJMU1qsfeSq3GHkQSAkDDUgeSVXfTn
AVDTTVnNcMpU1R2SWkz31TggzDDAK07refPXIzodJPY5+4Zcg8dItB7DL2SlqlMoOJYS5tv0+VIH
7rbxgL4I1tmBGmbOFj0GxgFs5rPrTHSO27m+jzGw6cmOCxDUrgLaE/Lkmk9q3g2qaF6BrIYZam4L
NiWxL0JrxHSQA9c7FWDt9ZFfj3JR6x6xbHsdtg5UCYmn5gSEDKAjqyuXBUbCRCTeHia7LGhmxnlU
GUCO4Wnhs7yV8RYj2gk++WWrAwxGI6qUWROH7UPLmydawBzHMC94JnqY4Y35+RBHtt5pjLfZQ4Nr
kFyd9XDAcI1QHQbA5i9DqAEXj/XyBYJLcjBzPd9SDOfKN0/pacS7Pivug92I2SYPfQzMJw3GSWIc
T009KqSlF1/UNi7nbo6SO6imwye9aAFXHDZleYMBOctjV3u7h0nQz9nsyvqt1Tr+1OpK3pJeTX1m
WgvSJXT1mmLSR79ThoQfdSvHD/PIhzzuSuCpXeGn0yCbYF9LaW/ksJobhK3GBvyvXqu0ie16Kwwd
AFg39as3GGQw8rLZG10Pu3LaRJVDrQ3v3bIiME8QiU8jWcAnHQfx++RBF/Z5P03s81gm7FhqGNm5
JcU0Z51WwaP3i72hyxC+ICvuzqCs42Mny/ABmyz5EuKabwUe66kZJ0xS8A0bc9YAbgAdUB042ezH
rooR3CkSjszVVpX8ZabUvnwnw93/oRF9P+3xT4RruB5REkFTSzBA6uLtfScf/78UriGZw21hMLdA
8jPy0y/XaDobY8BIrwSpg/Gt3m5+v7X/UVz/1x/CKYVy/h8rrjdf7afvpyb942/+Lrb+PmsUZqaE
2Ub477Lp38eQ8t+gpsLR5RDgIazGkM7/JrbiX2BJwufFVBHOaEQgNU5/jCElv2ERwYvAn1L4sLCC
/xWxlcc/ippQWwl03QRTUmAry4un/ePSXC2OnRiHWY54Fg9zZmMgy65uEB+WUzy3WYRP/pPpzYLt
ZqPRfULK8FvZY3wL4myYYuEKOQx2D/zOnqOJqfu1r9YXbDb1F4x5KD5Rt/rnTdNZA+cAxRnyYdmP
cktuZ+DN22X8qUYu1Joti1xcXwHwsU+UUMyZQ1DraIir8j6EL4GYvoERjE5zv4mi+DwA9P+KuWb9
jhXzeKdXZs++tOFV0EXr3TAsDTLbiNGHSsUv0xzH+6qS3Z01UfUWoWYBLLHaV8Ka6i7q+zhzMQc/
XjFkB1Ollg1ZB85uqkhud0UvMIGGJxVCNRzBiUqPCBzU3mV2aduTU6I+br2cvi5cqUttV78DkQeC
sh3Lj6uYMfCmLACTwme+weTH6LGukVJj7TZ90MUSfSJtD3qwH8BYeRgpJ4yri943W8X8TtOyv7Y4
Lc81rdqnGkwnZIohGhDLMerQYOTSqbJjdBU0kb9SHPJQOixh9xWzDyaExRAD3GEUFwZptAjGPpJw
jHE+xz5JZxqs99WsHYYfYLjIDSbEkfs57pCtVhjbleNhsavENfoM5Xf+Imck1QHQtMUZkXl9aOEf
IQK7IqCbbPSWVbO5jSg45GAezIfOefoQY3zKu6qwEjBwiDlQGpGBgWzNB4zPUg+6bfWXZnHtlU/K
4oAog8TY1sZhCJBPVgyQaGqw6F1XvcRBlISQs4i7BiqC0Q5FE57WOWGninj+5AKs3wxSYXeuoiQ5
celmkKDOPeFBBFCabbgcYYOQR28FeFJMUBKfMaU1eULWA0oBQn0DRMtkdmEG9sg8Yyjgsjd1PGAc
a4O0D0V2XPBFvu/UvDQ5Zdo/YYpr/YDhR9s9LGgoyk0XyzYF01rs4K/AB/BjADAQsfcZ2KzEeCCD
SXcvKLPYLt6G7uxWpY8mSEDwdxuyYRgDZF7w9kHhYHzBMKO8X0fksTl9MGAH02ih3mAaStVcBapR
j6a76IKYsgp0YSMYzMMxbUhf6XIh+xUzCN4lUyLvoKl2WDRAhiCp9hdcXIg7jqF6R9fV7XnTMQOU
Fgt2lILXGmk5uuZsKcsj6Up7q6mVX+QKXadRYXz2m2IIJXMVn5cCS5CrmrEUhjByOnEI0g53rObf
p/75ph33iwvc9bAhTRvQlpwLLGty1RPkQH3LPd/LNayrjPJB3C+BZOi3SvKFdDIG6t/j+95j8E/0
SC9UVbapWtaZxdgefQWEfcJjQnj+tURgosyQa0C0iRr3gbeYzgCiqJsKoD/EdshwtqtJJ78hB+il
xQwb3eN6FXiqLxj6g2gSEPj5ZXOtWffYDWKatmu1ftRI/IG0ty1/34UQ6cOpKCVqccZOKFuWT3EU
6K+8F8MzXrc6YgpTBbJ1Kq43pMSB6VSGPGBGY0+wnofurQjMclaIgFxHImZ7EqjoQzeKzqbMkWED
3wxqKsUZDmbJ+bXYFY7zrGpbcZ1YbQ+YRqJPiIOiQwGonw/A+pEGmJsFpve/kXdmy3Ub2bb9lfMD
UACJBBJ4vLtv2G02IqUXBClS6JtED3z9GWDZVbJvuW748dzz5ghbprgb5Mq55hxzIojiDi+9sKKH
EcLWhpRseT3ifDv3MnG+j4my1+Uk++9E1PNmNWWjK16Sqagwu2sJXy2dnMWrXgzWdxETAxzWuJsr
45GYuu5XatQAVT01jIfa6eLkBufznK28Ms+iDYuybN56xGz0JmzEsucwIKB0aUQoI8MueYEoVpwb
ZsN4w2ekue8917rTpM1wyQWJ/1QUIyFH7miWtzJw8I48V8roqRms2CIECeHRj53ketBN6fM9aHkO
lYWHyFtL48OuZ+JmcY9XbBMx68DhCM36DiIHyK/acvbY9gTwpyrocDCGzyqJvYtC/S35tQJOnaTR
AfQGE5M537kJDi47SYCeDZdjzG1teBuommwTNrejV9XZrUUGa95M3BPOMlDpxunq/H7qbHufzYPa
witxt8GMWU0irO6DZEyugHXiy3Xw0p6MBEMmOdVxHwtlHwljeMcUNne1MkAG7zo8lPzBkEEYgoZG
LejdE343YzNyd7kCEE4YpYbsM0Zteus3Wb93ubdiPQ14ZlgV+xgenuoUon2TwGdDR0Qh3eu40ofS
yirrvsiAo6/8airTVd3mRJEKKfyrYpgKY59mI3JClDWsSBzS16w6TPa0bHfMDnm5CpsrnKZVtfV8
0GIr0mHZbUh881sxcJdbVY0nRpJwTfbg2WV21zIC8P0aTL6jQ2HraWekkfXs2CIasClrbpkaQB4s
CYih+1Kl3psKmvSNl7DwN9zJO56xE2tSJ4dIt/L1NG+wGPOxDbKmvAl8j8VR7zdcbSJug5ea7d8O
0Iu5MLWHuTg4qTYPRe6Tq60C3s8mGPvnYbYzmEyJdpYYS5X3+4A1R7oBDcSxY0DvAOecMWZgsFzj
Ph+O7uxa3dYye3nfd+DOVm7YqCsAELW1sjs9PeNAsfJ1Cs0Mpz3A4JLlhQq7DXCj7ibNgIUnpFlc
fn6F/drPgyrc4vBcciVVy0EydcFd4RZ4bdOxhcWnjaHy1jCouqvWzfwXwF7pWxjzO1tRNHNx/nzU
t2BT5DTsG5hm97OstLFWBjGDVViyjAtnwK3/sOD8rXH/f6Z14j8DTa9e/2vfvSZx/W/G+V/Apsr6
wqfdMjF7OYhhvst96vdx3v7CHQuwKQYB7ITewjz9bZy3xBd2tbbwlWNi8IOV8K9x3vxi+y7Tt5TC
4pam/hbX9I9mG8fBxqc81+N/gxGN+8afHApEdrNiYGm+Lev7IO3WJqZyh4PwlyvOv7nNWn+8M/Cb
WSaRR6W4MfguP/JPd4ZM8e2YfX7M0IZbi8dmUNo7Tw/rJMwQ4+x9EE74sv2btrj6zz/6z8a+P//k
xdb0y0W69EMSPhbRptG6atoNm3gEVUgB//mn/Pm6/uefsrzMv/wUi3fMhCzA7ydXK5KP63Tjb4zd
f/4hf3yvlheRmBz2ViZSTINYP//4Q+o6Aa48MpM0WwURjAD3Nvr4zz+CiyL/k18tK9ISXOyw5/DR
Etwcln//y2+SQoeeCBMGG7Bz5AgUaehedwP8lNrocJg2mEcSC1o/8K3a3LYgKr+LtMvhZUj9I5ya
ud2YY5w81gYHH8gideWMtvgpefjv4iiIro0xRXxNimk+zE6TbN0hQI1KVRPeuu4EidWNg/l6mZW+
Vbo2Xkbg3lddIOKT4AxGe5ojyRxkq3WdDdZ1Aw7x3SUAN62yIZKwtoLUuh0y3e6156Z3hQidfSs8
Nne/AgyhYU/E27OMsZ3c0f8DZbjoPs2WJ/44OoApgsxbgrvW2s6zcWf6kHnXn3TCKuDg2rUdIzEZ
FOu2bN3w0GR8qvF+m6d6LuVWI2yum8pdoGLcPlf2HHf9MbG0oQ8kYDCVVBrYCNJTODqP2uAAPyBl
maepMWW5lSDY1dq1ou44lCn6KrxGJgXRyuJt5HQ/K10jwXd2RdtDXTry6ZOnN+gFqQHg+zklcWxv
SDEBzh1l6f8kSsEIJFv7EEY2CcYZXGBEOLbvwbiVLsyMNg0eyFHbu5y/6hqvDED4rnC4gY4warH5
l9HDBDb4e9Zm5bWuLJKMfq/3UK70VV8Y6TUA5OHGC4J8P4iy2nDhK3eln5ob0i75GtzrtCbmDzum
VzBvldns2yGd0dffHV3whbW03BiNy53ab4dHI7Snx34QA5SfyNiRJxdXn4S5LG+mZyVD/WCYTnom
EA/1sRhmnSymF3mcmzp7T82wPRsSEO+jwKhySAlB7tukV2D63Nw/8aGDZCnFdPTMsn6ti0Iehtod
NtILxH2ajvkPLAXBsSvc+CaKQvk2RC17ZBb/t7brWfeCC/su7SO58G+a6m60+3qjCRNVN2MXSvs3
phz3hHYNhDl8naSZuft/MOXyyR2tk5mjC6y8KXJWlu6b+06a5n3t2O1DVdvFttSpmW/NkpT+EeVB
/qDVYGTJ9ImZQ3rQhOCANb39FWZuIKkqWHhPtsCi6xv9a9MDlvgVNkeBi91s9DjZtwEbkfS6bWmY
ATRrhumutJNUrfLYqJM1biYcHESYPO6WtujXA+P9g28R5OyHxR1vNf7GJFGzjpUfnUKVTGtbNsFN
J2VUrDAu2M+VDv0DM3904zTx+JW4jbhjmQKyJ4Db0opO3wp/GliAhQzlVQk+bmUJ3kx4VTFgE+Te
KlkFNeEuYrcErxs7djaFq+yG/Gw7XRSU0Y/Ka8SHcgPnvWgFt64+a7fDINtgVXag3XqKEE6WGFOI
ymbu7yJSJGpVmqLdhSBbgB1G6Vcoy6AA6kAs+ywjfrTcuax3YRs7V2lUTkfXE82pNpL4GOnIP+Sy
naJ1S+yHYFtgAvITvXhIKIf4sAyaFdY4xoqPPNTvnw/y/wVT12Is/mv59OG1aF+L94/6/9ZQlz/4
u4bK+LSY0BmSPoHxS1/T70OX/LLYWB3FSCZ9ogwc5f80rFqLOLJg5n8brf45dDlflLnMXFwzlUMg
gVDI7yD938af/1TlBLv3D6csYxeWUCEd1yMc43nY5v94ynaJYXOK5TzgPJUdQ7OIKsL6boiOl3XX
ZU9mxK5MrztYae9dBuxr2IJmhDpTd/mjJyMT21hMQ8aAdrbNehfzlrarqVpHVDQMu0woB9KPcBcS
c7w3q5wfwAffBDrCE3c3YEXnmy/Zdmxt7WXXtKtkElhMn5ymwknXftfmwyEEjYLnL0niA3fU9ElM
ObQVEGvwzbhd/UgMs3uH8+VdT6URnr0G4JGOwMShSrQUX8CCJuJVp17+lZahYkusm9R4NMEhyfx4
RjX1e9KTkoYRg2dC512XZuTee12fPc1qKn4KEl7E/ybPfo1U0pwIBnubMTIAPPdlCx5Cq5rr5cL3
cfX8UOsB8Bgv11XkFNOecB32SfLymr8QQ/gHaz33I2M/y2020DaMh6QchxUHcMsNexBcuHkefIdC
KEkM9t3dbBjWiaNafeTSAoUVzEUGHqgiIewMbqKJkmm9Me25v4SUaanVpC2g7Spok2+kFVP4Hio1
b8vI6x/UshweG9d6H+qu/dF2TnldDE5+tDL+Bf4CwGUkEkCYscF68kYy1vBZyuupqwwfxwF9RluH
YPBt448kxPvRfNVND6AK+lPDmTKW4RbCrAcTePSeQPm3LwSC9G5gb/2dPZl38Xgrm7UZGMv2j4zx
G0p9SigOJDx5ZiO/8fOoeJWOkAowVz9+dwvDvZDcdFAslP/W6Bi+UwlFDrR+cYjLVl/z+J1AEQPz
9T0YHNNgdpfMTroTea/w2m/D7I6eqJmpzirUe5mBUXVoIWDqcdpjB/GkkGOwi8esO7AdgPFdWvOh
ZDVJ/0REk5DsDWA+ccWltpyvOXycF5fA3yHt6m6PYh/c2smo+Qsl7U+z8NO9nVQGxJWmutYBymlo
GqhRfamfHQ2lAVEz7eVmIix6oEAFLjF8+PYga9vYFFDxoUrmNsF6svMoUpldGavEKosUkAKTEGHc
hJBZQ3HLRVZJJ+n9cYd3BCIaYkCpYi6e0zfDp9AGjbKBdTYval41AhtGFknENcBs/WOAsM0APZLx
BM7a4YJEDwrQxqsUZo92FSzhTM1MtLEreK3qDgDoqq9d48WLHHllRoE1rIvOd78z4lrtKujKKTkC
yPLv7FJX3y0nGK6DNg4uYir7F8KQYb4irJWKdWDS6LBS4CX48vAdX/X01O112snn3kx7EPOhWb10
dsl4HKKmAZr0RTqvyPPrM7QGJPykDpRcYXLOsD1E+XwzZmG4wPOM6K4q8/AxtswsBS6V0IWl8sT8
GdtlCv5WG/OHjV5+pZ2xsEA5yhrFv8keW0Tlr5WCwrrFnwCW0bSTp9ntgqfSqVGhajdy1pVZcfyq
aNSnLM3654YAcrkRYeG8FotZO1ls2+j1WI3jf7i53Qg6emjkA/gUyzaOGRyE+uT0jgYyVJFkviHs
HmM+wcWBAuoXmMfnkI63Fcnu4bn1Z1T51BvEA1TbZljxHmFAV90MaQ1oR80lAHX1bFGqAUNZmbvE
jCZv7XQyN1nvG1R5JI5vgBVJvGeiQtNOerWGI4wQiHWmqOkQKjx6qXiHTf7ZK50SzBCfexZBXWQ8
Rp40nkAgJQZkO98+22UBviRxgmdG7h6JWkZdvU4mr30Li3m+I723EBuZ6Ba6nemyMFKdu9ORKYBB
5j7TDLFhf+MmZXGJCSm6G0S56HYcs/gn/XQ/ZVIM0PwBhAcGPlzafKKtXPrpVl4/Gm+RMeAaYjAb
D208xS+i43/5v2VwEUwSfz24rF+b1+K15j7+8Vlq+UtzJX/u9xYc/wspR5Qgl8WqctSvQRubCkoE
IYe977LeXfbyv80tVFCaCpuAj1Tkki+2mTZ+2/1SguPxL9jWUjAmeBbYf2tu+dzt/ksdYPcrSLJZ
pF99ZiFUqT/NLfHSKwHcs95gEGEPIT73EAm+KrxYy3oCwqWERM7Kgt3fcG5rLqXh50YDrZ+2OjLz
dLctK4+YrqfzDGdiN4hMP0L2ir8Z0MFCrEHsS3LJgwU9uQHhZ07ya26RJF6ly5YF5DwLFx4ZBhEx
kBrfDBvOg+BieMbjXb97LldBHmMdCjzlGWprA2fUq0gUXQEAKmmDdQl5Il1jGO+/kc4fT+HnSiii
pulbWvd8u10ut+KktcsCKbBFF61ZL7dPaU7vDdeu0IENOeR6ZwlWXjTUSPiFlnNnVhEJDCMhI7Mn
0zLf5jabsNNMXuLst5oqGCfMbvJpVMw0XPpjXJsJxWycIqs2shM6ECR4Rtin9d6p6nqJzSD7nCYy
VJSJ4UBKvjFlcOExP+u2JnQpWG007cGmHN0dXh1WpVixvks7o7Mqrn2D+xnpfsowiZps1Aip4Qho
dAKMn1TWbRoKApomK+MnZ66dJRXvdMVWyzF+6a2uKs8GjKePdqiKBzev5ONQ+5Tv1HXdoTws5WOm
owEurtJaOK+gPKJ7fh39TgSDKbAFCPuSji5+99CzDhCFMWdyrnO1BRMFWoBr7c6AvnlVVjyzSOFb
j+5cSZCN8Oipq6DCNEIL2fJhEnfWGIh12ZbqXOdxjEDQiHUYuMD75rzIj0nuDK/SFc5Dlan2khcg
lIta6gcKe4o3Kd1wbzeGfaqiJPsxSse8K7g23odmMhI1TLkz5mO4oQY0Z6tVOFfw5caTPafdSekk
/ArID/cgWCx/A2KDD3+dGPF2ngMN9WxOj2PJnLUiG6TPHha+UyVVsaY+rD04TeUcalF7W3og/VsH
88RDLM1mm6ZEEchQei4sgBgOjRphyrHbrn5wIwAJmg7je5NRRGDbKtibc0ONkJk391Yop6sGL8VB
DHO360Wj97CCWyicWlYPQcB6JaTtjuMU4WKddMnApn0ihtK0OnmNbGvYo/EYR3Iu8f1s0Y1j1F52
iUoYEX4UuS4kMnbHbub2W9hG3qkuAPtGocetv49tMj9xZe/lNGliAwn4J4edDEuFvCcHoGA4aJHv
4qKxcDWEyYZ0un3oKgASvo7suzr2xsNUGxSkeqPvfNBN5MGj7+U2HZxoE3HxuTYz3oI6cYlqNACC
xiIzRyaPdNimpOb2vdAp2lGer40AmMpg58Ee8Utt2nFYUNlVfa2GJNuXsXZPU9qF27gc8yMg4ux7
QSoOFHlgng3RCWxthPf4fSP6XGeKYvGczmF91yaRcbLUAM6j7nhsbcumALVsFrZPk5Av9U/EBhcG
YuRG3b7L07JeRZUrL+EwhEce1sPiVq24l0nS3myKnOlrm+iJeiziE9sWVyQlCZI+TYM008UeY+4J
YpTXbJWzxwqu7UftENRWpaNf+fby1ndlt/ExUWBcDLpmNYoKP2c2BazJqVFYyyklhAJvZFNFovnA
T5FCVHZ8D/6amSGSBDrahFz/DgzKQMzdwpvWnqnyS8i8d889ENdX26Tq3SLcSwGeY574UJV3Q8fz
vSpd6PWGY5RQDypur6uSD/8uZy6gSTHOvCutjGFbRnNxgUFqykM0B5Dn+9413kKT6lbPAr+xyR2T
gXfUne+sKpGGzrYsO2aZiIf3KQUz/UJnKF1KdUk9LJ1agjxaTSJ5U8+u8zLnE8OPVbvpShWUD+xT
PxO4pOmsZcOVqDW8uuxbNpiBd4UqyC8Y8gR9Hto6rVeYNqJ9k9lALQEQN1eF5eU/WgELdmW3Guoy
ZwY2xkJEwOlnWhvXFotzBNZ4Bs8RstDjNa+xbvYJzQxkPiRr9MqocB0nn9twvn1sxvM6bfw1t4ah
+OZ8bs+LZZFutdwvu2W57nsVRoquxqLrO9bWnVyUYrf8GFykzrhz++vyc1cPFCykmoKaM4GifnBK
o9lHn+v9ZdGf6Bqu2ef2/3/NCMZe6a9HsH+Uh7flf61fid+/Zv9mFOPP/y4h2V/YVdHy5/iOsP6x
nPuXhMTpAMvFsxQnHDSXf45i8svi2uMrZS8rNQviwj9HMfsLxA5qA/kPGOwWb9/fGcWk92cJCZMm
GXnhsgT0WdosK8dfFzUDj1nsO2Dq4nqi2Qjw82Kk37nUwm4cSk2YkNiLVO4S0iRMB0vpulgaADgn
AGB3BlK7bHlQz3cT5HK6E6ZvEqC5U6fffX8496198SVmGLg6hzQdxDrP+m2tgmccopQTQww2a3qn
gsr7Sutatw398Sk08xeOXG+Vy5laBXNECvGGfoMd6yzcuNpKf5nqGsNaD02nN/WY2Fdwky9RAKKS
jf45QzHb+H5+qYeIYvE6JRYRDXT25CJ7MsPAO0Lu5NETamtNxQV1Ir0PYz/HohI0INVl/p7b0Yys
6gzXkQ2BouuHuyjFFzHN5rgp2XivRhPyoahPMooAtrNVWA2hviNoyJ59cWGMHeDwZTdEWAAbQBBF
F2xBX+dwjlb4eLj1Y7bmbem3+NaReHGmVTbu/9l+ZH+QMwD6JZFcn4e8Az6roJmY1zrfK6rUNjC4
vxZjgVIH+jzNkIAFfIdNBz9qE2GmWiufpEbJCYNoDX4xKUS9Ew5/U9PCNQZUaliz+niA85lyAUxe
sKTRQz5dR2l34RloraBJnRNOndVcmWw47EMOjXdDX9ga2NlSyRKsp5p4gup8b8UmwFtNHsMa6AfO
EMv4iqR+hvTP4ZzZz2k+J+eu1q+z8E1mybrZZANTJbbvbwyk1aaIZ5ClFiU3qie1AtPb2AJQ+iHo
u97EY32DmEoFFc+5risOGYjOnxkxi1Uw4qKI5dRtzdhnBJ2Kh6ZMv2LKqc5tHPGRjsOXIcvrvSoV
V9Gle6woCoO/rJVykJv2vVNY0TrWMQ77xTk3Vj1lFRZFt/7RVkt9Qgul3uPQ3VDasQ0j3r7EcS9p
XZw8E+ue8jzampWhbk0vogxbUuVW0U43GnO8dTJgOgWmIgx8Xys/fkqT0NraHQEMEwYWleTtxs5g
bUA2n9c5tpE10Zl7asEd6H4qe3Ia1Z+62nY3bUcStxI/ImlsLK9Jd4ic1bZmf0Wv0sRpXVZ8yCTQ
V+XyCwX1DcQYVnpE+glYdt9tg0/EYhdYGa5zmztQU6IweGNf9uxGFM50ff1jlumPfOb7mgTZ9WCo
Z1XnPwlY9NthmsZ9trB8C4+LkTXG57IanszeeMXods47GkVUTHna3Gd0hpn7gQlCp+WJkMUlDwpS
zbZH5mKIL1j/33geEU4A/AcTfs2N8W6uEtqsNMiwZifm5A5u+HVLt+Mc0SrQRVfaSI4V14cpcc4J
RXsrfvutaWKuB6e4D/LuO35+GmPsH6OeHhWwsxU+0xQEI2Y2NqfwcXiRh+bDnki2zKQq/FwAdFXT
owgE3jGSVKSmzhaI/C0q7b0UdoBZjwx/xJOqVP2bHcVQ4mP/ZmzTa25KtDCQ2kKw5fPaMPJij3yL
hfc4tA2LaqnZdg9orfHJIVJCtuQ2VuUpnFloGQ5kXIjGrsxHOpKpOvOK6crLcJ8mEQGvmelg8tVV
bJLuoeTjPtXp2Wy973XsvkkjuABaazehV9+rWn2bVP+D2M0lr+M73XanYMaJCd5b+d1prqfuJmjL
B6eorzJzng9kS6oTNwrEc6s5T715KqDzse31MEMHP2Zd01cRYrn0b40a5G1fk5AGblbWxX0bdGes
4ynORRGcghEfGAIcsKM15dI/W7fboorhRjWqXV5B+qSLedNofU4ZdVYK1h5zm/29mnhIsde/iUmu
H4sZ+6fw/DPoY2/tx4W68mmsWNUL5hrNnyd0E7+n8AzWfMNdAm3VJbHAPWc6HldFRd660jNAPaNy
2OtGZ/q1HRpuIMFZTn7pCwUiiOnOsac7NcGoFnPzihfb3Lhu8BCI9kjTiWa/5w7bIHJywlkNFFLb
vc+Y+U4FJnGl5x9tNn8LPP+Jh+BRd44DPxLNX48GjgBhpad8atsdnCkwoNj29rJVZyf21MYyydb3
6Zsqw+FgVwFk6gkSt3DM+TZim7xDqX4S1GitBJ8kHJK8bA30QXyQaXozJtYdS9Zx7aU965Q+Y6lI
TnqbKGOCLJtfAgrJzk1i9auM0heGcUWDHx4sg4MHqr2dMqOW8T4dooHzZlrZAiMt5vGfWd3eqpY6
+qpHC7bnhAifek/igcYT4yvESs2TOJivZtFtG4ixK6NU3EH5MtbG82j1u9khmiURanyHO2fn+PlT
mNRoyZN1jfoU3fJq0WpGn/AuTbNvQ0/M3bLc76mfjpQMYmmvAIBTIznHm8oIdhwm278/gf7/DOUR
iHd/Paf+n/q1+/FvXGXLn/qXUAjvSUK+wbvFqnPpxP59OhVfFtjgkuFZmHvLavE3nVB9Yee5BEEc
KYTN8Ijw+JtO6H5Bq+FQcYHKMet6CH9/Y78p1GIb+1UnJGXCfAzUG/KNQwrkT36vnnGV4lAqPywJ
o2Yr50jJI1GHki0kcILGuBlpNsmDY16YI30AsqPcVQ7VNlV2yd6rVDOU/d60aYevRpZEWel8qyo/
vy5Gx96UdjQdhlhzeQcfttZc4Nd8EQAZsFkA2M/skunAZ4qx7fcqFflPwxiaU1B6YMTbhvZHD3NM
M03xOhHlsFTpcpcK5zmxVzYsn/fWbSneKRz9PjcFj7s+WLwjnSqXZGX8xEZEvxaa5p9A+eE1XDmK
42TQvTVGPKxHVkobfuNpn04Cn/6kB2IiqSqyQ2fr6CCg4e8xEOChbvPy0aLalQeKH17FtNWuZ6kC
CoCn9KNg8Xg79i4m7ykrgpsxDGMmGRdhqEzCq55iV4DaibnzU62ghTIU5+zVWiZ6BvebsnTUJk2s
+zr3L7XT9s1xAPlwaZzYWJKolDEJF4I2i6E+pXqNDcLtNBaQaVGhjmkD5aBnJfMe2qM6GGZmXWbh
cfjYjidfZ2ey3yHPDJSQtPioE8t1T5ShJa8Tz0uHUUjrK9a2+TkZ/LnYx0ia3/QcBV9zbO3wd3UN
63w1ljJnNzu4iEQhdoyEKF4BGCJoh5qaY1W6+y42yIqAOn/RoxUO9GkZ3aM/aUbIsXF4UGVGkSgi
G1lDd9GM9zwPAxLLcWacvLQkT4zyeRBl1B+529g8tYn4YK4SMFrMZDI20adKA0jNf45JtZ5xm8hL
+6nnDBY+EtoJxfgBM8UwSPQMebujwdextySM0IaqSBunSNT1nQEBtKFmpdYk3j81JbrK9I3/uQBe
JKeIKq7v0SJDsYkk9BNM7kmHMthovrM3sqtgi89M6tQSyOfW6uHVfrp82G7tfV/bO1ML7iT41KFz
tEN0mReNzJrzHigMuhnseLnNFi3NX1S18VNgK7DbHBC37DsOTG9PnBElDtDNFiCu2IVwhve1Qxft
7IaLwwUBTy5SXjyaqHr2IvCpReoD9jpDtGQrDbWvpkjW8mHC8n4A6F3kQrouik0q7PaSCo4FseiK
k5Tq1BPg2HlKJq/gzREg40WLBMbiro1oESgDF+G/XVTLCOgbAuaiZeap27HBQt/EsTBfNYvm6bH7
PYpFB/XGLtmlwiEM0OHk3k2LYOqSh98ZRSH2GUMIkeBYLtrqIrOGTtp+JW3KWF2N3R4nQLfHAjLt
bGsKd008lyd/kW3hxTNK8mFKjz1q3pVeBF50IsSvfpF9G6+pUIANPs59mZoGuAVef5bW/LREhNge
EZHDikxIvgjLwHOtu5L86ofT1pTw2NFS0IoUrbq0fsgWebpchGrwUM5DvIjXvIbyFOiYR9rUgTB1
jMDdNWOf39IA2z2DIkadLZrkki52dedTKC9733pklvJ32TDSTCMq3lBoYW8GzjTm5k/JPV/U90ZP
7bFZFHk7WcR55GoR72euTuk2HpQx7v/+If4/0/i9cNz++ng+dHH2705n/tDv2pGEb2e5DpFMbDTi
D6ez+8UlhclODnQjJ/hiB//teAayt5y94BzZrgG0W5Zr/4xwOo7Df4sihXNoYfD9neMZROSfjmfP
4vhXAsQigoLCmv1H7cjos4zHI+0aUzzP67Css4OV2C64KEqRrdD9WbfiAUOIu+4j8W2IJR07jnuj
i7i+S4Yyeil8N4EyYcjrxorCrT96w1k7c8hHb84O+PgMbteuPe0IaTRXFIT8xHpn8GFjPK7rIv9a
8S3bKA/NW0VxstUUWF+yeEI8GVOv3OJVCG+4Dcmv5dwVby3ogl3R0Z1muhXKs1vN2Ku9iqQI+YlK
E/HHimkAOv8xZE2zSXgIPTWOo29mtin06BX1DalnNois0r0dXQrBpiP5Ircq8Yh2T6L3VgSzOH1x
U0LJ8vCWzJH92OoxPxSUWNKKklX0XvoliFiKHld8a8U3U8eShjcXYARB8JSRuOYOXMTWcZpUdD8H
mXFVN0O7oUPZejXDONu2yjSutWv0iD2J3o12la1lQVBfNnTkJZZzlJRO33L0lYdSoA4VXvuQtvNN
bI8/QOndA47NHrK5NI69Y0cf2rTFwWfYoIqh7+CK9CwGUmM8DK40AHJpeW3jMHgIVHXbTPZ8Y7hZ
gulDBZhrc7kZ6y7cEV/yv5pUGuzHoAYKNWXBUK4JHXpvQ90oUvgttiNaDgqWOlVJgE/Z4b2aO+sZ
frizzcbcvXTGYF77TqGvcYajY7TI1bvGdwKyTB2vWhu0OyNWHJx2QTtPXsp16XOaChU3a6T86eBo
u7nFNzPt0dO41OKwOWajKg88olieCZEc8oTtbJ058a0VA2+Yady5RNryXnqXsiE4ES+YUtMtRWO3
pU1FhFSjvJ2q7JUikh7EwphdGmkam9LLaupN4QnssZZbW+GXJoGErtzgsZ7XEC2IblFytbIyl6Jc
rF7YnSLuiAFRpuuSe9HOVFR7VUnC/hTdn2Mm8+3bcbDkFuJYdeknT9x8vga1xQ1+bFR8ZDqnA6Xk
Nx+1z9AUBMmFZnGC0ZYNwtGtr2JsI4Qgx7c00F9l5VG/0PssbHlXlVVX68mqE4xKjbmtgMzs/D54
nqVLqngpzTUHhxYkm/enDbsG+pkpN0kblpfeMNwfpMfFJmUptm5F9FzMFGq2VlJBnxDzdkqCs/Ra
yWuLr8oQRrcZqHvEZ94+JEx1vW5PTZTeKEz/b6bDQe3ghHcDyUttvrMYTvcDo20Tgq33K/1YEjZF
X3DmswWcHuoIo9HsxbvQjHaJbC5dglcn4lqreRlhpnUPE1murWr40AZGAwek7F10Ywd3INHNY9ME
52bq7W1Qk4mq2vyqSOOl4Nr5aTXqxq+n+5H2zuVbvdRp+Vd80Fh68z647L3RO8EednzPVy5/+W3Y
iWE3VN0DCddzmDZfY3bda0/yJJLuhCYM9p7I4WGcS1oe28TZWJaMN/lsv4xtMZ2rgu23ZaoTm/5T
FBcoTaStuY6wZ3vxzLRbCUVnTqZRQyqPsrF8qPZNwUPG6q2t6vK9H6JIpa69z8lYr7WovxYU7zEP
J9AumSt5j20w9qn0SY16Z9sfKeUc2mhDY5G96vvoOtTFVrXRHf3G/MZOsh8LQXNO9TGY2Yml7CEu
kBXrYbgaBu8I+eLoOnF6E0hca2bIq5S3kh5NoU1y03a47nE5rJQIMIoVQqxJm6LRQhnaDBkFH0tK
aBGq8V55hbz2Qrd97FVIraCVHnIMTtvEKdcJhn+eZtadoSlKGF3qt2fbfKsF28d0Nri4waOGpWaw
luM5stK5h/Jp/Dd7Z7IbObJt2X95cyaMPVlATZz0Rp2rV4Q0IRQREnvSSBrbv3kfUIP6hvtjtaiM
zKtQZkUgCzWphxo84AIvFXSnk2bHztl7bb88o8T+ZnXc4tp+KuJujRyzWZhNtIEQgBjKdWl7MHAx
bSr2toPeVTauuQWcKtvMiZ7DuLEA9OwIF72DAGRscrJuNvPgAGLxuqvJ1qdgBkW5bZO8PhDs55LM
Zl1YtdeuHKA13C17htb9JLpe3/nlaFJB0n9yu+SY++6zlSFSjMrLAhxpoFUTiTAu6jP4ioRKedZp
n1cozUtyHQQbWhhPJHcsRXzvsggGxuDu7GS4Ijr8otRgKZJ9ZoKBdJ8zZMKBUxXtTR0lV3kXf0Fn
d8VTedLOdFhq/Ua483km3BexuN/aaryVnboECwRnUGDXNNZA6UwPtcigdVM+qETcMeywd7Ym8f0V
50vtnzVUIqBO8/uma66Buh7NiAzUSSdzLlHGWT9Hl8YoW/zlbNEovG6Vs2wZJl8qPzqVJppAm0g4
C5JD2oKKEh0/shPHCVWxYkI+JzvV0EgyjcJY5ceUyCX4HZvGHe3likiYTelPt16E6pcXveSByosQ
67UTOFPkBnbSavtJ+jEDasQMJDETmT6PGyQfSSj7CCySSO49ZJ47R4tOzHH2rnpbXRAFQ2SzU0CS
qCzS6spymySS0E6evQ39QDSukQcWpuMlbHJc/WvoLu2Hid7WaF5Xo5FvTUSzLIceaKz2jiQcRiEL
qbRml7rwfto1nEYERmV5YdOJG+z+a+otAVtlltpbFOgEH/PsF3uX0xOrOyr/PlLkfTM6yFo+XjsX
r4kvp7D0lLkjoPvaFUURZDkzGI8XNuwmLDEtznVmG8lyojDkbEeh3yLMHjadMaO08gTR3hRIW88h
0cBzyhcdVbAvZEPDcrkyJ/ojrWXS711PTUmZWjQf6jHwM2bRCZJQNcSURKSyjBuAtvXeJ0rkEFcD
yuykJ5okxZABrIjVV19ucSoa29S1X1cCZTBUab7PjcYLSvQkCLUzcehtZAWV3X+J5/qJH5Q+Nwau
oBLymzdjmG3wrm4MxRRkoiNiO8i8szGH9ZsMCaEf4wMmahKDmukL1ARzC4C9ubQmBhU4gSyy1D12
ncXGWs5slv6vRWlUiT4oy6XEooHzLIaVyjbNkhEUQ/ItGpZmW/ILXAwVVrPtHGWYvvVyZDASZWLf
0itAdG67u8gjdzD3KNSSysyRlaZIJ4rVAiZzJyAzONoZVj6GCJBMRDP0VDzswwh1UWXKpmc/yirv
TBN5gyWqod2grOWUhm5zF687YpnQD2CjxPxLxNy+n5ZXdK0c1Ax+kkjJeI+0FxUU8LMLR0TFISWo
Ej2uftclzEwrOaVbKyG5vEuboBuZQTodCdac1q+RfbN/eT3tqaz5guVIhtRKEegTTdtWCIpO9bLv
0Vq0YkcTkFDLxTo2tuBtGDOBwgRabIZyIyicbqauzLSd7cGZcLHzYIjs/XAcUsaCTaSuZ62Zn2KZ
VzSyKHRtegSEI5MMlVRkTJf1l5wpw21JIQifA96URk686zfUcA6SoaEwcaPjnN7i438E2ey6e/Qj
VbOzSBKHvGsPZ0ssebNdcITKcSOUHBEY2xmZKZZyELvdON9Ipz5KtF3HohuIChslTTeH3v04RC+N
1l71DasfKrQNUnz3hE4g+mjZAOXrjfRSiYy5JLhnptNgWGbNYAheLATMMMO7kMLM1ztSnLSysK9b
k0mgow+PtMHM40SbiDbVC1t9tq2HBbNlrn+ZWKcv2T2wvzeuRQSRbUKQhQQwTMMciKx7lmbznBpW
EiyVX92iA1LbWUOJDGaCuErg9Xuf8u12GSWxwJ0R4TAqjC3RvXlgzo33aDhwSitm9xvhMZkhBAgK
mbeUe4L9MKLDM7xwE5avyicBvYvZWFlXzYB01fgU/xolAbX0qVm68HcH3zsBfXHTxc21H5eEWU1V
/9nKnPwkdmeL8bpN4ZrMUdjG9Rn0tiZA2NhfFfrYbrvayukNLRH8NZG92kMCucupCeFxq/6uGfLu
gDCq2mvREl8Za1quFpnWBreXQ5WjfR4t6VCNRhAAtLx8IHSUiAcwIxgODdp+puWo21WoFYDcId8U
lwNiv7hrw5HkuxepSI/Ih7dY06XY+UlenBF/4Id1rWdfchKbd61TLodMm4eLYXZ1Go3zjZiybisd
4R4tKUAZA0m0E1SKDDXa88FJr/Mk+VR4Q/GYUb4+FK3/u8n4v7TbysfjRKP/Z50OUmX/9T+G5/a9
UObPP/uj14GuxSJxh4Y+rYvfGxp/TCKc33SCAbBZsWegpXmXDaCL3zxB6wE/Mysgk4o/Wx3Ob8iV
PZ21fW156MQW/ZNWx1+iAZDvoFd2BTMSD0aE9aHTgfLue85KQtGz2vh0ZtaoMzHzqHAqRiK37dhh
opxydjb86aARd/g9jgUUdLUQfG/oNFSX4fcZ19fpv8Uv9d944rnTP45IVls/VaygjY0jbTX/v9fv
mP93E2dsnP66QLJtIR136PiI9fO8M3YvzPmVmqMCSSj7ScqRT3fDd0/H33wlDGx/86UYL3EBgUVd
oHH64SISho8o3cpi7oAkNu9hpXuRFM+xXs2EFvRjDznfpa7xDtasqRf55uyo+6U5aMw97qEn5fd6
NrPa4jjqtpWwjUdvtYh4cKyYYqy+kawcunN/NZMQoQmMhOrUvaPQGc1txgEs3/jzHN+J1Y4yvzlT
MqMb9bCzmtQMcpWwPXZL2dwls4Tgl4z08BATWnDOwdKnocUg6WsmnOzKbiLtc8zSSC8EmirOtzZK
7iTmLiMsVIo2CT2zjZ5omiCDTvo0Ab2XDA8QZtJqkjl/YjYRFNQiwba8yenf6JwrZs3as92CKPLp
oyBfjqPhKc1souhKoalHvZz6VxbieQtqK9lRVJF5TFpKeWX6kTzzod4Xm24u40tHxuYdlBD1KN2q
Oc3YQRAZ90XYO3Nz08DW+cyGkV9BYdK3kWE250ZKemxGxO2jIkjgbgI6dpIjs2Gav0xg1AGc3gBZ
1Y6Adr2tLzUdzYCVjJwIiCQoKTugKmI5M/tvgHcY3sw1DpuwICUeiZDRlSHc3XifDUxOttQw/iMH
YA+AkPK6C2PwZ1BsEvg/X9e6Fb1FLPkcWTcKSdCjLZv51MZ59txJimyaUs5lsSzzCYV3xphIuUR3
9pijJrNzkKylY3XRN1MEytWe8Oe0suGOe7KD42/HpfENDFR2XrPoY2enHow3tWdWdFw6+dCoDhcQ
6taSyHSFEBc5mdY/ojPw9mL0GNzoMNMMzk2xQFDdjJdag1UAdHDcjKHgzNpeCb1Kv0UpnX3OumSa
sTPFnznmLANnaEaNbUpcFYM/WZyWFc4dtyDz2vJXCJzRQ6uXUzzcOMwxTxklTgTcZihMkGdtcevJ
r53O17UWYkJGgJT3iWySG0MMSm1oaqmLrDVUSj3t9ucaYF3iU61+v8TwsXCQZfaN43Wc2kZFbmUw
anNDOghRxkQMTDUhzJbTfjJlJZ9lVNo1NlJVbcGhRifOZJLcbg/dS+O6w7mnWpRtqFEbNyhVXuyV
20dQuCjDE2O097M3ZfuK4R/gntS5yEAW7DW6FWCNdXfbepN9kkqeVryPndqMyUBLDsZdWM8cIu3Z
iu8HrWsRKM/1wfHj4tRfhBeSnUTy4nq38mVEsMEqsCUxovhi+KgbJCr0s7irvbPeAc46Qau9iqhu
mOQtzQ4Fd3Ubg3XbYU6FA8Shq0IfrsariHxTxqSDYuZpgCzY8n860aC6dbGMpJrg4NI3dhtVQL+o
Wiorig7zJMzdOAIlSKpsCuO5RACmUCTtbAwBSPKK/EpbIutsYjDo7kFFW8BFp/Jm8YZkZ6qkuM3t
PLmro7a7ycD3bG2chKjkPIBlce8e82bKdnPejNsEuRAxoS1zJUbeOFwthxGtN3JOPWZOF+E/m3Pa
CkKUzVeDI3dEba7QU5HBmV30flFeeJlmh5PuciyvzM7nCFInYU5EXbxRfdky0U48kitXhbQ+FK/e
gL5xkwx5tteycZUAuXCbxziJv1pVWn3OE9IJTNyqwBkHDCMqta5TuohXmjOrs6gxzPNUFf6pk6h5
4+RWxOA2tolap0kX4iCZHtOJZb93OF+4dus1wUhc5UNF3OhTlMTonTo5viwtgGlvccRJ50iD11Vm
x1LU1qHrbLE3abHkG1BavC9uV6JRsmA5fjEJmr4lBXfAeoAa4Ei0i9ra8wIUuib6BArIELVfZysi
XH6qSTo0Feu5RwJuMmQK/SoA2wQtbLc8QS0EXYkBQxzJjXEuGkPpX1sVJWelMuYzW9jpNo1MmnwM
00LPV8VXr+fkiP1Eyw4Mj4mLTeY5/4ytAoUhiRnyhZNQftmSAwJqrW1heeg5ivpaARzoylKWqLyX
7jUCoT0GsSWaL3btoifzzZ4G5xrHWBMYEOMpuirSTFzrGnLYUHVle0H/yr2cMlGftyLud3GKs7SL
gQrAACRsxuyy5DTrOOZvPDvHAOMDw9oUiCTRZcUDWw7JtFATpqU8Vm3ZXBdrhEhfLTF5aHSTq3Ca
U3lFsCrHq0ifzg1y2w7l3HOYmi1AcxVZ3RcVMtEbHYAM42/duBv8MdmTIBt9GsUAhTO1CHKT6Sg1
lPKlfwnMpr6WFTm/OqCvm36NdWnGOT6d3rJexBr7YrwlwIydRRpMszjJ2fiWEWOS37Cro2HkHheF
8+C+hcooWsgvvvR3+ho3w7GbT0usBwkfTmyUx85MVnA4ITVpDeYGH2upbfnVtVuLbTyjVUGa8KYD
roxyEGrxsElTZz08lnV0xb3Vb2Ieh7tYEZMjBVOEcY3OgfMnzhJddV8Nt7+PsjVhhyc9P3OQ7GPe
xbFwA4+LpAmjH16KqiAp29FmPMtdd1RLm9+1a5BP95bpo9rUuvdpfTjA1In/Ids8u0u6aTm1Fuya
O6mzq5xERIhfMgurnmu2M30zZ3I58QDpHWM5VLtW79W9mzz8vIozVnHOD+IdKsX3RRwyofeVYiwX
bV5kUm4RGoc0DrrjE11SOv2H6gw38hQ0J0YI4citA+vsNN1lwc8/wF+Ldtd20MlbjORcVMUfq0i3
bWoiZ7py24ZDuISQZk/v6O4EevBY7/zHX5WtzFXffV9wuW/Zjy5HBSFczhzr//9dZZzWMULmkexH
VrlNim7a9o4NJOuff6sfJVHfr0L3bD3u4Cj4mIY6exgG84lB2JjX36ohC1u0lkXt3pUqPeXJ+0Ut
/mMlvl6OgElYFgKNGBKxjwcfBea0NxcNOI/7eZo/01ndFG0Elfzw86/14cf6fiETDwJUHs5rxvq9
3909OmmaSDRVQqXSITwdUG8EOEO/Ys0SYRto4a8ejw/P5x9XxHphOy4nGvHhitnQjT0vc7HNDFyn
W2sbc42lCVUY6XuxzbdR6AZsvNOWBv2OlITowtqJw/yrD7Ke0P79nvz1c3x4TxoHRWbm8zlguMIG
Vm29YZ/4xTFR/9sfEjgbkYg2S+pH3HKL6KYg4aPcqpDxRphu8wMswyt3W58wttwY6EpPfvGT/rgA
fP9ijseTatGzdsSHU5zXD6rWXfrpEEFOShlkOy9E97v3H6IvKNB+8aSudpm/3EcUemgV0SVy4v9w
ucUmNn0o43JLYR0fql0Uqg2sTfRjIaeJ7a8SUY1fXW/9Xd89sY7Tj3FrcT3U9dvpjvHjvg5O0rMi
ZC4XAALYooTg2cE0DH70F8vAj9KL3+/t+y/7YbHxilZgGyP41emRWg/qmehTALnSvO0YYGHMcS/w
WFS7vCrNX1z6b55Xl56DzyLE3QZE9OP3hncSibngSVqahhSvyaf2MItfLN5/exG0pKSbIn4x3/hy
724u873/k7zZv1zlLV3VpbUDAZue4foEv7vKz9NV/1Fb77+mDNmHK0/j7d26ED6r5+9oguNz+fLf
/+P43Kb/+p/1j72/73/1R+/Pwe62AirdNxDlG0vpj96f/5ugGSg8HbGx77wZ4b7rnIzfWFqsNyqB
7rq89H/2/iBbOrq9Jtqy7ji0E61/5JH7cV+n42UTB8p8gdYfzBqsfD8+JJkeL4XRxwYJaehdJZYD
/STy7t7dlKvfl/v3QQ0fL7K21FYzIIRu7H14cH68SIWmJ1ZZb4aoFLZx9lnp2h7U+88v8mGTRW+k
I6r1CGOg2b3WKR+2GpBMhdbBWw6bLRbf3bg3z4YzRSmmB/pFfRv/cpn6S7XCIoHxcf1OYEv5ij9+
LQ5HUBkx0IalfEVNtU/b+ixVdSgFrbf+8edfj4WBf+6HrfTD5dZN8N37TEQH7hx9UqE2ziNwSBV3
5Yah3FwCHvGNM8Tw2kmNVimkjDO25ryUt14Jz2GIkvZmGbEHS+xBJ0KM1UM/zPkNI4Xsyo8ZIRIz
Eh8HP85ucoyZJyT/iU9TV9hh09DO0ExGuHTMmqDIx/wa+8NMUxC+XoJkQY7gdbvZS45xXw+rCykn
QKnPYnHG1LX4knVJ9NKiZ951hK5W9OTc5UbBg72xiBT4XJn2MO811corrNgeQPqmXPYDLbRp06rK
uNQnFuVNZuY0deqoVGedjo+zsO3kqrJLHyGC05c7J887sIN1egqY0ftSS4Wf3Osq6mIxpLfEKZAN
4+gIh2ICQ1vGaSK6LkdF/AygqcfMXc+3Bpra04GZNpK5btQYJCvcPPtRK4Y7PYuXndkLoiOx4Fwn
XslAyU1W15mjkqEKMTczP4fiNJwynOnu9HHIwWBHsbpPnbi+FHKEMtO37sHpoYAz7wfIf8JgULsH
pLSEsaXZt/pkRs/jSvMPYiinp8SVmkecMP2T1WInMUZtuov0qomYhLprnxTP81eyqxLUGwiYA8Tx
4r6fEJNtMi1Wj+1g+DjoDfjJxWTkqJNduw9Td8xvQTRTUycRdGqbkyvE8ri4bwp/uUtEXn4rqoYA
Ts8f93NjLqdJpiVH3VP9LSEN2Yakhf6zn3R8j5hjUI2MoI7c07bPY/Q7SWcvG+gtzaMhZH27Mt7m
wNZ645xUT78Hi0SmCs0iTMJBP87DNWin9htMeP1zTzebnnImmHsmNXliS9XCAZK5bd+BD5bGRpqV
Ds+n6YtDpPWLTg8MkygQUfdS1k15njTjdDsBHb3OEtO4aaTZYmCz7OQ4KA+toCkU7rnKydC+QBVw
OIVzmLsWdt3hoveVrYJm7PMzqwP2vqJer3I3fel9Obz0QxzRkWwnnioYvrvRdZFf1JZWA6ZOV4Au
WcZcLqbpem+SuIEiIiv3SUK7jq58/mCYHj61KSMIzYY11nWeUwVGQ7JW0efFaZxq0Cqq2X4FqJ3g
pe3b0LKblbKtVwYxPCAhuAnVEShiS1PPQC3kuV1xUmvJFDJot64SGc9BKW33vEwxpPUTd0Qf7f4a
q1n1bJZDFVTTaH5iuAScsUcOdkNsQnZBokOPhcLKoW1WlnixYux1tebK82IsAvKBUK53A+msZlEj
vEjGkAwo2OGp1PXTiAecDrjjzl9xsnSXsZMYV+kw27xxYE/sKW2JIDM0JCwKQFwyN+2JW/DuNTHU
O/yc7j4Wo9xhYo6/dbIqT4la019GSG1kJU1Je1rQQLosdH2+Bb/RXCS2LXdjvawaidaAwOmOcVAk
dL5Hf+ZoKsdbjZt5HFUWo/k0uscGJ8Fln4oyZJuqwUTEycmc6PjVaD/jjEA3bp3iL4mswNGsTvJL
dtk+FX69R+dS305MQGbYFaBkUB4iO8/j8nxeFguP8qp4F/OEy9zX8tB0mWNsCPOoEmIwW7YhHQGS
zafdF6WDoqJIffLAYJA9292c3U2t292X2pQdON2o0zq17UPk5MNBwuM9wYjj761MJUc2WPp6U8Yj
MQ7jSTuucFxbst2gM8KojtLP9yZWIIukBlANny2dtyWSVXei2U69NyCyMy6X7VMUy3hCjzknoY9L
9dkRUjQEpaEzI2u5+9QDTQsGKwXQRo5NdeTYQWSeB50iT7EGG+O6liMTufM1U+6bKUkPg6GmT707
z7BezWab8bBfqtSr730T+T8PphfUub8goMNXYPZaFPi0WG9t6vnXxEmjL2A2TO58DJkvn7W9gMB8
bse1HiRz7523EoHapluJG1qsJ/uKcWuQGvEYmqYlT3SNFOypavOLMa49sgEs5JRzzNTJlSX4C1v2
WEIY6RM8gSsTpg2T95a90N+kpbEgthnV5aJVzdUovOrWNhpSZNHrkHywwLkT1kBabx8jT9o4Pg3V
8yZJxVVT1flXDmYUTXM2R0cixhH9tE4lURokrnY5Tml5iQKzDdgik12nVsRS7GvlF1ZU66gNFYvP
2NNGDvWhmvLtSKrZgbhezw1QgTuYNkw/RQDW2weXluJrP/tEl8soH5nSdNJ9ygwzfZZ5MUNHU5pv
o6oin7yqRLW1I9o1IZVkFspl0Gma62d8efHJE+1yKPokRqFs5vUlLXVgT5FeXP28YPl4JqczxViZ
updRp24aq1L/fbniWnblWIrwIyCGQC0fGGNuOmtrVb9qMXysi36/EGYCyKS2TkPhxwtFiLkatXAh
Bh7XDApvyG751fn7xwp29RxQu+LrdASTd5h7H0bkQsP6ZE2lHqJ6RULtpdNlnWG59rIoCX9+3z4e
29ZLQb7gpK+zOmKP+PHrVJ1IaQA3xjr+QcpM0O7Y/J4u9r8dq//qEh9+ml52LipALtF0S1MGmCB1
esO/OsV/vGerw1LoHKE4xqB9MD/8LlVmD1KOYAk090YOr7BqQi929z+/Wx9//I8X+XC3ugomJwA+
I8yaiGIEy50bRm07XONFxuefNEBpmt+v+f+PvP+hC15YUqPe/QZ/OfNu6vn567/+8/2Z999/9seh
V//Nt4hS8zybeC+0JTwbfxx6rd8w/dD6cNbjLe8Tv9if3lthc4BD76Lj7bEchxPcd3PP+kc0aX3P
5dOR+ODZ/0TxYr0dzf59llr/Kf4JxxD0mkAI2u6HEykGCW2Gw9AzDjWGz62m/HMt1sSDncazTyVF
6FehhAztYcmgpjR1dCQtqCfuC9EYjdQ3zlEeu6YZtLTh2Xwi5zr11R0pI+1ArUs266YnpvEEoAe5
i47LPjTRruUMswKVOJZ35+qNslTWQ/I2k4Ycwox6pdi2Mdr8ldEkIimbPRupqe/lG9AJBSBsp5Xy
NDQ2Ll9Nzea8yX2OcigbYULljl1+TldOlO26uORXYFu6U24W2ZtIA2K3TQuJAiGq2az1OcJHNKzw
qTcOVU3ZZR0IOIqPLTduXztsvgk8GrUhcJVZ7RvTCoeqnEM9EcUSIMhgCAbv6xxF4otPUBBVXNxi
Zpi858QahmZbE0p5gwR+uFykj/gzrduGyROcLdOenGFDeGw7YxKx5bNwBi5FsavvOt1pmAFPbnQ2
G7ILRmh6HZq/iXm7NYswSwG9eSv3q1sJYL5sh5fxdyoYfDA9XaKrghL83Kpze9omtSM29coUK8Ah
ghNE5nOB4WA4yVfnK+I6d6UhaqcIQYztklCnbkzXGU4rxA4+U4EmyjbScTHUlqu3ds4lyIFlnsfP
EDUMjs5IS/e5kqS6UqqYDIxXo24P+zDDoyvt19ap29VapcdFsoF+S7iN3XYXBEZQu8AYxkSgK7zH
2FsnSVRV5p9DzlAxGQO2/inywclIhDrHfqnrfe60xkmFRflpcqZxu5D3FFZJhJMF18Udhzz9Kpri
oj04mkamZ9MDYI5Ug1x61qeSs6CdYdg07Jm8vEaL2oekTqYn8w1qPJlz+RwPRn4uKmt8tPxK3aZi
yU8jCQ1ZVArReGcq/EgpT/bl0HT5N7bfZleuNGV0K959vRKWmYvHW6upUWDOk9d0G1GivN2oyI6u
HGMFNS+9hLM6Y7+6nIylAtEi6vtBFM3JlFaAnqGkqV05Qn8uzDk+M4yJN2nsgEPDBsInVbnudREL
8yq1+Pk3vurFYz238eks4uacYKTS3SzmMly7K4DaemNRNyxaaoM9tfikEQ9xWpKckYQ98DtgvLi+
LsScGBfaYKFG7nWgLYk9XFeZh9A46sQIK072SCOGEsoTSv2yfRV1urwypISfXUTLvK4T0TFd0doi
TYFsz7qzY5oLdQLY1JEsrR5hM5ikjaZsftOSeICN55PnVXaTjbF8RXq7K9y7WjHf7pJ7F9BpXC1I
3jjgUqgZttMbHzxrlaKUAxo+VLr+ifwj5Bboy3U/bN8I48JYki02uPhMWUZ2hjgpBW5DgMhXPx7i
B35pUOUMwIr7XEdycoh9NTwitKjnQ9NxjJCqyuCJD2DP3T7LoHhy+NnGJktrgA7C37qyrb4VVsQ/
4xU4ZjZFriX7qAWqnq94dWOYh25n2yNvcF8QarIyZ0i9lVJufGsltOsrrF1oK7d9BBt3JpaofFhy
9o29jbycsr3ocQHN8UmBM41P74Ic4UAyb7HWFQ+F5Y6nhUWgbgj4VPtiv4F41crk7btWhMrXlm+g
V3id2wq5fQEA4GJSNPXCjmvclvQSnXBgxTfpyABgQAQ/sfq8kYEnYhGRzRNMcFs0VX5jzzOdMLev
MKpnua8hZzf09JPXJ/KTt7KHU0L50kBv9PouXdnEMJrAFPtvyOJKWhMk7cZaAJkYNvnkTYrlfJOU
Jv5SR9Femg1r2tKTgDMU62I5Zowq9ghXomhbG6J/VbmGohsEkUfE26pk5PRb5lfuONR0VozmqjPL
RuwingCeKa2SvE3YHBHuyezBNHKHXxR245Eg9D7blIj0X6dUYs4hSj0E6TPgPezys8gqWTQK0edX
IwYeZNMlCB2QTZA+R4b4yaK2htEmVz5tNjgUVXVaYrYMRxj9fRiVSXEte8weIYY0hy2zJZXLztPx
6BZabW3GPMbHAjEBNdoA4eUq5UQCbWDs5Z3F+nI7+Jn2raMJpCBO5u4NeucF00jvDefYHxi4T2N8
h6qAc/ICCWunD5i0IH1ln7NhGARdndza91C0OI0J/OkbXlky3mit4ftqi/MCptIrQi8cBBp+9iOG
W/2pV7FxZBlaLojd7uut47RE+86ac/Rzl+UVXYfzpKFZf2J51faG1tY7wBI+uZptqT9FTuaeQ+Up
jwkP+F0Wj+LU7Cyf8ZU17NFpRDufnhF+1Dl5StFOaSGiJWKWctHbe16x6lveipT/KOWcNkz659bh
mQi6RqRBlJneOb4ustxsaGfCK7VTI6vyW39yzMdOb9eDLLEuVjDniYG03E2i1yiNenpjaYQ/P5/b
2w4P6SeX/+xA+9Df1YUDYVfSSjjLYd1sY09LbnDHdgePWBcay8sMVdLWs/oC06rfhT2ltgoELosr
UgmShxqnlEG314JBB/vKutBU3+xbYmu/H77+Ub39/5pJfp2s/KyKDp6Lb8/d+yL697/4o4Cm4DVA
19AkNZgxcBj8dwFtE2OMi4+5EeIFuvGMgr8X0CRwgFqkwCD9eJ1CeRy5/iygPQ6wzHc8Zhb/GF7D
X3EK/bGAdqDh4LWHdi1YczkyvD/dp8BkDYsVJCxyngLVoShGqvdt6vynFuPhZZc4xRaGs7sryLcI
8s4pcFFoxFuMrThd6IbuIr+oAmeOE57lARehgQbR6bN7EpuGe0l0xoWnMDwXSrudlO5ieRDPtcrM
I/9gtl/KpUUERchB5V2TpmYARBNNQK6SPBQIPMMc7uARCdGDTIcsGA0Z0YVAc4fhDq9YV1ynXn5t
Vxrz7KX4OuNdCjSVlnd54zQnpUYHKXaYc08F/yMCbdyV5xhzuhNkqIdGzo/NQKAgzudlU9PjNmuP
wUpTbUYfy45jN6/I7CBFe+V93rJcmnTgFdOYIJvyJwtv5WaK/Xv6Ts82a2wwJlpLOwYBmg6fN/bq
g+x7SmOzIjx2tSqKqQ2hmkLRmCLMyS4yEj+qXh1VXrZz+uClybLpY7lDME2aUBExjYrVgeLpdMas
2MfDc0l6kuVrZ2bLLul0O08Ue1voatsD8ktXwx6mkIZ8BSq7dg2PNkc6mMmY7gF7ZEGJMm0wbSgq
vX+YVHduFb7EcjruM9rdOPCROUcVBpcOCAlxtfolF3YDNM/YQG0u4eYRwx0Sr5AHjoeJpM4MzsnG
142vchrvGpgDkVV8yqRsw7gGlUi/Z9rKXNHzK3vCK9qZLn95F5GNjHM6OURjcw/DC1dMAamDZK3P
oFXIRs3BA7TDJzFG506a37Yk1kc6DErNc66kbr1MjI/aobsfjOjWdIE5DD5Hvtb6lEtFxmMuLqaC
CVEz29W619KoE7ABjCqSF4KI5EPXjnCTTUxteJeIyjgOGTDuXvFtEz/CVUfi2hbcG3hbkX4S8YKR
Pxueh2RmK0Vmd90NyZ3QNRVYY+SRZel8ajId3z11XDvbBofOXjxTZCxbUPJxAEPMfazSdNhJNnnC
VKPqTHN7gwIVjMMcC4YobBgbc/SBSXZzfU6J3NMZpUrAVAWJ2G3mk8yX1sFmDsd/Bwq99VAZkyPh
kKi7/gpNsoSplRjbRoet50RLEWita6EwAXTj9020ZWZFj90B+seMKLpKsuoJ+T1nvPQ2rqljutLU
Ay/rxhVTx3zKzFCQ+sZ0XlE0BGVd38wo+RgY4O21e/XFqqJXLXZfMFfje3RoO5tezUjF9sIBuj8D
R3wG2VS6AcNGf+tFOqLHnLDlHCpHCCaLmOYF0W6r52c50tgN2aY3qVPl54OOfH8A2LNBo/etckbs
2mJuNgXpKxvmKcWDXCqQyrlzt8TcqQqcDi+XKsDkpVpojnZNULJoufMFwTodH1hquIk50i27Rde1
UIzIkJUokK8PsR/QQ+bzjnMXRgkGC5OxAhg7IlWa/t4mfS0YZgL/BjEerBjde94mBz9DfUr5cmHH
0PX6EQKdIm1a6PEXd27P4nHBS6iFJcJ6p7Wwa+PSLar5YRAcLp2WRyZJMG8NWKvhWp0CobruUv8m
GkjxHRWWWyuHLcgWM21NE86hxdlg97/IO5PkyJE0S18lL6AhGBXA1gCbOc/kBuKkk5gBxTxcq47Q
F+sPrIhMj+iqlI5lV29SXMKTTprRoMP73/uecuofluw8v8Gldga896N3bJqVciidRYc82+nzqViq
O7y0mU8/9kg2Ll914ri7jGl42WSDV1H4Ppl+DHHeG6fbvu/Hx6TN6cmjjiWoNRuSgFLDFusMXKlm
XHzg3zjFZ2jQuekRdNZZ1DpF1TRm+UuRGOlOOPVFuH78eeKl3m5zp9S3jWbLjdDFT4/avg0M/ufQ
ZPzS5OZX7tRnhJtnM5rw0C3PtC0h6HfyBj53ExiegDyft3NguuC4yXpQmNDCQZnr6MRwN5iK5tUj
pT3Zxj1Rf6q6pXndDagQiSsOSTc89XZ5JK3+2MA28bWmo7B3lF9RRxcOFTb7ZliCeNGLbZkiEk3M
kjeZNsLnbsr5RtMmbGBpp/vQGu5TzDmbbwKpwzahZVL3nbzl3U0hINSl/Vhy3eiTgia1yAw8qBJB
pROolnH17OZwFqI2s7esVfT0dpxo61ynHbS2b5xS7qaGLB9L7xfn6r1FzRM56vdZFrdaoV/gg7+B
Jl4Ei15/9ln2Rb19hGlsSri7Lc+YSoHFW1TviEbfitXcP7bleOjG6r5wcnvHTqWOuC64WScMWWJ2
LegOxn0HQuMwpjwpvZ68aXp6IxK92EU5ryWkuhTpQG5CJnJbAvbPemMYu64h7hza+bAxZNrhlxgu
wDU+mzDk/URQWe7odKqC8hD7gUvgjrfwgVX3NhY5TI84fljYeZ87OaidGwE4nbNkS3iKfTwuuVJa
800zgEqwGsKgSzIIFBzzLsmEtqNKhzB30+8mYl0HI88Ouc2JunKnBaYmrJIRVNcOyITlG3OVosFE
ImD29WlLk1ZGuR80su4cqzM/weQTkHo2QPcuchcWiwq81K55+OgoKvSWzLw9mDtZVi+2JN1uNepl
IhNPjmd8bUQ8Xs6WGC8xUFcbNS/vdRveLDAyay6ZKpcXbLH9Bsv/k9uVJzGy/SSedy9FdnTtmKfF
zj4cYuS8t8trFQJYze0SCqlXgRSgKWMzVoRGnAxknE3NPBxMyL+VGX2xpFoHvugZtLKH/ijGvaOn
TO+4K6Xp9DmvqIZxUj+QbCjeccefJLcpXF7WzRwKaSiqT1mP3T6jw4FoFr0Sk1tdQAa8EW782ZTN
tNcixsKVeF9zqYTPgcPrkeEGCfmggxF2zxAlyg0dwAPU3B6SMZkHQBdGFYRedG1qSH0yz2HSjHa7
hpRZO0XD+HYBOzgW6l1O1oHRT7oBJRpt+rm+hAjIc7Uwg2lFWm5pSHyOBobilhZ50O34gLjN+HPU
9P7gdOO9qVotMCOVbBlJQKwp8W1QtPqW27211Xrs7WNPoWdLKCGARMiCQdKFJ1WqHZnOA8UoAIGA
Zm+N3mr3Ws7k2Svm8xSpdNuW3JQIX23nmSfQaZ/UOB9AjxxRP14wiuxSbxDgCjkoZwXlLWalbtyx
hDtbQ3Ak/xRtwx7PjD7GVxYtoYIQfzrisS4z8y4Py/CgbFucvAlhdyhr8MhgDcJ5+OAiS+IL8WOD
XrmG6eNp2xB+gF3CU9sn842pxothSVBuheuewn5t8tRZrUjIU65lwOlgiA4fpKlfjEIQ70kSl09P
eFUyODGbkbfYYj0PuX/DieA+Pnd7ObNjifY1YdEG0n8KJUekkN+UUq0kf9M/mYBi6qa4QKv+Ypd8
RK36on9VXTpJ9DNfV2ISBXdhaCjO/1USIA4/TmUM5ToUOvqCKXx7gkMSNcxpsUfkW4KFSzCaJFt0
6UV+vCxfzAMj367tj5i7J8wwjBmZQe6rr09JVBxs8nh8ujtv49jhV0vj1a6vvXob8hTDQFLT5eJN
OxOAI2rHi1M1bwm3eTDO+VNfiUMB+wl2yr0zqWBOl7vIal/iybvQ1XzXxlhHmCkfxpiLd2OEuASz
2zGGcVdkJc0FkENyJYbdYBnDm4xzZ2sPzCdnZyRjL7xH9u6HsMl3oLkhuyc3qZgu7Rg68ux+LJAM
uVTJAJfL/VAMLBfLq+6454R6D3+i0BEDByFELzSuakpuIgvp0+BTHEhj+uJClG4wzSNpwReO5olS
Ynre9sM8pVt9trVgGnkT51VBWgvdubsA3RVmo+3tcKh8T07eVURhj9/lxclg5glHqKNH2aqqo90l
1tGKU+0KuNejreQnTOivqjM1DBh2vxGE2X2mmuJM+OuLwLnwe8tNgu978v9oNWDNV0tS2v+GmOf/
r/9oflbvP36VBP75Zf9SBRhb6RZDaKbDVFAzIPtjrCZ/43bPF6yzuHXmxoT6d1XA+w2GJFw85vAw
7XA2/2us5vxmMvuiMZtBHPGH9av+BtJ2NVj+qgngdsJuwViJNnYHn/pfNIHRmQhLUe63dbGRHpND
clqAq3z1wv/ljfkv7KTfL+b//E5oI6Zm2rbEr/1n9YGyeDidpQLPxv3wLiJnmtKOPuSIs80yPZSl
rA6ap6odB8n8UmOOckk619U5g0jviA92edQ6NT6QBusvKYuG6dyr+N70wLX45Ki0+y6V4pgtoSM2
Re4Wd6L0RFDbVPVmYdwbGxvBD624loc05/priW64jPXG+eBsKV7MMk4++lZZ+7APoXVEHAc4rXu6
yQGM0cc+o2bw3Uwrgz1pxrFlCWU9z0lUrwwjSoLjmRhyoulEiqepbRmu1Vm96xev2eV2Y35yHehn
zvNRp9FfF4r5WDUkcjmcGlVybOcFp4zEyjnTlOeqW7gaNaj/78wZfJ5yH2E72XI/B1RhhfEj0C/z
zYu9+SILB4P1gc17HahE6Y4IGvvFUELACk1zb/Tz+JMcWu+z47dbXEdTgFWSsgDltTdCuKZigOxQ
qGR5+Nq2QPem+KBB1qenRmaCYuya80pbVAQZTEA25PiA2GOIWngHjVEOIdOpwb71bBUD3RLyBlOv
vFlalb2m+mKetEiGu8nsyocEnYTmGc3juCD1KAppK2sLIrN5055J94+3KrLx1nmhnRzi0shOVBd5
YHqg8c4brx2K57Ib+zen7ae7FEmh31SMjqF+yrEOyt4lA6wpzohl001XIGych36azIfIbPQddR0E
BBoccpf4OQHAp45X3C+MOM+K0+QNjKjsOnYkF3MHe5BJf/ewHIYR5K+pMXPiHt+m133f6Q9IPvVx
pT1EPol6esBG5GMMg9lSgIpJzHPYJtWTrBiWoWqnR/Ss6KKNLD4nSRhGO40/B6k70BuWVn0H7Z12
ih02kvEK4vtRpCHm4KXVd2ys8+00ucZbGJrTQSJ8GzvNVsM5Cx3zzSjLfGfjhAOTHAKLCRMvu6fv
BAWdXYodA2GjFcSZLW/guOallyzx6UExL6ALqzO58VZey68oIcRdkz6mmA3wSxQau8Xl8oF5ylPJ
MUsH3QXL/50S9rgxbR0mTMuuZsTyvHRsw1SXWMldagg2lQId/xkMpHEhqNv6qGMd0KQ5thEtWhNI
Ch/1Ld8uDEi7rVczMtpReFBchcAuHyauvsZOV8q4mQh3PxkhnUuBye7f+K0SNDaqZCmetTblkNau
Y20+36J5MuapehyXZnhvsbb8EG6e3eKkpD5KN2Mcn3VuGBdOFlMo7EKQc3yv0/ryhNUXouDsMF82
E02yh///sPNp0l7X5/+eFXtVNd3nP35+/uO/7K1elezvf+CPPdD4DVAJpA6oKX+EJv7YA83fILZa
ALa/q4P4wl/2QIMtE+sIWjVcZW8ND/yujJPPIOVhM9tjEzQNh2jj39gDze+M4p92QY80AGAPKLRQ
RIDH/nlvKrVhwBuMQcLD6M4nbJ2917HdwU4cwhkzZ23ON9PQyAcqQ4bLtGrCXaq66o1zbrGtJrVc
sFpHV3QBRTSwlsaz8+0D6FdLwGwtyne7kPLh0jKadxcwXURBrpdRyRKBPH7kosUFSDPRanezttiv
2gIIksytOrtAxzG554WOJ1fHnMdw1dGeDKZD5Newn8++5+Xjc21l7snq6uFxcHRIEsucUhHdgZnj
MD04ymQuPPBne3F55JvG5Q5eAKx7dCA0zVDFpL6frNH7kZqh8k0rBmDWzvIWKmj7VEyVuvfiqg0M
WKqoBsp4wSmUwwbBdDMLnbaKpKWLrkGY2eHtCI+LIN630YdJFZtYl1NQdjqU7hm7uMZcm0K0OqFO
JhWOr2cTGdyKt2d0ozDBLWorkIyluQfUJF+GUsTX1Gl8VWWnAtHnzllzKuMJQK8ixYuC06V5uLNr
Tflt2tg7dg3jaIyjdPfgVqOIy2kFCNFMhtgvFkb+SrO6QNkk8YXJmMHrPGTfWhuf2sgM0/ccQ37D
SuZN9VNpMmDliuZu7XKYt7ZLAJv2RiYBRkvjdJJPx1BviFuwAkO0Swhl0nV3WnCJniN90ineTpX9
HFIPo+NuTdRZhOi35EA0PchdXXsAxlq/miqfryTlxlxYazUE7rJ2U9QAEXZSh9JpiSxCOAI30JCY
DAY3da5GvWI+PzjoffANoHLXw0FbPPkilBKvWYwJZIMKxl5tdPT/gK9J90Nm13de2zHEaZYwpbIa
TZa9MmmdG111bhBlubm3Za0vG2xBDmztYnyqNY9l1wvN8HqkO/KqV9+cEVu1a1upcxz1sXrMu4qw
A82/7n2mNZxWXODBPQ2FQMbruHuSkdO9hvRz7ogQc+eY+HlfqlangoS4OLNqt2agtBBiPGvmmiBe
3PVSushbADj2Y5gnaGtTVLNhMKDf9Ho4nmoO3hRu6fEBs1d9P4aR9Y7jyB43BOXDR2dJqrOMEMb8
jkPOC1MtT21gd8hD56n+InYt0ItxmFLaWhpPEwSuwIEbw5WQXudLCWd+Z3LqCmamdM8JvJezk9jx
RzZ55ifZFfFcpnOzi1qvPWqcr+6dmJIxvfei9zAb5jtQ9uokoPjgCQ0NpujhlIb70iqpQAEUjxPV
tnuwsp4IfyoM6x18Wo2npi2VG8C5ACKfF9opn2NaOMd1NCKziTAFPyLvfEMPAx160yOt89m1Jgih
1HPF5gr0WN9pOm3qPj6z7GmMpfmVWlbpbYSRpxddmaWvVpGoW0XQLNpQRW++umZVnPFQ9V+xMkG2
qe/+7WKt4maPpZW7bQbrom+o6q7JVWTMnLDBQq7gMCv4IH8A+UGKi+m0+VHm0+pp4X4bb+k2QGgb
s55zPic5+Vbi0b4ah9z4yKmUOuuhhUHHaHV1Cr/rxWmhzN9DvW2PNqOlD42ShRdtkdbFNKb6fVpF
Fe23sHoC9V1cnnyXmE9GB1clTag2l0wC4FnXg7msfgWU2bUHHaj1yo9e29GHMufijXGC0nQ50J8u
PCx3ojBplC8T9I7eC2+h3WV7w/TWQgfNE4fqu5CdlMXeymN9r2eqf+UYUlwq0agLr6oAjMbUuoc4
tn5qXtcdF2hGpxRvAlDvxLzFcz4foUDBJp6lII1vi08zdonlkOLKb5RbR5fZWi8fjWFxZVtMMqjB
a28cGU77uOrqy3Stpk8zUx2T3MBRIFrLeJJdMm4bIydbUJr4c+Yuh/I7zgzFKJ5CxPj7p5n/mcFR
g0s61+///sRzl7Q/mtUA8Otl//ev+uOYY/+GwdLAKbte6jnK/GIAkL9xhOHXhkmJAwaX938ec+zf
iFKRXv523lsaf/rnMQdDAfnB9V/DjE1qyfo7pxzE7r/c9V2NXmiHsBF2AgsI3V9OOQwTPdyQmLtj
Zb/qyQBWMC9JTZhMv6Fh1sdwsW4wZ+X+7MkYOtAcs2eF11YDCbOt2cwKGph1D0IuwIl812qZQw1U
7+yLrnWPYLRxpCsa01JFocMwl8/96jFQfUEN7QJtpqyHhVGrnTzD3ix8WZErI/SnBfRUf+mJ97ms
GtUqVoWQUVFJlbcxGvejHXCf5r19X6+6lrkqXD1SFw3CKN5SP1pT+KQoeT3IVQ9z0Mj2FlbXjZSR
Bq2YWxB+fF5jTh/huKpqYtXX4lVpg7vpDz3HfvyHSKnIceaqy9Fu2mzwpXPZAKIkVhPmquKRkUHP
G8NzicA3IvRpMnzpbWsIyHl9WK79mqzSYBRdUCa2m53wfjEcFmiMvta3mihDuR1XhZEysgFuK6pj
ifxYZUgNLYLkoOL3aVUo87DFx7hqlq1217YUwRgqehF0S8pkvOiWAbx5dCyKpNkPdvdmo4da6KIa
+mi7CqUGJLFD2JHryWq93A3C+UpWYZX+Q2Koq9aK5lqt4mudOu+sGHd90sPRJRDHiGL8AmIIOnsV
bycgW4G+CrqAwmzMeCYibz4LP1OIM17lgP7pkkdnFYXBNXN0q9K7YhWMITV9hKuEDJPzq0VTNtoY
W7WeXTj9wHCxf6pX9TkS6NACQZqaZQb09UUx1vDKshMgsz3V6R3ZQ6v2Z8RWa1W3ybAeJHK3u+re
Mo5+oOLWmwrMv49fCg7XqpPDGQ03pBfjw+JCclq4ve+sVVhHYG9ray2Ry4i/MUbZYm+o9kVpMeRd
tXkInB8Uq8BI0Bgxx6J6QWAQp2zV9AvEfdxT/J1bXaEaXU11etUbriLrykSg9gy0pqVJcFc3N/k6
NwgBt24GwxYXelTtGmXe6m59oiz3JKvkfk4mxn1MI2wO+XVjmsFSGzf6OqkwFkpxx3V6kaxzDA1a
EbwMzkXrjGNapx2asOpgWCcg1D0OqFsaxBDGIzEsW3o2mZgY6+wEI7YWZDDoZVEfUK83nGvHPei9
n/k6cTHX2YtYo4ka/RfNOpeZ+4J/fZ3VGDVuZ4NRLGsd59HcPCi8Onxc4IapkNsRA5/FZBBjOmS9
pFfDWnahCiLeXDtZ6flAV81NbWcFxMISXvI6WuLJ/FSRxfZMfhKDDSDZhikU7899u46lIi/+xFp6
MzOvogwh2bcCGpZhLRpzTve5W8dbjWX7bLVMYxPrDeIqD7IofizrUMys+8+4ZYInsGxEvcXgzKt5
iczSBu6nB64EXzZjF1+uAzcYr4wAHc39Lq7fkDOE/ZTwQ2Ot9Hy+6BXbtIRgm300VYsLHK09ZcK3
cLzm5lCe8np8ggDFT8I0MFnUVmM62DAl7ArjvVzHhsIUMTesdmIuNkvnyIOCrojdaS80fl5Xxd25
wHR/yGL9ONUJilbRDTtbJrChnIwPU9K/FowSjiLulkBNxoszd2JHbXp36tdrljeNP+ZiAU7n5sZ5
tqZ7MGrZvp8xIzJ7nTcTAmIwDxXCDxGoh8lQ3OcSb34dR7ENW0NRHKZhrBlrCiM4PQphFvsEZ4Gf
FhW84FSb71vkmx1vF72G0n7QQ/yHANZW7pvz6NTDF9NlnNYWuL12eMgsajCXyXwHK8WUw8p/xHhS
xGDeOyQFNk0Rfsyd82ZP+ZfDhAbF7NKKXUEzENP6eCq+p1X9vuNaHixaVV4o+n32Wa0soIB1c6vq
juFPog3ntFnomFwSeW2n4H+5Ajd8puc+IK0gnnj/+isaFaJARW7CDAr/M4TUn642kCOpMuWryHn3
sAcD3TEHFD3MKpR+kF0weGy4+BQbL6UCtbUWQvmpeDKV5l0VDSUbeDCe3ApxjGQtR9zInAP6y+9n
N4SM7+rTts/axI/iuaDLVR8vMhrV8UZM80PX8jTHwEH3Wch4aXQHthbo4ttQVQcrhxOvrdjtzpOg
u9zm6BmKbgNLrZlDOe9JKCRBWVF2GPfas2JIHsAL4yJBrSoe17Pq7Btpy2vV5MHSjHCVdesYjvSy
CYZpiTY+IJHX4LHnS9YoBoQG5iqFvOq65dtY00pgl/pJQVcSVnS2xurQKTlziK/PJfqqg2OLOvLq
UngJE9W+1ANvZI/RMOtTdubk+9CtXgd7+skS9pYmxns66ndTQ+yWn0b508LnPzMUWnya3wIA1/dV
VzZBmtfPQ0JrxKhjK5PZa0xcG30uo7iIdglWkV0EQ4wXUZ7KBVdB39zbmnWuLAWG0ODlJgyquRjo
aj+DvcU+1Pu9jX9a66nYncqrdnAfXSM/RyZqtoEJuVzuiVwCfxi3RMmxCE370avvhqEtWbX4Xnac
nDKOQZZazux8INYAODouePW42aMn3ZAMvOy16DB27o5B9Kltmr0s5akd2RRohmFg3NZ4hJr6NCuM
P+ZQPs45f2+kF21FY01HCKmsOieQfb3WUeRvq6cYgj1AQ5t1qHGxPsYab7tWaygkY6Dr7UVWCp0E
BCP7rq8/rFzP6CLTgMeC/kRJCYYxtTdgTC+NCDRfv1g/vRCPgeliEk9gDVxbELrI7qrupq1KSp1N
ejn//l3h/zUHsGmuh+x/cwt4IOld/OkK8PuX/HEFsH5D6HR1i7wGf/OXaR9TPgfYFSqjDVflX0on
9wYAYzZjPkZjTPwcbMi/K50GSidmBey/rLuc2t2/cwUwvy2+vwqdrgZry+B/2dGkKdeJ468WYLxJ
sVcbxsjat8wnlUSOvrX1nIZu1caPRCpGYC+ZjOGbW+LV4HmrNm0TaThtUCuDgrHIlROXzUHPPcFJ
MZv0q7SsrOslGevzMAjm+w5b4uOYOsqmBTBTZ3vRygsrpgyjbujTzWuHSLUxuMaJjEx81NaijVgY
xQmHW3SdavRA02yViBtKNOJj1E/9dS7ra/inB5IfF9mgxFvSYQfr8xEijdnP6b7xMqx1I20SwAbi
4tJZZkx2PeqXWdvfLYPy1iBofmF0trVfaSRBqwN3wBPTW+TytfJqnnX7pNm0sygaRJKNpFZu9kdm
sY8dHlF0SoOWGFPPh6dJVtq1ZzZTw4sFdezHroZ0p5K08elKjFkQK6wMAKHzaqsnqmATKQ11X/P/
fRJRJc+R1JEWcvoMv5qZDqops+MLZZQC+GDtbXkh1nFSbhJyZJLWFJieg9mXJoUMxq5yEVUnHUc1
GwZl2btickh2DVV1j9O3vves8pgvibjGgUQsf8HUxPtLzYJmfMq0j65VrNFwEyUp5UwAo61zIYfx
ppMsFVZorKu72yT3Kk84smRM5+4oqsgO4zTIZ6N07yDk6zScZ8tblHjySeg43mIbg4+fU06w18au
PDtt3Z+zckl2lmbTE4a0cuq7PHxyFIanRuvHD30WgwfFYayeYnpHXpK8rfaUP+DOtuoofqQT3b02
FoPchCWxWhtzKZ64l3EF6ynr2TH8q/E+Z7Z4CTvPuEzkmt8ooWvnDjInreZJGQhqVX60+G1+ovPl
KPeQSNm987dqKRfgsm75kA6yfDe0BqecyLsHlc7Jh2lZuJQYvyfnkHHpZQKh9oTJhQUbiAnSHTkc
9822y25fpKnYJl2IzUoOXge6sw3NQyvs+nnOtOkadwebZ5IN9qXTwQqZnIX+nRBPB2NqkYW8fxid
2cjUIwxW773jSvPIia74wfyharYJAkEcYNxvbqs2S854x9KdlU0x9ayhcZ/3OMe3VPkkHzYFKEEx
huFlTorls43rfBfBaHizCoufriqM+mZw+n7GNJ9yYyi4/iW+U0nvIeTzgs1MDuZdIwCxgKWwi8uE
LwHGu9r9R+iu1w4jspM3Wu1C4nGm3D4qba3yy7Kb7vu5sk/l7On7zGkcRRhqdr8gyQAa7xfnUeTY
XI69EVHWMgqLNk6v5EqJo5nGojZmGr3tGCQ/Y9oz2J+zcJdbev2UD6KXQJZBsNKzMPoVwuGuDMFY
s6tX0Q9JFOcW+oa+Hypiq1Sicnxg0HwCfeHcDJUOpiPjbaJeamm3VurSvua52dMiy+Ju0mvzMeph
Sut1ne1S14z0TR9plBaJuix2PUSIbFvypJ6Xqm2RxN1l+pqmqPocptDYdq50T5M7W0c+/dkV0cW8
2WSpl4uNjmne4pAjhy3jq7jw+zIvfoR878vFjml94XJUZwGYmASSULz8LOy++ujSOD426KB7uLqc
I2AU7Wu3Si5jcEpXpFCbXTO2Jq1qjrcb3E5zOXZ26gejM++FjYXgBTvIC5MKLPR8Yl9A8Oj0jmG5
w3aJ9JNsQpdEUZiMjEENqTdX5Cj0rTLC0K+rblwPtda8n6JueTGbUNz9/SPB/0z50LQYRf67g8PT
jzxfB6b5P/y/lmD//rV/nCAIBGGSBm3KUYFM4T/dQq7+mwSVyX93HNc0tHWI+c8MEZ4azgkg1AzD
hm/JX/1+fjB/wzThkNpfzxff3Zx/5wDxF6TlmsGHK+y4QDv/c1CKwvnr+UFGTTRbM7VbwwvonMNy
AFO6yX+QqP+/AKLyWv/kGFq/mWNoK1cAgxLDzT9/MyBBMR7izAy6ulx2ehIPB8eYqbLTYNL/8su4
+c8T0K+0O8tdf/I/n4wswBdgDnAdcm5aE1q/vjJLjm1ijNMSdHBwYOyEApCtI8hvTJOfNuHAQsxN
haiGu20iWXA+yJL3KNbC68RNtXO59PXW4eKwZbdisgn6h2FriFl5Nls/n+d7fqfJnnaIbNsD0PYj
tGKfWGR/NSgIb16blv7sooctuZg31QL1CQOHYpWhW0mmSj/UXIaZK301Gr2NG1Vp/ExpRhv03C8I
r0uP1jcPQZRLdze2Wg+DSJ93YxKnV+NEj7LmwBtyOsKFFjviWdmFOLtC0/aRZKjqoGMyZ/XmfRtR
QlO2jntRlJH9aLN3XwvlcsIJ6ZoxrjTQ0hVKYuyhAkVrurGJmanpTbZ8ev2EgzmHjn3qpceSti5u
MpmSR6RmVrxp6BEPWtc5t9AECK30cl8RCflqWq6Ffr6umHVFKTRocacnS6m3qHmTISn/XldaMmYe
Y5XM3LKFVZ/NuiIP63q1QaOIz05lTfFWNDKqd8O6kpcDx7GNtq7vBIxY6fGXPAoo4XcQCsaHaiDw
7qx7w0gev9kWDMheqLCab4up5F2kLt3zmUghuxCIX/GtRCeImNbiTOPHMhy4cPZ3hsYRGhh5FN6n
eqoeGsh1R88W3W60m/LcZBNipEQOfJv5gSn2HuUdrsDspluIiIHjCA9eHmY/S8cUWHPiKodJTwlC
7YbGrZIe8U+KX6ftgCvQCWhfbF0EcFIFdNpmzSU+N8IjWt7YgVY77kEMPV6AVG9+0I5YPi95wbEl
Xy/cmXLGcxPL6Sf96cI39VLbUfGsgkaqcROpAsRURk7csNL+e4PdNvjuNtZQDmSOcm/Xl70B7F5/
8loV1Ihr21bVzZ3NHqY2RVKEb2nvte9pFIvnyEDqqKbW+OI25HY+fdOEZfO0V5c1qPx7MxyaA51F
8ZtXVKIg19sX5lVrAZbfGpkXdj7ei5rmND4N3Izn0Ntq2hpOprug23OCFNjWJrOk7a/luI/ab1V7
4gTqvdTD6Nnp29AOwrKnXTsHzBcwbavf6hiSop/JCuR7Eq9BspJpAm5Eaj1BMPGR7IsuetTTNh03
3sgj55dORRFhV1iXs6ac1z4bXDrd0jBdfHAJ3k062OrcD6I8CMCIt0B1xBUjU7cMIJrL+0WRoMb1
To5m1yx652AJbAV9hQmTd1o/tK90apOfrnDaezyQ2WOk+NM0McdB0bGo/C6TxrqZQ32tiTN5oSVU
t5uYxPh1lcAJ2GiLMT7CXcRODcCeMHvGYnabzdhxODrxa6fEyD4P+gS2PsvivSWkcZcsvTpNzFpO
pl2Jp4zPFlEwLhGf4A2xZoglwv3MnQmam6Rdp4+olA87Gx1YRQ32xHxsP6D/2fwmJvc8jkb/WksM
nn4xJ2mQthHHdBd36ZbGhRwdS5P7vD+avVd/QUQcCdM0zjX9sznhCMubXkNhiS0HbLkxw6bap9oC
xpcxfkDokdYFDC6IVAYZooRavHIc4lOvZbofcRHaZg1ZKhp+8dOYfG5CV3LYawkokFCMDrrtlQdj
6IcLBknkH2tKdw1a34imZdxtekJqXtrmJ2yE6oJalvdmQMJTEktsNxD0tPAj+DTSIQrXOaltxvO+
ClP9yAQo25VZgdTCIHbXV0scMDwnGscmGrRDTTVOzkortXS51HXH2pbYU31l0sCHRTMj5dN1b0UZ
z74qh2G3jJV9dixMlZ0z8JwNmnVyOsvZUhdqnyCjJHfK7Jej8mb9mKZORGt6TuvrMHn4ieKFCjUP
ROVpjgu1KyNqR+E34LrRmEEYvafdDmyA27Iw+u2s+uHY9gZLDUIzbc5VNz+sXLBgHOvkaqHo9FKL
x/ZkRkNFi+UYbjwEqKMZA0eMyBZt8NDiVtewKsD5jzbL0jVBUbn2dtG84Wxycr/TQSLeKaeGQ5Kw
3JCONQ5TGQ0XUMHZO8I5zk9kbMRb1xna1gzliL+1pv5k6sCBrw2Jaq5uzcmGCYKYiqujrB5Rc+en
hrKirRcz448nl+DwUDbNg6LKceO2EYlBJ5/bTSaVdaVhXOT6pZOsy6OEvHBLA3PiDHuXDlwybfS1
Iit43rkcmBMAClxMKqntmlEHAUtmYKPlPsqhls6FUEt3ScCyPU7GHJGx0ZjPmTnPqN9T2HHD4muf
dLuhsAUITHciKWYeHXYJ2gPTcrrkku1tpVkzIgMHsHErTTsMjt3um5wNZkgBCxKdS2+4QSQfxtyL
Lf9NnKciLG+XIS6ZsSXOASUgObEYfoiiKjAAKH4zZUWv44A3grcj64PWpZx1zjx3mycdLHnJccPR
rcjXZ6lhoMlwh2aZSW85mPfrtJIl15628o2FnAVmg2I3h8W8IwjNFZWHEaPZIuj2aefXijbkgIat
cWtRH/pBJCb+nAEQ3iyj9r/ZO4/lyLEty/5LjRthuFAXGPSg4Jqk051aTGBkCGgtL/6mv6V/rBcY
KSIjLTMte1ZlNXpmj8GkS+Dcs/deu/1KPax40sZmuppiK8cNUXGxjVwRvbUTMZoVQiZdUIZVqBDA
DG//ymXXQvalzoYdmdnkUY0weSoxmDfDiFvIhy/LnWV2WvMm92bvpcQduovNId5rqudx143tXNDG
2G8rq/e+19/9JXPtg/H/+1DoAkCmSQ5noGUYuOS/D42f325jvjv/+z/E/wqqJsBLzTmVxi5cc/fp
pn04hHtrE2+01bzzbliAE9o56GuoCut2v4+3/0SxWyb+HwbTXx4DhDxbxz9Ag+FPI3c0qiwB7MoV
mAN37oa7HJiV5/A//QFtOK9BSXWfPU1AaMEFTBGVFkOmbaNtECc3uRuQyn2gvIu62HWJR7kLrnCK
bGuD4Kf9UKbC//tR+k8Y+o8X7YcH/JPRvx3xKFMmlW0sKLyb6a59sE/5tbUpd9kldsWNr70B88Tj
wk1xTWT5+975L9+0j1qLP71pP/z9n44NKDhJ0SwvGE7kMvMp9t0U2+jkHDK/eMzemutu1+///jn/
xLH+85u0vIk/fFDcJi9GdAja4I9YtplWKGgA1bpObpvrckvq8p9e5GVR+6cniTdzoaLhEfn5uOIm
dZUSGMhoT9BOHfUC22GrNg6VBqd0T2XpxrtGgLuoD9l+ZW3J+ev75B8wfuyr//AQTDIjLC/4WC5b
c8dZMH8/POcidAYkxIzya3nplP2mWpAx0Ze6VYe/f3WNn//Sz1/Dn85mgte2sYif8WTTt+dq7eyM
TbtjX3U9voH13XDFviKZsIJb+chGi8jeeqnO+HgU/yrD9N9zeYFd2/1oh/lr99PxLfzyln0t3n50
P/32e7+uLsxPNk0p2LwBmog/Rp0s4IIWP6TLGVogZ+zflhdCfDLBgRqegSuJTpzfk07uJ7rU+O+g
oVnff/IvTN4fDM7fvzGQWriQux/sFVyNOt7xP35c+5mRoS84fXtJterQNUrzUJCYGVJtXcys20mu
y+rCIWrdRfVDlXhwAypabKJLgisbc9C3Q9IfHLoWpQcsjMTNTN6G3mNmlywy/+Eyxkv28/eL5Jcj
2QKYDvZEBKA/PmCC5G2JE9dda07svAlkz8chADnnJuaiHVi1fQxVkl5OkfA2hHUU540ArbmIuuBQ
Ou58Y7P33nSePWD3pIdvMtHgLeI0h8i14cQbWUwLiSuao9Qb5xWMoAFVPjHoeXccN3lJWD0YPtNp
+c0qyvY1za3xWWCeqbdxNCYnY4rSp8xeku+jjYV5H1X9M8upUFEMRsv01chW89IQRnGogrjJV5Ui
I56Pk6Y4ogQlIkYUJUzLQGty4lKuMnzHHZJohyNNvRRsPhkIgwDPyhxqw003je2h0J3om9Mw7Pu9
DOcDZVZ95fPM3C3njnzYVDkL0ywnwYUpTd9a/dht7XRq1/aQUx3XZERnLM1NV0G9ODUQnY6a7qw4
uh3orsKtMd4Wo3mKG685ZQj6B9ELtRNdHhxsEw3fH+lYveMQ7UV+5Wj6c13Q2I1pgCZzbZzoUub0
z4EpTGt69fDakjPnBnJFLXWz1cq6uizNGeZyH4TXDdidfTvI+MzZNTl3Fq8PUHh73zSWw7G0TgKs
W8F0l+sWw7weuw/T0BlXDArBSrAn+rLQyVlaN4ZiItMLnLs1Egdh6TjEM0eJp/s41nOzj6LZuZ0S
XiUi3sbZaePpMS2Ucd1QSrU3Q8gFOIBzmA0W3bDS1t6htMx7KFPRZdxTA4T1WpT4YLTu1s2ShrJA
Y2DxQ+va61iVtb4mnIOuF4e8R3SlDuSc5Dy/TVaWTyTlwxlaituhUy18TN2neC2DfokzY4MNx9v1
VZDdxzUStxaZatuqVPF8ZHlLbMc+ZnPn7vXM4mir0cQ+yM5mdQREqILB88RO0mP4sce1A5f7Du5H
c0a48N7LKqgPCTZCoDrJeJB912GYglUxWXr+iLYfXBkqJteFpQziDSWuN73eN0cC6/pjN7ntW1gr
6yLTA4oGMEiQoBuTbnbWVLgGhj9XmCiBeBH7XHMUbNtdDVGAmNWwVCZFsSWHkzdXA0geowW9vmJ7
2xfkyWbyaikNbmSvRAevBbAB4YIAT2Tvc/QYPk+WjRaW1BEuxIqm6xcvLOYbeKDuA7ZNkAwqCZBx
YEjOkI5SDvB+0YXxG1Wx5VFFWuCeCNgV7TYp8gxA2VLz6SyFnzoGLGM9VIlWs0Eok6+4HOxsLSMD
tl3V4bhbuwp3f7H0iWZtzcdgKmGYO0vhqJgN8UV+tJCaCShBv/3eTlrnssLujeuEsxDm+7wISF0t
paa5mZBtTpeq00wq59Qs9adC04Y3ihTURbuUo7ZLTWqm5n43OZr3aMR8GH2v8SgjTTVxhOQGHSlt
cLqEo6afLdX20g+XLlZlGEBRp5yjZEOBHJENs+e+r1L8ckY8USkZlDqx63Ic6Omm8K/oNjU0IJ7O
SAdspnmK3LQjb2lZIAMTUfGwJ9iYHFqTBllq/qyXPIAV4hlmfTUtTbNRwTGvammfNaKivmUHn63j
pZtWDGN9kUune3Fka943S4et6Sxr2prT9hV2quJMPAT0TbE038a17a1zis54oHPXv0QfHbnwDsZX
gk9hTlyIovK/n6LEMiX9fgNcGprMBeltSMtm1Wx//PzHec3oGVIrFK1uzXl6jWJ8EWzlzlhXO/uf
JrZ/+ls/HVr4DMWxFfK3xpW+MlbFGmdQutmSX+VegxfPr977rYu5Zc3HA4JK5P8TYVz80e3MhGGZ
bNoBTCAieIypfxrJs6GVtkg3wxbwlrXSU6Zyuk9W9ivZ00pfYZnZ/MNLvDytH1/ij78psX4IFzHG
/ZkDXs68peS10g2FV8zkET5Q3z10vtxFl0S3/qnQzPj5Zf757/30HGeSDAR9SG+Hmb8ewnVwY6zm
+3YVraGUBhufklS4YGtri5gY+tH3A8D/TMT/gX2fGZVX868n4j/JeL/9zq/TMEIeXqDFcIN5H9MN
b96voUcJDpAovMNgxyCKzvfbNGx+AmbrsW/SxZJ9xKn/m5Snf+L0j3GHiADYAKoWgQL8i4HYsv44
YH6IeWw4nGUWhgYo5MIG+OGCQOqQZWkoWmokiuE5rmX/deKWc7BFo251o4rPRm0WBw5/xUPtatar
VO1EPQHO1TKPqBXtevsqjEZqRjx612U12VzdHaf5RogguFZFbLFIMrKnRkTDdWXT/hLi+yVZXzpE
gHsTRmAmt5TkoZEUZXhIG2Xda2yAnrBcN5vSk8lDXZPUQruAcSusJvHbdsq3Gte6+3SiXNIWpfk8
VtQxjIzkzAxmP94L1xqRWfAeXzr5IF6KySJ0zjEaE6NpebuR5hk/GSu6XwlZhgdRmPIm1dGRGPln
YF0GYN13GQz9zVSFVcZyE2MTdh2TawnRHUZWwULP73Rlbl0H6iZJtyHqFg1GTyEnWSFLgAq3vK0x
d7uqAMjCZjt5TTQTWkFrkGtbp/lAhLLTUvVKLJn/aI3H9RqVyviqFaV+B5DdOAbM51vg391xsrn7
ZRhkP1uqdl+UPkZXXTN59cqznKZet/E8cXvBCoMnpuIUY3Yu0pkE4Htbe274PnQVRUYEWvUzAw1w
3yR2MAvI8oPR2kwwY4TFXT1suWiCUy3qLeZDT+7YnDvl2rJ6s1+FkBBaTMWOZW1jC34r8fGSGgd4
4c8IjzqRdyv60sWq2Aee3R96LW9WTZrnLS6kWn0e2UgXu2ZsaIkB+WLuEwLmGMNpGTuwA2PRLsa+
YWtDGfKNaoOyw/VsBycl5l7zx8KezE0DyYZoJsQya+WxoHsrF8NDvlgfMhXPew4y3jOaYPXWeAnU
xlDFwVYfCu9YhG7KzRczRRmm42VHdfMWP8sydGbONTA8m6c2JVf0E1gs9dMRzmGAV99zSt7/4EPx
ZGGJ+ql9KKFhvaiiziKQFotUWi6iKZCF4TgizO5G12jPOWLzpW50OiBYBFd6YRAEFhFWdwMgDYsw
OywSbdmbyRbrULylu8XywVhUm2TRc1s+F2zDAQ7XmQwu6kX3lcQ5WflX2rPbLNkV1yVDAnHP5s67
yifaTJheHTjF6Gr9Ii8XttUdDZddbmDBcjIXGRoaSLzLZ5zKXUFaIOJq5BvSJLgh8mJTLoI2epFz
YTaud2aLH7+bLpTZZpHAk0UMLxoLtXYRyGOnybeT0UzHNpPkOybIh1baI5EMLiatmjMZxntWt8Wy
xDVVqF3rQCE+VFulAAZE+RXV5Qmdz2nQ70qOpgRiKo63q6wDpA2p0HbpIQvKTFuheRiviskth6OH
4T2cWDhDiBdP+rKEVlHcnt3QCr/ay4o6FmLcVMvaGkbS9GJK2CbFstRGNNF4mVl0h8vKuzdIzAzL
GlxlU09gCerumDfRCq+4tgs+lub46PUN7s9wlZq8ikWtphsKAyia0Ud6ZCaVAE4fsgCDu8weIfyA
AVt29vqyvR9Z+h9JV7fXBnlBLFts+UOqts8S1euez75aQ1Jsd3LRBQIQ6r69aAVg1TEELvqB+yEl
pHHtEvesRnvNsYuaIk6N+hc7EWATjKwQX5SNToBaM7wCoY4OCUeho8xRx3nnXG3T4Uw7GLUGNsxq
vIA8zdBTmuCGhCFaC9Kdo7VgGjmpZpzVamtbEheiyWiMj/3IJ0SWpn4ooOFfK46425r+tw2eqOyq
VwSyR01ap0Gk4cpwFAwoK7Jfxg64eWU0kOAXHI4C4qZVhzwkAJSNFvJrGuc1gcXaMXcchnM2K3nH
PxPo9Bicl3Yxc+kZy6kp+tLoZE6Ux8WeNivbFD4VWsTILLI+zOg2FCsrkt0z97v6RY+WUjOYSRSc
yUJq8kJTS/GZbYOw8AGKa49BUud+bMdUY4sXwx7jk2PN5qG3CRlFqTN/i5ditdqo9Pt+KVtL7KV3
TY0Zlu+ATYUNfOqZb53RrRMKC46aufS2mZNCJ1zK3PqmWyiyTqQ/cOZAXk4FMGaKwYc3mcQBJxmQ
7Dw68HQntj3dFltp+cSfS09NVOR3WD2yWwy7YmV6hGptWQZv5WTk93kjRr+Z9GYTLHV0RqImKDkf
LXVxO8v9vFTXOUNTnuKlzi7KiJijEVFyp1XtcMGtWst5nSE4rkM4e0C4zNyFvjWkxlU9G9MX287n
bQgL/l52S6OeF4Tko8F75d+ChmSWqYj/QRLoiXXXebdzl3a+EiBK4ysr0rY9axCiI3MS30GuI+/l
aGLwu6yNj1UeJZxYc32+0aHEAdB3nOFAwySl9SH9hjtHM7DiLYCktyZMS647BITa1ISEFgTNsTT0
aaNkPeFNLCG0tfB6HqjW1hlTgjpE4sA07FfCqC6tAVPupsBj+zLO3rCjxDWHGIYZtFvRJgJ+hQuH
ds+arTpPZlMfSR1NYIuH8WaiKQx3Z1BcQeSeH3uoqlvb1MbT/+yVO3X4gkCmC52dLmPn34zRX4nV
/rhU/v2Xfp2jscCTfcWNCB3/l9Xxr3O09Qk4louV3bYWyNYPc7TQP6GxY3AHvUW/MCff3+Zo+Ykf
sFLkoVFXzr8y/s0YTfvvHw59LJYlJeHsvD2W10gi3k96l1s2rAEyxwRSU7rvczokVwMhOMYwAFHf
HFNLH4tId2iYId6z4+5JRl8XuYZ5tU1P/dioB1jL846WDXL98iPjL8w8uNI90m/Q2j3BDRqdXVYJ
Ya+SujNvFw5t9ZChQkMBGUKiHQ1thNt+MsJtnOKa8KvBIU+iSsPe9UioF30o1W2VtdG7u1AKdG2S
d1nkqivRowlnC80gW7gGA1unz1EF62BaqAeUhPRrz4nlOqIP4lRQjMdlYyElKCBfj0DrAQpM2rQl
1TpfO4XIdznPHdMIDJEnMyrdEpsRJavWQmQYc6qP/bZL85dmITZMC7tBjYHg1lNMF1U9g3aQC+Uh
oB/hKV3IDzDu7TPFu8aTWLgQ+kKI8Ka0A7I9NQ3QEP7VPhPW8Gx3APBAYtjadobPfg69rP3GaMg6
NFpoFCkO8p0ZGO5d/gGrCM05OwdQztHU0er9oWLzNS2Ei4jR4ATayDKpbDVhP5Q6N3FgKhTa1RjS
kb6MyxzS6bhxxsWQHliGfOoL/Cp+VQ3uJaN7cRV0k1H4tm7mONIz8SWyLPVuT8R7/MEBp2p1Efav
RGvHO04MxkYNwXRuyZRww8jo0jAU1Uar2kuLeylCa2BTPAg6OMvRfejGJGjXkr6IxyYKcaGg596X
yshOou5yCgv7agdsO78AVwmnQR8zbeeMSQPCuc54M7LqYkzT4kuiWod4YzkVexv78bpOpviVV2zi
2sq8f+UuFjStD22gTY0DyLS1rXQfi66/M8MZZ4XVyuk8mEXwnhXsRJtEpzLHweOcrY1ECJK4dTjc
almj9SuVTN24gjspLsKgb75Bf6fcU5sT92sYSOOuMOL83TMwf1hNB4Nc6Mq7tDtXJ7nUpc1lKar+
iBWwJCHnapQGkqfJcDSyaPZ7J0ofI9g7m4phe0u/BChj6vS8bZXm8BJH4sIXtdDDA4erBUGFtYvF
LwS6z7XbGl/HZsi/ZmkT3DRRgmOzLTxrHZpkzYy5ntvVlBr0PGXSoC6D2vpiD6aTJnN9WcKTEwhw
67CYDzDOPmTLsp5Ws+ku+ljgtym7fKbzcs8CDjV8WfW7wxifodsFux7Q+DWYHXUdLOKAXGSCbBEM
tPxDO6BFcBNOvUkCjEJMllhNVG2aD80hL5romSvLxMiuZPvALmz+HKpcvzIWzWKaAu9QSje9jpVx
VfW48YZszUb7SC3E2hy4+miLBhJKQp3toosMg/Gi9YUbrho7pzgitSGAZaEW7sgWBBtjstujKqJs
2BiL4FLmBdpL6/XOvlQhadp2EWciN4kPTPjDTTn1aDf5h47Dx9V+Food7jamKsby+Zyj+owfClBI
QgUuF0gFfQXoZSLPt+hFwdQXh2ERkdQiJzVWbHI4DzWCc/vIkezwGKbSp8Fsi2tyK0O3TRaJqijd
8SVI+Tr6Zl8gYWG3Tl7UPPQJzOwWMLRWevbrLIV76TkFcfYPOSxUnXcIwTgeaynoby0WCS36UNPk
IqyRXmJCX8S2UDnJJfHi7JjnS9i8nF26iljrPDS5br8Zc2W/WPB45X7Ik/nzzFacEU9rFedaupZS
f9ItviUywZaR2I3Dt4rKqqeopUHIRlmr+Vx2icGwFUSMa5V4JZSCHdCqA+05Bsh7F9Cc+dLz+j/V
DR5SftIDQoKKWkLVl5N9bpwsOtS6DM7jyBqjn1L9KPKKsgCwov1LH5bFTudKQZ0LcK7ltBCYfs8d
iJxQEoUgcFynf84wf924U5Bcz5FbvjZl4p1toi7uwQ07ItZqAcZIhKNLgvzmS5DkwbPo6vjx349I
/9WihAwXiLYs9v569vnPLvu//6fo4s8/ldH/8ou/zj/WJ8km0MQBT7/vkgn4fY9ofzIchmDueey5
F6X8tz2iEJ8YvuiaZz7CRy+Xbf8vkQBGI4ODEUcKLEXkAL1/tUb8vib8fem9COtiERZ0lu24QJwP
E9UPa0QZc8hqMCdtrIlqYF/WThv6BCEheKTp0NG9MI2YpDSi10YAXrIFnMno0TbbcWyTh2I5MXB6
I0gEIrA52U5TscJp4FbqSQ1YIx1fWWjF29imfEh4gOhBJWN4V3rNVtv7gj70qGFi3cZe+ZZmwXsd
j3Ktlyrae/SGI9O3xGfhGkeXbB8oT8uFcRGMIUyNCX8qXHE0u3oKzFMbNIDBuqG6gstuXk1DRTaw
C4D8NoVzXYE1Wve8GwdqLaqLBIGtwS9YFRm93UG3GxMDK4pbDTBOQCJnbmMm/tTgZHSCzWAPm6HV
+XZCxtwsdaEr1+4LbOZNepmNmBCDynqNJ5aITmiiO6ZAN8ZKW5ZBDhZNAGaGMjuMjFa+HtG1fDtJ
xEXaT/eZtKJbnkl9LkJFn1Wo7BVVLxOeUtqxm0E/lL3+XAgHkHBNgXSM19UvLfOxa+xXCgiCfWuy
9DEkDPnSFa+RUTUXZa4z4aBjrm27HvelVAeVJDdePTmnWQxvfP8PXaxDcmqnTT6m6iKJAXCA6M7X
tXD6jU2n2iXQeODuBXYFrxumHVuSdzzRk++0OlxXmhM3tkJzzzW72AQgVFY1d6UV8KOzILawI3hm
1ytTTt1R6EMHpLyqo1tKiaNDlOB3CMkOPrQipyYiir8kJnx4UUy0b6k9aBWyi8n8TarsFQokOYqI
Rz2LiFx4W6xJakhmOwAybViPKw7+9YXWZS+4v7MdebYntxPODtk5Oid6yqptHL5IU72ACWUlRdiu
aO1k1XkM5INL6JwGyQNxkRe2NddY4jufjkXozbzF50UO9QdDvZoZlBF/EL21qgg6bGq8oVgMmAFi
UQwngxKSu1kU8Rep2eO2qztvM9kuoqRZW8l3e8m/0m7+q11Svx8NF7/f31xToXyUxVv75yPl8nu/
XFId75OJgLKIoRYdwTg7f7+kWvwIZYZLLuY2Vyx2zF9SVvon8ORyiVLRkWuREfpBm9GsT4YpHBL/
SDdciheb5r/QZhz5R/XSMW3+gGMJE04y/rqPk+2P2kwLOoKbaZyu9WY0TnHOilheJBFtQ/lNoVUy
m5etatXkoFdsma+GzmZkDwvzmi1H+RrZXvwlNbCim5NZPodCDDH0pmrOVwKg+y0dgsQ8elouH0sX
43apqjLd5rPstoHWNueZsPNlMIiJmGCcuRuu1nTmlPoc+1D2qpu8h0qbJmq+0md2u5QtBPI4oPpe
unrEWpV1/bRlYdMBJe9kzllhIqjgSqoNaVK3rg0cSPEOmjy11lLTr9BK0l1jT30P503o12XVWNeu
mVtvVRi4FjqKkdwxajv3RgK4ruwdGoKb0kTPqE3aMqAHxhvHVsZ7S6sr9RLDlN5Sq+TuBqszirVy
ZgmUr8A9q+WJ7ous9HaBN9A4yHK7BrMc2J/xKuBgCerCZKk9O1cNx8Ibl3RGQym8lh+S1plM36VS
gO+vyt60zMRin9ll/0DauXihyLu/tOq5Pote2hNueNOB2B+o7iExmuGMOKS+pXZLWEfqhXZhmaa4
hHK/bI61PL6sFmhIlYtgM3XLHzETMxD+kBcZfxAky97pe++pntT4KJqweCt6kxGXD5K96UdieZuU
lZri+m5nO53TewoTqJQ7jZPLlaLXhuYrvf3Gs4J8VIyNuLcia1S8Vlr84qR98HnO8fp3HcezYpib
XVuW7m2ZFH3PaT75UNAaRlhWhL3uN3xPvtF+4a74LxebUcr+JmlKZ+sKN36mNnKofFS46lK39Wg7
O4b3PmDQP6pJRAZUL9pGTXOy7gMtNPZgnNUBIngMMjTNq1eoRuTNwRBDwJnH+LlPzenCnQssHbRA
9XLNLRu1A5onpya8IDdO7YUbJ5LNjZs7zY7aycFd20FfFT4yoabhNKhNKAHEfveU904b/AnNne40
0WPQVvIKOMy4bnKnRjuvmJy92Um2lVbr01VCT9k3QVPIiysIYocSQLEveZcONrGTzI9VT/DZsMnk
d1NWnwO0z6vItpMdBED3aGt1ddCmLnqrw6YjphWW4QmD+XxI9aI9B06V45nL+9vOsZojRT7Rl5Zz
PwSZkIG7UtVDnwI46PqAj6aWvXdZUm0dr3cpoB1tPx7CEbw4Zm4D3M9h9rziKkwcXP+gl7TreOIs
tOKsJtZRPNu7iuTCM7ah5K7M3Zg6ITXtc16bk8u8dJ/OjrrH0c9KHOuvy2ddEHnfVWyvBcUIkciB
t9NYtcg9zYnEXMkBuLAwY42clMHGQCLPqVsZyEVIZJOb2iMm75s56xP2wSwQ3uJ+sMAI6SoDb5YH
nMpUTCMTVsLEt4BYqh0xE4qM0NRsD2xbmCcr8JPBJsmSCBoAPEuLOE0OxqZQp65RAbsAdIK90rLp
zLw7XJCysE9c7zLvwQQC0PnpSLxkFVkGGX6dUPzFGIcRH1RLm6mzmQF/tU5HV21AwRxoHetqBjGU
rkYvZm61AfnetH1tub5WmaPmG2bFIOFltEhWDrPiWtOS8BVW/CCW1CYGRH1wKLYAkAu1qm27F9pD
Wfzn0D0ysk2hbq+ImzVfh2iE6tjGjEJTl4Ao4noGtwgPQPbgjHNiQ85DzO6qwr2LWV+0myR0zBup
maWggYdapawS5kNn4q4qg3T+UrpO9rVNK8qRDBqzTgNXZkYjHIOCC9gwPwYTyFZbr4g1LHuB7Dar
Y/NFYaSzWMo1/buoyRCtZjRyrFu2eKUhNNlF5lQRmauy4QGIgbOf2Lvt61yT64L4FxOxRrwj7du1
lXbmQS9lex6KPjsS6tXBZ8ZBsTZpikaSIn8KDtCbW0r2BCgMVVn6jk9I9oK4APmXNUCK4a2ZcGfO
ICieRl1yGaHhry7oLHUxmHNzZppitzs+st5qN4y2+YVmUqHpB6E3hPgKrPm5sRPtPdbc4s7yRPKV
gz6MIfT9o8e+40UvhNy4WukYfpSVhUE2MlHfbDGmE6OoGR50s5LPsWEHe8ttBdbH0VhPIOSYEycU
skLvc2ygsqjpfsvKU9lp7P3Kgpuez2Ixf5AQqwhE01V+HJ3ZeOoF0dEBRNyJXbLaDUUezIQbSW7I
SLj7Lh68yzx28m2cJ8YjxOJ5F+nUIPp1OGtXxAddvoNj9NlL+NhGMLiITuld7zupRZdBA0Z1MCqx
SSGtvAlUcaD6YR4+DUGGx9ZIY30/22OXkxytQt2vAdbjS6tj5z5M7NrxO9mMFBONuVqXvc13dE5t
NOm4ppC10w8GhW4XdTo0l46NL9DHIknvYNtqlzQMaBzQhHVJMxSHClO52Tkmc2qvW8VWHFcErQYr
nTPRE46Dwsd83OwbIKb70APuEXKmXf5Poo2wWROxdSOILZEqhgPrOFiBFHsTRHWV4hPDNW3Yl2Y3
hms+0MRxZr6VTP9Ncc74u+TdFnunqmH20/fdGTetnVOHIpL8AtJEdV3QxP0VVMX8jBmi3tFxLIAF
Yw3DbJzvIrsheCWVul2WyibmcLPc94lFWdPgTdmhdN36VTc7+W70ZbmmApouadNlo+I3Goj8nctc
cW9HBJdaZpltBFjynA5mDTMn6I96FlYAAW3v0mi8NvYjz5ie8Gwv31RR3ELHLS5sALbI+SyhLC0o
HyHicPWZ7dT267EXn/Wo145THQ/tbjIn+S5R7d4AXs4XGD94rSLLnI+tPulnzZqsQxgHfJWnSXe+
gbwxjl4b6Kdk1JqTnibZwQ340PoxUiFpX7vWN/XYspiqeGkPVEOHr0XvsBwy6GZ7dpJRDX6WFdiA
G63ULyxG8EPIwZTUEzPY5ykZm4MtzWnDGaw6E/rydqAY5VrzQuosQs3uj2Y2j3svbqmFG3OIyHAj
cY2GycglNY+98N5yjB5bKFK+hwOEzjB3gfbHy802KhG0EzV2rAsd+Gx27F0EJmVNfWNKerXr5D1U
c3TdKqvcNA0eecA7E152DJUn5XblWbFO7FcmXcsmYqCX636EVMjVwiYGGXsF6ovK1UYLCLOusBeH
u4IHfBFPSpDPzCsDwlotcCdIibMoKqV1LxlXNsY4kzkkz9q/uSJNlZ84EXZHS4OFLvIeQ/A8Vn4Q
DfGuhGl8CsOI3KkTSLo1p8jKNqKlb9jLKFDzW/zdhzyW0Z2RWu1WFrZ0/Vbn80AkPMNhG0uuw8J1
TeozbewXjddVe3cJPG7Gvsq3XtRGF9SBE7ZiiWLSgaTbO/ysUnJUAORMNrS111NnjntngLrAFcqQ
57lgoW9ngdWtSiOYIUtLvTpg1dYh1RfJib7x/DaLhuaocwY/2ZmVcJmkUu065X7yTSjXoDPQG+dT
R2h14m5N2ekQWvUDGqt96YZa5K1wIpgYxBx8AXUjna9BnQx85+ELfG6MvIOVh7VkWIVDHu3L0uGm
I3vjdgq96R6yU/OcGpW3jXtTe/dozcK/zbdog+NqeHRiO7inv7R0/CnLrSe9kyFt2Cp8UZIjToFZ
/3o04Cv7Xtsn7zo511OCJ0JftRz1dr2Q82thDIvegUGD/UxJPTjOat08J5U5lNGuxS809iunjRh8
D9hd1INn1ELRa2bmn/tBqYOsLICc2CFsFAA1nip6bYg/6472uSnaxFrPcd0wGfVUmfuzsXTCulZG
hLQJG+znAYam574uydQTEq6TnYXw1VMFQDPHhgizN2yAWAs2I3Vdd0eAoOVn8sz1/8dO4L9nwumX
zcHfbmPPfdfnb+oPu9jff+/XZaz5iagUZ/9fWW3YM38Vo+UnCqOweuLNlJzaf9gciE9LPI7lAOEn
h5Oz8/syVtM/4TYx2RogYkvj+373X2wOgEP/QY5mc6DjLHXZPbu2w0Z4Ycn9uDno2VJMI1+F9YTd
fOO1TGvBAWAwVak1W03rNq3ciW+sCLrPrHMBwJdWnCZbz9Ap6bVl8FpnGje8zqFYNqlRYafaudZg
AjCDO961MSfjPsqijIZL23KvhJb1BeDCdrpss6j/nOX5gOd7cK0bjpsTBh0KopO1W/dNsXInNBcX
t+hTK8GJxhhBnpOyTjIfOpm4LjTTula9sF/aHMLw7M75FpvktGeTHcI0yanIzBOIV74cG6w9oxFx
cZutItqMuZWyZmPNiAA+xxdYGRlJi2RRI017uPJU3F3jqa3vstapLuBK6Y992OnXC5dvpRWZe+FA
T99i1+lOYVyH0vc8BlG4jAOjOD4hTWy7BFDlFsa1zeWCuPK5kGFGurMQ6apvGzjGadpzNoFT+5ni
T3xiE7ScjKLRztvB2VrO0NwnWNT8P/LObLeRJEvTT+QFd3Pz7ZY7RWqjdt04JEWE7/tub9OX8xz9
YvMZq3uyplE9QN1OA4lEApFSSKTT7Jx/zaeI/Rpx+SptDVBzSxV41XuVP8Zt6xIahw9kLRXAEIOZ
aaBhnIYbNRrOLkxDjK2MlYu7ItjSfMCvj7kp6AUOGxkDfnhRMe1Uo+O7TS/KkPhJSblsF7e3dI/Q
Sjd503sGTvLLgfS8V/6AzCpziQPbZLbb/nKVtF79hfTX2kOLm/pVfBCNiN67OR/URicSPBHtiQAx
H4aamJskBEzFfcCUWwVlWq8aT/FL2p4INwwoAyHSZpEcE3IDnpEdGbcyh3G1B0P8XgKEbbLM1bEP
ypOwlxBpUt9/h6msNn4RMCky/9r7pIvBa7Ow/kUT74wlxwBU7pcRKIk0luMwd/UhskZyY0ZPptS7
IjuGNLR3hZYis4S3f+ZJGg4TUZMfKnLQN71DX7jfNnw63NHft8pMd2NCgXHbjNOPq1XPY5NFSIaw
hPWuMV8WrY5eRDv8XqQzvCPtmO6BsIZdrwVCWk10XrRoiHbL6dEpqKie6yq+SDN31qYktmQdRYl9
X17VR9NViVS5GW3cgxd/yIH8vy2Yh3ka/q5fMgLdZ9DN0XFKfPOl1yonEuIQPCE57C/IozuWMRkc
UG3Pvzx3Ct8I4jX/VFW1tCib43kEnuscduMqoUDYqtRjbzfAc6ATKNF8niuIi/nFiqWxWWiMcSnT
KgJrJ6kfvulbe0aTFnSn0pq7nm3XEtYqQ4nwkLg9U7aLSWXX5S4F18R91A+sjOOyt43Sfe8Iw790
Q4k/nZRnH9C7RsoSREPyq/ZqcUrKhQiJqpFkS3ftEt+l9cQOMk0Tl2KtqEKfqMwefwwUtN9LL3hA
C9+bSIojVsEilglrovmWtTCRbWklF48WhbsaDx/FuAzyPaqPi6nS8pWVOjguk7Q3OUKFe6u365tG
VmAm8FEcF0O+bs1xfE3GrFp4NTLrBqqre5h4oG6jUUbbQarkGUZffqbKEB1S5RlUj5bi8VCMCxkl
eVrtetkw1Sd+WPyQ1LxAPM9m3WyQblBV3RXpa+onPHaFsNeBzYwDMEifsG8N4ruWcXbTS0s8sapU
Z9SHNhNwLd/jMCL/VflhdemEgyazHmecK6NHhjD/PeUn7iPkx21cMF3SErJJePO2KZP1Ea46OcY1
VoLzaM5dsEpDJb5mMy4OiupsuuEim+wi6X8XZpDetWQAfZvAmy+R4+RntBc29FRKeFRT+Y+6c+a+
xqN2KUUoN5wh6WeFOBLFushiew1aKfdWLbv7VMn4kPZGAuU0UpbnWjOyu2Jh9an8ne2H7blepvkp
ioMu4nhrvLsIB8KBlNrlAQG7g8NwNLsLrV7mpawQbAoX45kwy/Glj1ji+2qsnoduIQBpaUEw/W7x
TgurDF3m6WCgvsn8+ntshH9Wo2XT5FrRHdNz3wErskqkiyguSGfTHR9oCkHczn8w+8okInuISvrB
lU1BrGd6nPseVR/AkSanWj8FNSnRrnouhI9UNR/H8sdLhOuTENyX3WqQw3jyaX3+8OJIj+2EEM/r
1raD6YYQI8WwGAPeImYNvee0VO1bDQrw4dEGJNc40gAPTUhF+ETZG5gwLT9/FF1LiLbRRKm/j/qW
QP1eOOolUBOGvMWO+p8a3dsFQNu9bdyRnd7L4/jV5SB/sXpWzckTRHJPPH8sALzF+6pZUEWpWN1W
eijvp258nB0rxbk2xv4KoXDa0RtSy40V1d6lN6R98/8/k/8fQ+D/U8b4+jXU//6//hnrxJf9xTpx
6rk2OkawM3h8JrP/nB0pSLNxGkLmux4Y0D/Y4/kTvGT8Y8NTkdkr/vLHG9bfhNBfQ00oAyQG+n+J
yWfa/K+jo4Dasvh212/rO/rP/4HJd1HAyHHovDW75/jBg4ET06cAqV/Pms8BzuPu6FEJ/hmGwSLV
2vbU2Z9L69Qk/fg+Xfmh3LSyO9G0/tYYNX9E2FT5YqNRAwsMxnqb0V2wB/vsLlbljK8TH2kwJK/e
JK70qTvMaCuO+V86/DsbGKqBeWa8t+rmj6L1wvbGPy0L4yYSArxokeIMmWcdLSVT/rUkp7mEzscn
grGwRlqMXRdzdlvPmDdTneaJ+98uSImIesa6lhDcfdjSVGANvX1ApB5uxkZR5V7z7Bst6U+ctOTS
kQa3KujOmDaJNWLYzFzzpKLOXhMdkK5nI0EaTPWZLhzNzRNhAf1hci0qJ3NsKyn9uo+JQqtdC8vY
EELbbFF8ITEqKrmzK8IIPNHTBMnpu41TEWyqDiWULJpozfRrrywXE1IukIz5LtdWR1Y4OjC33EML
gSRWlrepkVatJwPQrWgFvRXuZN9FRNdoYWa36Yps2PYOzZ1WP8lbghDig9EO1WEicP8h8gzjT564
Jgmknf1hcpED3Yjoj0vVypYisJLjahJbAzr1nC+iAdJP2mEdFqjSaC7KTry9wa6MmfCLxcZobuXi
oCyzdlZgy/K3Q5OlzvaCSUv9KMFrDTSxDhkdeMmq5CXCDPIewIVskIpGt2WcRhAaudnMryZauPB9
iRB235O5NYsvoMX+OCIyvQ16O9gEreifIZooBZn64dhaZB8xp86bTIzXP4he58wGy8LA5K15hcFV
MYbWFnpat/g9EHxr8KjMXsXYCldj5Y04du1E2gKT5DvZSprOHL1d6Q2gXEXmPWN+KKmnqQV1F5it
P8p+zE5OE/KTh2jaMtrGzsmQFr+J7lNPyGqth6DvAdKamUtnJFxuR4+TdSbyLHygk0BtM4TzL11Z
xJ9NK3EBVH30pzIN1HOGOyU7G4f1DpE9i89geMUmsApz3zhhf0QFMtxRAObRZBZimUpJ570H4h9/
UZwOOAbY5eyl3aTlji47p8YHkbiPmlh4sZOu3lUht0dZpv0FJxIfd8sZWY5i5T2KvHIvlpHAHJkJ
uVU0xEL8CKmQZSTxhY8on1aELgRJV2YGSs8o2+yw9mDcCAZM1hA0yGfNCY3siJs7Ytl5MokiwU7n
UtKQUR1DqRycUpYFOOjHdMrOHbPd19TH4fewtDSgJx7uiTgOcOqh2OHOikxhfM7K63Zz3jsXe8gA
6SGGX2JZepDhmOjvLK71c+qRzrwK86gKibVTJE4kVfjajKGzyyLeSRi2MJ09SS+gnE+80stnTB+8
u/Z05NR66jq8/Vjmk52iI4G2BOwYqKzbsvyx+9n+M03YfNnPfAGIWfR3HcbAA9W4BnzBELZrH/L3
JmqcCSmdtPkGnSf41LqoX7UYlZRDFmOZg+0FhmZmEcI2U1Gua6ekRKiBVq3xWnWt2WLs1Ta7qguf
/DoVp2pU1AL2Ktk3pdnsEMI6RGjWr3GSGh/KFvWKiOlonSDNG7um2GNewcNeO3pPNXeFlUnSJZd6
Tex1uBbGBNpVdS0ZKLQolswWWxdGeOdEDsAsyAUvRWysG6CGjS2qcO/R8XFnk5l54OEGb2QCZCmY
1C4rmSFajKFrFTv1scxQXibKI0yMv3LlabSNPaTbuyDRmPqa5eCaSbkP4Sc+6yxGUzrFxqXNMygH
v0++8sEvDuggFk6CwNkVtcO6gwLoo7Dd+GD1s7uRHRguJwiGK8tW1Es69o/jBxGbIhnLC+rFtU8Y
1FpbonZGLsZtUSYhdFQ/H5SqPRYhOzmmOR+2mh++isd6XQZ2fmzs1N8lvktmlVdXWyy06tT2brp2
URjf1jhitqwtw8YcFaGb9mJ/OQPer4AVbUddCNBqh/NkFY+KQAJf90+QzBDvwYzBqyPZvU4kpP60
lkg3JErQGzc2klQJnGOS+VdPYtWW64VkmjgezlPTewcAbXefFdkp07n0sVMGRB0QApH3w2stKmMT
JeNCLGi4cH0P7iswFLF8bl21BwRRC27VlvxK+iIUkZKGCo1b084hdzOrafdRvUiNDNP3ZNmSvXiG
kn0ZOzWwJ+KUTdZ51xY3rgzb1zGtk5vZ6CUvM6wsUjG36Hdd11EDjdEmeYsnkR0JE/0Y/ElIvlVc
3gUoWu6SqkW1Ena/m6yIdy36eoL+nRCyV1EDZWNxgCcs6IJ27JslQ9Q7dCq4GYuI5Fn6vQ7Z0Lar
UkQwT24dfgAsRMSjNOAUKUmkU4tGAz/seGvLXpFA3yebWCblTtHpuoM+hEZF/XufIhUnhYb3Ee7c
/R5k5K+dcWJTmnBXrWTttRviPbrHpnPsU7N4xV7MvbNFrpGjBDTZpL2x3CIj9N97RMePCLVgr9WU
KX+VK4PiMcyg8b7h6JZ4ywr3bLp192HbTbeLGgkTWqGXhJZ3XZuuMSedghdQ5/o4Gq5xS0czWbVN
ri4yNKG0bQJk3Dx07tCO5xfSBdoT2fvehacooiiBJGPySKQaeI0KnyFCGEq9NDweW8+vy/s2WMKz
40OPUO8irIfJinMCFhfjkoXRz8ILspu9wX0Mp9B8xVuqkGnk4Q+iH/ViBG72xgQm7iseh8usUnnC
yUDdSiusAyk500s6h+4DxUU8U+lQt7CRS3k0uxYHx+xQacRVubWNyIf1Sx0CNAEi7Y3hJZBtfkMJ
QxV6hFSK5qHCkvdSFVKevdAIHICIdCHvVA5UIMyARPgI8uY8y9LY5UFi//TBQHnV2MbbJcuMQ4J3
/mamgnJNviNgDkmtGSH9iXeP9Kja0JFbIZ+ZebiU45wb7K/vxIsYb1TitQ/42eiIM5JieHQgn6kj
KLm0EDdjTJuNpzS37SefqFJWVgIuL11uLc/5VTWBsv9QaiWF0TXZU1Bl6j3ROgvnqri4ii+gycI7
A8RErAL69qDDMEs+O1rBMUPW7pRdF+teazzK2KhfQmspP1utAIF8j385MuluSasZLlgR4mcfRPIZ
C9JyVFpHQhIrkpJQq0uk1pnQre7fMuIw0xpzeB60HgVQQXfwapWKvApWZJ+O27l1sPxqk87G1NqW
UbbiD7H3CF4YAzIKuPv4WAZLiyBGa2MMrZLxHRm/ZsXQPuVaQ9Nc5TQl1/w+ow7EWMm/C26u4ptJ
l+2Fiw/LH6XxNtAqHUx9y53Hfw7bxCmreju4XvdHUOZwaEY22B3eyuyA4bL+lAlNZmkSJ0/IucSB
hEz5bGvRUNI2CXZ7LSVqUj0gjQUhPyjPIJpR2Ne/RrxUP1hkmtusHTnPUPLMH0zudUUi0Vi6Kyh5
uPNWi5uUQiw0XAVPHKF7F67psyIb5ymRCb+gTqwmnFKrphayNkjWRkkVzLG3Tzk1h9U8586psz0k
BP1VgDXNg7NtOz7+K0D24qvVWq3RMrJbKrDDW5eMTkTReY7iviIu+xBHFMIGtjkdGu10L3BU7tOu
pvjVUoDoih9obfZW/5ZeVWOZFpAlWkpGig3QsW3F1pOF197YGJZpnN0IAVo4ZMmrZRnFG2yT02x6
Myq+PK0nA9HA3QyJF+4ymfYtToFhuWWdwSCStAT5UhPA8ADy/4MzHlUc2B8k3eI2R/RKGZxtNoYI
vEPanjZks/t7A1/Bxa85N4GCYvvb0KqNbdb7iIC1OK+kQ37c5jP61lW9GO6zq3V82FgQnGS0Un2V
Wuc3acVfcxX/BeYCXq0VgUU+qkMBAkFA1JiAYebT+P4/BowABPjvNbDrLyru+n//t3+igeXr/pPJ
InZPAESgMnX/7iv4C41w/4ZmkJYBrGkSn4DWuf6HBlb8jVojC8sAUlfhmeZfrkqILM904bICaCfP
Rt4PM/UvEFmu+L99lZAySHDR2zqmtEz8C6Ymuv4BjQBpyzyrMolHyKN+eMsQkxDGnZIZhFO5uVdF
Et6n9lQ/eDX6ELrBrKzYdnYyzaRgjNOtuorHGjJVg1VNJgCisqo01S4fXf6XZe5SihTJ9voYSjc/
JKHpjLv+KlJTIbTwjm0w91dU7rm3gRi/nVTL2nLHnRDg52PIJ4kIWqRvnSJuIRpGVjsjbdx2pXq9
1cSeLDx2c9lXjPfU+4B0Os+dgcGP9ZmMJ2DH4AF0wnii6Q8c+Xrp6OtHJfP8OtZ2/GuJJKpKu6uf
g6qPH4krFO9OlfufdNt498ZAAAeOIsvf91mWrpto9m/MQhgPS7wQlZ8s9s+iL8xCX52GVXOLYoan
sRKlyaGNRP1WLWZ6GdvQJBFJX8DUuuJWdUFLQBJoG/ftBMOPvrPJ6tL3t77KzRIrhz054amZe/Ms
6xbJVJ8yAlhRIt5U08T3E5KVg+tHBVg82EXhVcNejWl1Sa2ov+9Qcb7zWFrnNFgIYUgEw7CePQrR
Wq/krLmPIrbG9dSUvIR6WIkEtsVADzAepx5aQdUYx6Sbmp0qK50HbdqfxnX+GbQDdzWOgwo2pEIj
MEr1uBTrwanSIxSlDPbLUPKiTsWskEIzb0168prmvj6CfhaXHnPZJZntDj0+yXCStPyz7VYj5TvG
eCumLtrbreQuSxvkHWQxBJ9sHfOfNCFIsqDfbT0l4/gtrVq84ZB3t5UMokvvd82P78WBuQ7Don2M
ctN9aGu6TWFFGYDNInjzxKzeSmEEezJtlvscF8U3dZvNS1JMHtIVZSF3jJ3HHu0DHsVpOLGCR7c5
AWgp2XF2eBxsNKEran883lhFfCGamwglsF0ckUHGwUo6Yf4kvDB+mJZa3U6diVCRTb7PdpXqvE3U
zBG4EwvmjTAsWBHsbTOWBctkIcWNiXCkmts5Wfmhuxxdb0pvEaN5+2TOjAe0MnLfB0bxudR+sGuW
xd74Gfta1eNIhJRMXzovL36yHMIOCVB6b5a9s09QSWx7aRR3YvLUF0xVSVR8YRw8psRVYwSKDI1m
fANO6N/LKM8ey4DIgK6z8gdAQHWh+S4/qXmiUqMn07z0wCl6bnvWF6c17/ApLtgXe+RdIxWGNWfc
vVllyYUDTWzHxJrvgwRVUo0vezXazqLnRH6vWbW3hjdZDxkH5dE2lP17QKJ148QCarEK40NX4Gi0
cgW2N+r+h5qmAydfiKineWJD7+r8hWpM3LtVNR4jsy7f8ghMcyAXLl2V+YQ2jHYIdGBhFB3TsoEz
bhDHPI0wTNtmUs2xL4v5veoHmpXCrL0x/YYGjKQUW9+NqFSqMxrAy8Rb53DyDy6/xmM5WOob/R3D
TM1IjWe509FIrZf5GwJPIEFDP2SymGT7XQRVpPb8it6X0YxEC/Z8Vg+5bfXnTs2CwzUv3tHD8qRW
DXnOWH/br6DzIM4o/KQ0UvaejqrEAE+xtMrwAMfVHFMs0kFZGdlQkxzumsalxtTCiNvPz2k4ZmcR
ieqHU7m6k0PTf2MSKj5Qyw5nl0gnfx2Wk/ooaTpJmJdnY2SFr8pbQkral8yBNgF7DJGD9mGt2SzC
VV0EalP1EJvDcOd0BYFIVY9ySKdAASHlFPaB4o7U3qO9m+eCh5p+D6MkCt+nNCFaCXOUF0+51rAN
q246qoWk/oxeyR0Zi8BPE7s6vVmA2yxsztAcOfWpyZV9R7u12RrjmwOlWTEjZpDt4ArQRmzWvXki
hBIWDOlVvxpMO3PWBkVnd2VNxQVpm8n4EEApwflwoLymUbg8+0ld6nJK07mE2FgjImq7iZzDeKZY
VCTAvlnWAJ8YSzI26NXnOtz14CsIgkdFnycxp/2F9gv7WBeB8VSa0UK/KJ6WM/x190XQVS0OiVd0
nDHEDa6U7XW//BHJBuwpoi4alD1AkiBC0m3ElvNAjzDbFLQByePcyEW0TbLJhjMzq+S+R5Z1IomA
r0aG2XZHi6mVyHh+qztPSR8KdkDES9dmNK6V4BTds3wPA7Zjo/gWfSVfvbbhpZx7ajhWzqjTdoeQ
xXQdQ+2iVMVYDiBf2oquFGxXxVZOGCbXWK2NpywEY0DYYiDmXIQGMBOCl6CKUSfUKkAaF5ut9+jo
mC9ee0i0cGH6VqoM950XgqvNTki+LD/4HzJSyWdymTPIl0woh/EFKaRRmyQbaVX2e22Y1npALfja
6hAyH7HchMZwjEnTb9x+X3Zt8upnfUR6AboJk3Cd50bnmg3liJsQZJcGv8F+Mhzyz6bFV5S+hryZ
PP8w3zQyAFeaNcgWgoYaNuQuu6oczKSZbzItfSiaZGYCMunogU6Wh0CLJLxUtZ9RZJdniNZjnf5a
SpKx/aw6Fn05PQmtskCzROwNVcveGSTY+aiUNz4ApZYXzA00bKg6MVcmuUPAB0jzAaBI64Q0VIMM
V+gnKTQShhyewmVUOT1CtvnuDQ36YOQBr9R/LAdSRMVrqtUj6VVIgjMFCBjGJnroY7P5jrXmhHXD
P3H+uPeslNG9pQVvSitUbNxL7Cdat5JeJSwsHUhseP+dW4BU9ZCQAbaZU9TcvO0xRnVLOjsJznWT
aXWMfRXKzDOZF2s+3e5WXZU0mW/fodHgqTKV9KBMYCCimwUlKY7rqzwn1kqdNEOzIzJnoXU7sJvb
QHbFK05qEpOo06Xwpku17CdItQTI9BTZQfUQNdG2IwDuTzMHIdQ/za3kSKEiKmI0O9Q/mHcKhcVr
ptVGqKObp7mU3Z2ntUh9Twhd6fsBtSJaqzRo1VI1FZwCzGvxVnJ5eyuSJZA4DdKHRBuv0icv0fZ/
KjwwG8wHcqDJ3CoqtUVrkAGNptkPWQnW3Th6CKoSEMn3jGS/naf1Vp5WXnWDaErYqiZDItPE5DRb
WqdFPBvbZlZNw0+mdVzEchjvmdfnj2XZjvZOoKk9GISk3nllhQxMC8JqLQ0rtUis1nKxqWiMT4em
gq/yqiZrYjqYwIURmXElwr+Dqtny0l11aIbyyF6wrJISnkAmMYOjWNQ9PedEDEuj7M6yMdWvTjsb
4r6yX2LtdrBpD8f4EOGBiK92CGdR/lNOa8izc7VLSO2cKPEGD5vpaqgwEtKo0Wc7za2vHRfcsdBO
RGtgxOjEEDHCwE4i2g+JhV1ZYQYdwBoxbsOrm6MgUu1epu6ob5vSOabV2D3ye6SPFoY64rTS2n0J
bEk7OWSPAIq4Okbw89kU+JJjeCsamT/6UkSnFvX0uPK05WQAVluQbgnAUKXtKNHVmZJeXSr/YzZc
tr3/fsPdD19j8tX+/icbLl/3F99OmhixnCyPJJd7/j8EcNp/c1lQsce7EDRarPmPG66QPrJKzcIH
KD3+j2/e/JvryAAVJ98KtoM2EPmvLLjXbwXHtRCtoNORyN9EAOcRDip5IogbNf9LUcUIou53eR4x
NhEmXDRd0W8COFVJbWlt1rc2ZBKpNXEmICDs7qOZJvccGeDkq2QIs7OsgoALLM/JEWzygauSg6R/
ZCoM3jsNURu5E6x5GsmnsZWznb282leVtZxbDW+PGZN8T6i2QXMtPwD6LvsXGeIcjg6a+lM9JMUr
x52xC4q63PkaT5caWV80xp6RmHMgHM3Z4iair6zN6C8K7fBjyofwhhHOXjmdsvd+BnpfR9V0mjWi
72psv9Iof6zxfj647kpqDkCn7axcENPtGHS/Qz+gB14O3Z1ltnwVp+alBld7I0k5XPVLmB0rTTWw
n9JMNKGZ6XfYGtIbCyF7xMcRioKwQ/k8xdLn8iybRC/qsBlBni4v4B5wHGY2QaxxtkxbalBgQdqE
iKEtoUrIzYwCFS2XiZFu4jZO6OCWTvYmIpqhJDvbShnMu66FtrsLyvJgLgrPF61BvkGnMS+ydyg0
dYN0ztgEEEBbOy6QRGqxXLso0uLGCfOngACq2JV/ojTvX31ND0VijPcjkziXiqaPVFRPuq4HUomh
Pd550I9wHUJ9L8NoPTqakOo0NVX1rbihX2omdc80dkDB+R4CD4rxSmtpgosHHEMpfpfDKHMPBhse
rNSMmJfTaTY7sGSe5stqZZprjxHkJugmiApp2lheu5Tq1VDhO9A0SY/d39QkHBn38WGYTPNdO1WP
JTrfvYp6CjlURWMj4MInoVILGk0rJuiIrj1nojwXoWOzT3GxHDrXT2ggt1LMurW/lzMqTiJ91K62
8J2UQJlHM+OnQgpmrBI+1vxuY6FtWFSCWXj/XE1JtvkU7rnYsC5pwlKnQqPdgFGrU+XtoinKt97Q
89IOhC5Zmvb06Kdax5oKnZfSWtODvauylsy6cS43VlXU+xgONfZwlfFGN2xGs/EBb8SdnrnMzpCv
LHDN0RGDt8XYFZ1pSQifPD5nIEEVAUja/eg2E5OswSVHYBD8LrYlNIBoWjad5n+Rvk1kPsQe8LXy
q900LtVOEIG6nSPkB0qOGLvcWazRwHFVcbWMuw5G4tajBOnGNtx5VzMxX5a4nDfsajWhBRCbjRfF
G28Iw30UOM23qiiwj+FqmHfL6uAnKSF3WePddqMjbmxmimNEjAG7WxNb+6kTkIhBFh3cVPS/3NoO
tigns8NgWOmO0J8Or0MS3y2NET0krV8el8KpoUj8ifeRGM1YFNMJGdSytaa8fiBpP9rWTeUcAAbi
FRieu5/JcUIG1BcBY2Y4YqakHwSfCiJWi+3yN/QB6kez7actuqjosyhoE8RWkj8jls2fWhE0N1FM
ixuJwCoHGeE98Gnd24uU5sSE7Kw3UrqmO1VLHxyop986LyyNllWf+GjpMmdzQ3rn033uxtauHbP6
c+5U9dTJQuw5s1E2wtoMP95M79eRVCMKrQOzfZ/jPLwJoZ5/DLtHTcjLui3wDb3ZuLz3VY2YHpPl
QG0peP665pB+Nkoy7kmOKh+SmbzgVTUxKHpznp5RWVvNiiGLUTCpMf8c5r7oTv3oRL9inDn6Qc7K
Y8imdQsuUW9KfLU3U+0v5AfP6bFKUvUlCMl/pt6QM7AWHOeWonoCgMt4FVgE78elpRZZGqD2TZYb
tyHy7N+KBA1UTgqDG0kWfrsuu8BD31FnN/BgJbxn4r24WgMexv5LnXAHQFv22T7DA0FDcBI+YMZ1
bsKG8i52dF6OSY3dOXGN/KMJUZqotmjebdssEVT2SCIDExKb+tg7O6/NPYM1p+zgttjUZzwE63AJ
5IFQSx325RSMV0vXMpU5UWpzHHhx/8ufTRoM6Wgk09Nv87tMC6yohvZ+1ciE7yRZUhgFBMqftqTa
rfYc+6AKz87QQKb5qSthFI1sNO+QoCNP52fhvq3K8im1SPKc+EnXZt64B0wR1lMZGKzqnZroYSXa
LmKYzXOC1ke22Lb0+amhyaJLIJz0xpuEjmNwyLW3bSkeo7lv145RsNEZ9LmjqSzc7AlolYoZpDsV
OEbHSVCayWuL4G8rYIPvo9if+m3VOJTz4bKL4Z1CK4Led8JtZ3YBngdHgjFDsy8P9hwkj7aNusij
4QCxqpz8V3h4954AVoHS3qz3aDImkKmueS6CiYzaMHbrj6lK3Vc7NhIH/6QRPHXDLH9M1q9sVUSN
BTzbkfbCTgXPM0r/GJDKeuqKUB4WkJ+DFNJ5CmVGkE1qKfkUcGMe4zBvt2afRfdh1I3nGJHHsBpn
nhJ+94rg6xp7In/xzP4PMfqnHN1gD52T3+R5XvxCkRQ94qfKPvIiXN5nA9a84QNyZOLIX9qgFI/w
is3HElnxtpVpczcMlbgLuIWfwrhNTyYBiKTANclmpisNRMrQl6cwqWF3ndHDUzfIg+Xr/OJAYTUt
yezaG3lAMj+Pyy9ZZs6XYxoY5fucLBgPtdARl1tNwaDAqYXKzM2RGhrpEUKZ+WAo/HujtcvDnCXW
uXSm6gl95nwHIlU+l3bbnIPQSUoiGaf4sTPn4lTU6XROY0O4264qqo95ItVl8sJkn6HKQBySo3Zf
LYY/X7J0lCtB4d4DmlznvvY8groNHZpDBLv7Jr1p2nDJgQrVWQXIb/f2rqwI/fYMWxtf0fTRUoPu
N6jgkGPXX+47o7dv44ig7IXIIolzWQpclVXlrWug2fvJzMdXW+LTnuM6/U6KRZ5Ks+3YrRf3jU8A
WoZ6ytC+zdb9Ejf9TdgN/ckrs/Y+YNzdWhDUv5UThj/4oe2dpeBoQejJXUYrmGyaKU6f2POjNwzI
1W7opE3ZOnG0DiAUVfIOhcObmRbbnbICccEeQXQEDj5yWvFA4hIcrJdW1NVXTtDQN5GT9OhAfJ9m
pMziZRF4efxtXSEACK8IpqvBTPz54JrlJCd6Skg0JmPcSN/CIJtpTYYZSbadkkOyHhG5fvI3qG+X
ffNxtiIqeHRtoY/EdeNpiDXRYKu6wq4agC01FItWb36vNTybshhzuQHZMkTrjkUN5KorpltoeLcO
J/vL4gJYOcIU65aql4fKqpKtgjbdqIV4l1SjxBTIxBupkWODEW/diMH+GPNs0n1PaB401iw16txr
/FkxeP5ONSbdJr71oDROHQxpdjto7DrXl8Cs5AwNAbJNgpW9NcMxuRB/GNxPGgGvyB+8o9512aUa
HyfUDag8zSKTVBUui5GMrLWvMfVAo+u9xtkZr6djdcXem7B/x2wzvrUamUcYGa5oFzEOQuP2lkbw
57gp71KN6psKF6qrkX5uvXIPqBZ9LZoHKDUjQABocmjwLmOVgS8gTKD4BMaXaIAN91aMuLcdzTB4
mmsAXoF2kH+nIK50BAQz1AQUCDRFrhmLKiwp7SyvPMaV0gBkgC6ilLi8tzTnAQ40P/sF4CFyBTgR
p0KLR4ESTEkHUnjpr/QJPpqQOgJNqphNn50LUQc3VCrPxOxX1UNeT/7BpT12U4JevxBG2mNMxS7T
ztG0d7q+fzcUbA5mda4EHp11rLke5AbDxeV6BUY0u+G71KyQM4BXRbkt3miIKn9NWVnfmOS9/gaZ
Cz6xzLg2UckBFqxBRXtLE1AVRPzJnSf3Fovf/2bvPJZkR7Ik+0V4AmoAtg7AuQenvoG8FwScEwPw
T73qT6gfm4OcyurMkuoSye1M7V9kRjiBXdOretT4+f+LZrDWo/xbzSAp//ZfvBpfMPf+SChef+53
zUD8gCOMaxPFYCXj/ZEMRf+GqeGzNw3HtP8vh+/vW3Hzh2ra4Cr592RDHWvl8P0O2/uB/VxFTkBe
J8r/V5fiv7XW/EEzIEBqqtD7kNqBDqNE/BNseOwRJljbq16i9qOhbuy5suJAZ7N4ypQQDQoWgnGC
qU3IxpAup4brJjdJKsrrzEppwtOhKiYqedvj7GwH5V7po2ib9oZxHa0syiFctkuP12tEi+P5tVzS
olYM31RSB4N81843aQIMiAuSreq0bnC/RlZVfZPd6ovdL5A6yA/h+nCwlAzGQtHAiJD5Ki0lvCEc
HT4DLsiumRl1ZgDbRqfmulLIZ1MwUOXboXWzt0k49mup4d9WMiN8cVeXKu54tp1p2xhwipZ2a4xx
iq20FtXFMnL3cWwcfuOQeiy/CZ30wdFjTNqak+J8448uXjHJzVxrTPdubnNM+c5qAccOu1U5WFe6
HfNeAo//kFFKfUw4U1NPz4rkER2n/NXyOgYzBGg/ds0GP+NSnJRJh0da9JiKrUMXmk18xElNrEDy
lGBSYxVUBklhal+G3XANgiR3Q1uUAA2VqWvLOaSGzsfPo46BW2rLcRoy/SFUC+1q4Pa7yUWOm1mz
khdyQnSz5TiX35fJje51o1y+LLCw3A+KmX7yCPIMDgArMulrc9VI8QS7pBSWgTXv+ymps50a9onD
dneoYi+ShB42nAlsYps2T/ystBcsfDDoHjJ3Ga5qXhs+b3S2TTnrD1yfm3Ov2E21XSbMDUIPYbtA
C8mPVCpWbIHT+HOah36PQmwH1GIIblRT9ExOQPAL9XYgFSYJWA6G+BmlaneLxg1EVSszMgMDnQfs
LGoSUmYqF1ICCRGpqcQhiAVk+J67tMVdIeP8dUpm9YRNraM2CuViO/LmbUtFYQugFR2Vs1omD5rm
Zl+sJcR2SnT7cYziEXcrBBuPLnPnftAtaiAZRXdAXaZ3Th8gFHOoLoFR9nTWpGyKNyhuvLgT2j5J
LYpnUBGyuzCJmhsT+yCe//Ufxf0wXLtFMXcJ39xdqA/W9xK1C/yPdt64zlg8mU4MN6PskWc2ACra
EzzWrNiMSVdifevavdqpbCidsaMXpe2Xg9O6MTUoNX88B4KjUZyCUR8PRriD+tC0K5ukOYsOGQif
fXYCpcy4i3MClk4piCVCq11/KFSem6RNflXGaDJDWgosH1gR4jTCOHxxoAbvuO/qr7lR5A+jmHIC
PvRUbGIuDx64TkrKwXtFvojz5Al8Qd55ShWJxJuKXDuwHqjXQhZFvGR1I8O9OyPRTNUgDi4oS4zS
ln5F6c636VK2nT+banh2gVHznVQn7Rk+brhJlBpCpRpZByV3cHrojvJKhw56IgmLcQtDsrjHFjJe
AbnPry3ZpXMdpzaMICKH1YYPd+zR7xhfcenQaY0wNTJt1iryGgTMbz3MS0LKLepJC/t6r8tReTIz
4WLm0DqSLG1yb4qWljY+NJSnV9PEQrw0891QG+EvTYeLsphWvUOt0S92ajugJxo8ecRk5Pukarru
p42pHWtH6045Wx7Fy2JHf5i5PF+wlBu8msOSvoWqEsGncFvQ4k6sfPK9iQKCMtqBZwcOCauz4iOW
on5P9Hp4E/WQvdvjTJDZNLlv6rOzPnY6J2CPl36aUxYRWYm14ZnYIY+lqLeWo63K6XtK+mm1oosL
Ax3TbJov+ILbyWDCc6e9QUHfWdqq9U7uujzxhWTqWNz0MoOd++oJFB+S0CGGgZJysFwn3g25WlJQ
OAjNp7MovIQ2EafCCG3Cq/X4gsAW89ipqvTWGWDYwxdiSxiF4lhNAm8OJaVP3Yy5elPVk8CL0uvf
oWJbb1y5Fy0YpyQhy552ToEKZKGxuQrgjQJ3IkX0sWoYQTWFL6GAyYz+abC+8zNFl7s8Sx292Qvo
TgiaypCey1VSQYCyoa+uQgt0UfOhWsWXuAXZaa6CjIk/gca9VabJV8GGZV8YhKuIw8oP/WIVdtiT
t2+aIfpT45TGizF1VRPEqw4EpRFJyM7zfmeEXfxW09/xPpDDD6go7P181ZMGMPv+smpMEEW1VTCR
dwpvn6/gML9hyy1eDXatOx6s4b5aNasut6hJUZScvT3FWMEEKwDIi25C7Efsoj1zflpoor8uqxQ2
zZwcpNYcJPV2/HKKpvipSQR5Ntgpe98RIW7rAJ09ZCZw9qISxc7VyyjAR22fS6yhO9WVwFobpzqa
bSUPYZPPT2nqmPtlVfNEOVe3S6SxAu6cdKuvqp+YXTco+yL+zkv8suOqDmpLpe1MgXsGlh/qYadJ
/ehoc3wXF8O4la5S7qNVb1TiaDkRUWl+iVWNbFddUg7u8hBXQwnvFelyYojZisFwjwRMtEu3lpyn
KvLMpmyIwRV9aAZRDEKOBqzxCHBneEgzHZUUgzvioFsS0K1GteEESRVYwrVF6MZd8zd0brVepUWE
chaiLbsoKjss9DxQNyIxay7eMhu2hVCma5+E7CTn37I+mk0f0GwVUm4SfYHBH/2WDFKcNr1q2jD4
GHjTHRq54ZdytPdKkc/kJuJol89oFPHSuS9dSvAoGonJxzULQrgA7jmbJnOLs3/0lDFSdvbCX7lx
sX5fzK4TQDZnKlH5gu3Q26PjNDXNXuuoEpWznA5cU/SdPWCLYEOKll8X2Pn0xSo9NsewEBVh3/EA
S+/DyJY+WPDkQDCK3FGe8NdznO9amU8buGv6PdQDvOxE3E+i16pTL+iKMspM9VWpyV1D4dS2J6rM
WoCJTIepvCGA0CKtcnNp2q7ZSptUcheQVe9ldUozuzogbLsXAOTd1lhhlvj1zAPBr/AmCtUoyDW9
vDVHVIQOI80+yhZjry3EWugfZQ+bazGtv8OifmmhW/mpxaQ6ariRJpr6DstAe5MIkYA9hes/rptw
WRNlrkUhAUVlvHFGzNm1aRpTfDZt2L8UpFJ8HPSLQ0MdobgNsIcJ+W6ZLAuEnyLeu3KpXidwBrmf
m2UEWWlarLOJe+85F0L5HGuFeGfUJxEOv6jSDrNSZ/dyCOtkj+MppEA0n8uvYR4qzqMilDiQ3Lp+
jhYcijQbi/ahHEzljomUj2PCl/LbjCPnsBiR/dA14fhLqhluyT7sdmPTd9sxTzGVkvwet24F6RVh
28CRSTD42bYVoppGoj26qrtQDyygpQWp7mAxz0DcbsZGHe87iskghbD6+84JFLFi68fmoTSn9GcV
18aABoehfdOPKjJiIhZXY/6SuDoplu1AwHfLwzTrPcA17DHXEmPJM41PQO/p3jJOjmkp2BGk2rz/
9Qvn/8vYoTVm/b9fS++HpPz823/9C+zQ+nO/m7WtH+A2hWpx41u31X9Ijls/nBXkznb7D8ChFRmv
ARXCpc1t0QE99I8LKXdV22BQImWuqdSUCvFXlti/Ee3/vMQmmy5Mm+22auuurv/ThXQwtY6CD2Xx
Me5kZ201kS1Sv1sKYuQSJh9+GPSkRk+P5RR/jMjRmHFYp4p84vnYcCWIwpxw88y8r8lfdQg8T0R6
vg6Y7uu4LrSsFML3QtUbRlzOb3vNCA3K52w0u1DTmMyZgnw1KuXGAJSN8AjZjscSBseJ7iwlwWRU
2Z9tMc9BMS6fmHlQVFjIeaww343avJgLxieG36eGAXAT6/YIjqh65tEQEh+BjY4dEhCyW14Ml7y1
JSjQojRDBrmhvrci7oF76vRXCLLlidl816aL6XGK4O/VK+bEyZ+UxqJ32UEA5IH33GQD30N6tD2r
Q4MMZXzto7A86Et9TsyB4y5drAvHJGD6yKLw0cZ4JC19K52iIJppN3tO4tJPbBHfjHT+bTETuQej
ph6mc8Y3LeqivaYXxi6aoFGkFW05VpjJfa/q2WdkcuntQhbOGJbkW9FlX+wnsDkpxpeqSsMba+tN
GYtyx10rXgk6K8tMv8MyUR9UDV+XlSPWjqVe37GdupsMou99VVZHW6n7OytHWE6HKbpd4y5YnWkn
4r1nrWhXZ2spLi2+Kidm71+ZNtey1seGcZYm/UWEXz/GLMadY1marzOjy3D0HZVacBeYVUmSaDMn
BE4NhklwyjCty/yKFY0Xuept2KnmPfbfdNPr6XnJxRGQzUsIetLT2uZY6f0bCn9OQjcDU2+BT94g
yR9E2soArp55IVh8NUv9J4cQvD1i+UXYPaXF8OTSwg0ixPolFTYjnTbhskN9SdbNRV6eckyQflpQ
LD862n28kBqG3/mB8+yUQqHZJE26beMM+DVFz5vBYrAYaGn22Q3sQc7cGOw0tzJPoYRCf2ud9WYJ
CmAIzdPottt6koCj4vgLnkigDBQMYBt76hYC+mV/CnXlfu6bG1pOPyjA1jGOTcexF66noEdjOZhO
GLLzN5Wr3zwC6xvietevyoVwmbFIdOyVcXkzq+WKTYQ6uIWNkVVal1qLzlkMYlAhZqD1NBZwtGxY
zHJbFcapiZV9zqpUbd2tGbkP7ki8FKPUyaqmYKGpMpfpw4TJzCs6GiHc0X2LUvMjIuMVGE1pBl3Y
71NGd3yLNjcw7hnFFFeknopXOZUZo+l4H5n1XeNSsZDAEvZMw3xvJ+sUJ/qlhRPM/VPP6I5yDnwi
9yyisXtWXRdAqiTCSnJ3C0TowVXq18R2nubEes9dXlt+KQNDb0o+WW33HQrwTQwbezcjoQdpKb/1
Phz57Mx4NZrMOsDVLS99Eym+lRuI/aRSfTtKuns1TgegETQ35kt3Did0OcyO/ZtdRVhy+ibF3lZ3
GLXn/5TG/VmS5YT7389MDx08KX8y3Hz8KzmXn/393DR+qPDwSCrpwgAD4pB/+h25YnJwruXM6xf7
z3IuR6qxUlVcQekc9DewKr/LuQYHqyU0VdXAtAgqfYy/cnpiGiDD9Ac518JIBtJFF7qJ7mjBFPtz
xmlCkaix/ow+2MfZM6y2u1+mcnyiGQyome7ML2PfsPPIixg4ECOYXPy4tJzcy4XVvSZ6pAJitYaf
yxTKD/Ac3V60Np4lNVTXQbcOtdvY7CxC2kkEz0rrm+3YzM5KQwYtyWPwEuEQfqDyZwrMsAKnEa8c
Ykc2j3G4xBdKqmcKojFRVGT7EyBDhtTMzp+ElR6McrWMVwQEQO0vl35C9AJ80Khn2Mzg3xrzPYHE
cXEFZF609HiX1Mq0Av5crBXhd98BztiEul4/VOzpd3QcOH43Eaeizoo1PdM89pVYfyzGXm4N+lt/
EvhVHnsWMSA6kjmYUp37djjPuxqbqR+6IbUpYI93i4isQKhj61OqTIB/bXGpcYAcXdKfJ7WujRtt
ibVjJCk905kGPpJF9ru6VnG02BRYrnhh623orIEaMb2K76fZMj2Jce5QTb14XBaHAK+UoOTBLr9q
iUsRLdo8VrghjgB4NPETS2GsP+k4HXSOSGrWFOIs9LtoTdDFtbwQWh63dTIm9T1sCzikhEnOi1Hm
vslNNdBanPbKPIfzplG14hd0rfRCWLrALDMt82eUgA3zuVqH50jv86DikXZrIx9XvP1afmuZc0sp
SWue2fpGt7xqDuAyy5DnaM7B99gsk6NNwl0ET05p8t4ZZJDwiXf9fLc06Y0IjcyfVMht5jBluDU6
jil6WtqnJlJbTAgxpmrMl9jZzHahZ9Ok8OurXnSAu3lIzV3EnwbCnx6LC1pcGzhpg15DY0H83KLS
sJ2YTQqaucniqGvC1H0WFWgAdOhRuyP93j1g90DjRhNZKMXjMKKFe1Snr2KxOJCZcZPGV+KwWIK5
nAwXwXIZW5wYmCFv2CHIaY+feq8xO3p2bF2MSoegJnC327dqbOr1u1KoffNax6p1VPGd3cUYUPKA
dWfB2rQa3/JeYxKJ2dHtuiU2bnCOcKfO1AbhIx1s8dEaQ31f6219VhL0mrQA5QIx3BZ36L4azQ7J
rFz7BnkBgC/iABOvPJExlrZXNaG7xchf7HvdTl7LKmwf27RM9zgoaectl4XFZF6v9RqJowvSAgjc
HhJgiNAzCMWz6jA8yHmIbtwlybZuaYe3YxmSm3Ui99zTDux1QvQReINJewujRGNJ1IOTKcfyM4t0
cuqFINRFgfLwYM1q6cslNvkdtaT6GUaOe5CNBhRkNEfEg8mFnCLVI/bp8invp+ImheN/nt22vepx
anQbQ2krhhVb2S1x119Net6vsRO6qT8Q/mXdXGYeHRtDhRxA8mzsI/0mMfAHpkvf3ohkZuNbqOVV
kw6TFhjTE22MypMUgtSYmqLwcn+IJDDMzNwBSxhUDERZ+hZrk9iycCVNXyaZtbeLLHqSTiy9caDc
vC65tHpcfe2HhX9f88a52S8p5/kNCGb9JCKHHdGSldpdjN4n0c4lDBEH8CRmiYIaBZwCIug7dEh8
LTqlH2gn431mRCDTYVdWJPnD4mgjDQA+15rbOdP1bUs14mYAk7M3kklSr51md7rRw00CfwAvyGz4
8o9VGYxWGV2dhoJEbibkxyfYQRh61e4GR3zxIrED3BclHsmwK7pXIBgI4FzcNRwxHcFG2LPXNb+C
42qwoQbHuf1OrCNi9nALzWsHY4CS4RQPTq7xiUqlHRMEmNPnmXBqQLByOBuaMpyp1o0t7IrD8Dlk
pjliBxADU69rOjuhRuotIjhu3a5O2tPqqX9dAzvGHitt56dTKhoGWycMhFX2u6XS7Ws95GQAzKpg
II9nyhcK3AjAOdzkZBu0Sm+IWFCBrSj0Kxl6W/4apCyfotmdL0XuZteE5FDAEiu/8LxWP0MDB0sJ
LpH2pkQ3bmuSO9s+btxTJWr60+tWeaspr2jYhWjlVvQqIldT6+NbKOe83YSuU53tWnVuTV6H5zRu
cOIVBh9Z/pfdtaBM6oVsVGPSo1fBaYa5xenR5+GLo4TxESAl5WAVKUxjaCTaeV+eiI8MO47fueHb
at3yazVfFLqLn0o3aFtsAEEvmnsD9uJbrLBBo6skuS+LhuthLEhV8PXM+yDHp3g35NlyoN99OfVF
rtxVsRqZnoWNyDq0LYBXLFTFLSWqyq7NhurWaMnnDRWn9FhVIKZwCWGe/u0SWpsTRHJL3OVWYuy5
0dJDWZvyJemj6j5EzbvUIubgjpcmfyTzYP0HI/2n2dT8tzaDx+HjX+US1h/6fSg1f+C5p5l4nfhU
i/j9/wyl1g/CCvRaa4CwcA2oEKv/7jHQ1B+a6TBxErNTHRsXwD+GUucHFMD1B2xbX4nPNPD9leC9
za/2p6HUJqrJ6sohO8FEqol/GkobPkydjXTrFxJfLiX3hcfuP97lpL0DIn0awxb2aZW60n3sRuDW
dHlbLoZ7SADyeyyS31udZQiIDNMzDKbRtF5qfwZqxsoZ1qaSa9890Rdsfhpeo1keSOoagUvlQRA1
zegniqKRgVian+oCLqucCp0JQ1F4JAH07yAtLVh/A4tXctsRmB4X/NuVkt4uZtHClQvzfQZ7jQNq
UKCumFyhtd8Kq0YaQPtK7pzKBfGqZ34TGxj8e/a7S92h9Joskzaq7V5VvdnR0LOnqufcLhy2FfnV
M16km3QEU6opDJQcyofBMVDg4UN5WUlPhAq75uiyJdvwWMOeQKHPhjHBwMvPuKMp+JTs1H3Ri54K
AlX0F1r8XgrQo/t5LnBsEzUIzLxGdwI5+GnpWLnbWFeCepn2jV79LMIC9mG0GgMpQiRZFIHB7yg/
SVtBpYjo/EHlMSi721HglnezFr6OkTdeSORuW6ccRBhNXYifteHpbaVRnce7VDAl3PQQVP2mVqIH
LO/T4wxgyBdTSdUiwKENobVZbmaqNzalZcqTXqQgazJ38PKwfR7wzWxMm71EQuUHcQBey9jN66/c
NeBUu9XkUSYae6ZFdfSoqTcGssGO+oXJSxd5Ic5Cg26pPpuSDscqDwP4P99k0HXsU+vzLJvoueej
poyoSQp4nA3u1m984yQR2vlnXOQgB3Lcl86y1xXhgDNWoq1Stfhes3IGANTnHxwoj7FGDjcn7xGw
2SOIP9HfkNUAIKvRuTOy2YQHM7mrkrTg/rCWc9473xTPfvSLTVHRCOMbDN+IvRTquaSfyUuJ8hJb
XXlsLWYLWxGjb9jmeEzr1vU1omHMjyuym0z63iGE6Q8h3Rb6WN1YOsZo3KgvUVyJC97jV4sCxINS
K2B93UkQ2Eg/COK+Rn03BDErTjDj1RyEGIMYMvMaQdDusKXb1Wls1QvPD0ovZ+eZt+U4otuSmVxr
4Vpoc8lqw6uM+KYmsb0vU8P0nDwyfRUXylGpGR8iLJdbS63ywxJiX+W4oBN7qh+aUV2wQ2gGDD+H
u0lnvva9S6Um83DFwOQp6dzAOoMpTVNUxgWVXAP7RoZhl61Wi9MTLh5/kTnR2Zw1D85sP2YFXwUT
7htXyfnYu8tRl0oZFA333FTm27omnejo+Pn7OMblYdYeV7eU1qsCuoOZP1hurK2uX9enueMnkUIt
qO3lg8bTGNZe+KRVpuO5KoXiokve+ViP26ruv0D8sS0adJKjGrsyLmtsk7Rhg/8l9mDn3MpJlbg7
CtvXzWneCQ0S0iabskfy5LcQNg4xLtaNGID+LLP5kiw5XyklyT1FGNSLq/V5wRvjm+pyW8EG9pIu
SnczuLR7EoAw7amfC0xl1HcdjjIaR5TuCUMx95q5DA9Ml/V2bSc/wKVM9osikfM4DJj65wvWgmUD
G3v2eczdcXHIvYI18FfInhVrRttu2e1KLxOy2+B25gVv2nKfsyzE5RgDNWtZl9oJ3exmOTzqtXPQ
Q/teTOkF4mn1Qe0YX6suWwNVVX+VkXYrVPkysw09EsYQPpGnM0IuTaQGGmo7F5dm1gYfsyzpgjGj
7llWu2JO6iCOEOtGYUX4GWCoJCmOmN7OIsoshNziNcHTMFLjZsA1B4WgoJPZ0T2WBDwgMQO42/X4
qpxeO0iDhT7bfno6p8bEPqXriKtDl3Qbu6W7APtEAIMPP1xHPG6T2V11LCIDKKozYGC2jHSPE2Um
2NM3Owo74KyManSmNwdolL3UO6k6bCcJ+xz1UYitwdm87RzWu+5iDxtqGo1drmBI0Ral2+WFgzWm
LtzDhE9vbxlz/xBnKu6Wqn2nfVA5xXrTE5Bupee2Q+3nNtZyJep8kQnQSlLFGIG1cEN2o93ya887
/KfJuW710nPnLg4AAuT+qCchuXWu5VKLsOPXY/iTIzkCwlnqB71WIY1EonlRZzIJXqi78AuAa+vn
pWqovYm0aDnX8O92VkJ0auTmNVtEfRaj3WpzjoO9104j8YyNPQHrZ7nzFYdhtDUddRVlFSq8cUWf
s4w1edRpd0lRfzUIZT7NRdULfeQcXWG7gIgZF1+bKKTVNHwBtQjFruoQh2rd5OiZaPFhs2jwVeba
QEymg0kpKVUnqHKcaL89ETtfqWwh6YEhlttqTn/lq599nOtdPYfPC59/XyVG6KXC/Bq7nPgfy1Yi
Ffz3rOFqZToBBYGjv63IasADw0vSV55kiRmY+qT7eaw+gibr1j8SB4shnuK4YInKX6aDqgx0WTXQ
A7rBT1IaXUL8ALe5zF9rlkwc2ekc1I17Sd0RjnamCa7wzbPjZF+K0dzIvsuQSPJ7ghAh3dlTubGA
0XiLwjapFuUd2AP8wkqPhZ0kR4CuRy3urHLaAYqH/lnPXhrpl6TUznNNm4OVsTiO2jnz2yE3/LZt
P1mSDR4r5pdkhdpYccZiIRpmapdmUBPaON0ofGs2zejeEmh+MIVs/EarvjOs176c+2tfLR95jJ2d
Lw9VW7kCO81q3QeKDrwqyVgXjS2c046jtaZ9OnD0ipjDwAMsK+xs19f9Mw2MN0hqNIU7Y7ids6jZ
8fIAVskZDHlV8i2kV8QtAS9PjhqR7UK/dlP1Sk98ysDg3NPumNDFTKuDVH5lbbuAS9LpkqIKfS+z
JsPtZVJh1zeBk8TOsVKM8ljyxz5D+ntPUiOmWRzIijpEAeNzRMGv8ZErperzzhU7upHBrQ72FQXY
3hHOjD3gKvw9XeceqB1hlopEiMuTJEBFVRZJCY6Iqe1IBa5XPKVLbu1sEHfcZymuhgtyqO0+9vKV
6ElRLy+vLl+quHpbHHM82MVoeiM4ube2JVOoYgLdqBAyUT9WpL8Y5/0wJMbObuLRo+mB00boYO6T
ZGfrdee1BRwVn8YnfqxWPjWm6ACZo3u3oS2/OnJkaVJHb1YGR7ImsfogrKb8nkSufVlERSW3/DS9
hqpNREpTlbuBIomTXRGdZC7S48DuHNVvOUuP3PzvpS4Bzeol/3YE86M48TpMuVuC8M6trHBEhtLR
PZG0TwpuqxbgAgCHrecRz+OhXISBLIyr2S0v0SJ5TcOEU3tihq9wK3mjgjg8V0QUlYQkqyq7QyjK
6iT0mAYpVxzC1uV0LIq7PHFelLZ/VamESNbW7YS+iQ2/ROzNac2ITzDwlNh8PKkHZwIwadFjXNj8
x2rwRye78W+tBl5cffztv7mH/pP/ff2p3++m4gf3TnIjWAfsP7gMbJYlhmlhNLAMW+OS+Y97qfND
kDujZ97WDAOjwXpl/bv33fhBwp40INdcEy+jZf+1TmRrtRL8z7LEMQ1bNYWG/V5XCe47LtH8PwLh
WqlacZw0OrN9R2uaoyhUz1Wm9aEXLhti/OeExqPKsO6LlAuVMSXNibJj9w6ZKls8ijko0uoqo3yT
bQfT1MY3zaLCcT097VKeb0UfPVcqAUPPJjMGz6ZTGm/pYouscZbb9La1Ez6hNGmvYQn5GgfyEB0Y
NELLT8M2fjWzpPk1u0q1o3o5/sbL2Id+ZmEaZm1ShfStLgOkNTsLA5Vodr2RqTne46c1oDllSdcG
dtFUQEu4hNkM4FTebjjGwAcXmJ3zwKLTpT7kUz7fxCTUPssMEAbnFO5Eq7Dcr36Y9J7pt+IMdidq
xybdDoiIGoj6PCeQZfMq8aNM9pJHYW8fOtPqzb1R4bzd0E2TXzoFYG5hi45d/shv2ffyQWpiiC86
CyU8ioScfmLyJUYEtpK2Y/h7qqJaT1wJjWubGG6Kr1Gx8DobGM3szFSDWVOLM85fRhc1g6JZx+bF
6Kif1mWxlUZWfDesHe6axh1eix7z+q7DrL0z3RjAfQyGFcEgqXfQ49Kg05eBBbnRHhyo6zthOG0w
12Lc6qPV7ahaZsQW1OHy+JH1C4bdJfeqMnNuSq2rH5d24EKo5hpm+nks6NVonXFdePOoFqUNP6Ux
kiMftPQbY2l/ToWdBy54mK+cr8wvGn6KXa2X4SP5M+zypNvcK62x0W7iE3s23Urddm7RHDkj20cr
Zt2kq126V3vJ45V8nt+aMf1CRICPwGyYJ5dex0vPv4OHpvB/Eu204SObHLj55NtlINrsWW1lfCuW
U/2qVodaAYSZY1VozQ1LBOeZx3/yFBPePMRDpR6YXa1zLrLWU+uqOwLts75caOPkEOz+ruAL7Nds
CANnzpengf35Vi/76F2Lh/Kikohih4YN16mZlzah0bGyU0KbLUrVrO2R3JGsynD3UUNtEXjn8peZ
YPbfhKQg77Sw674yor93hkwwBFLX90AcNaGsdq5xW+Oc3LCk0W8K9nenKo/4uoZ2xujStuI4t073
0PFBJEkiG5Imy+QVKZcgWs+l9tw3cpqRTFzxs29A3zKxcE5jUmSXMClHC/5FwLxll1CpDO1jJOX2
4tCmFO5CyrvPNY2FHFINOdd2HOBE4wVGxTezk5Gzl/HJ1VMKmWJQfMXCvGos0mnQ0jFs7PUl5DFg
YGLHKgA6NqnbRL6G2Ay3yBUiZ+83LB0lFrmsIW1gLM4T7M97UTlqhPG0jYjPSyv7njS1+7UA6Xtv
YQHdDT0KO/StlkcLZsThJldSDfsMsAHISXr9mbja/BbmzN5MGBprFFAGKducNiVAYFoDtlawixKl
H/rt7STDpsY9IfhaVpJ2Npa/CVh31p8IedlPqMlEi53BfY5QlG8mY1YPsb2MzpbKDHm0KAL6FfX6
fNEXqpm5QfaJ7tOkk903kaNf2HV20ONV/WiXqHz9WKmXmUUYwPQk+zDHUfOgLcxvDnWfB2tp6ECu
KHg6cyu2YZC18KyreaEHlFq2uBP0spmhMzwqyaAdVCBmfLDV9iOxihIaVrP6plzyKdtwUKd3FrfR
vumd/uQSP3lvW7P92aGFfgLlqHatLMLDPEvFG+xInEK+QPAehuHCFtvedxNBwnFI5m8FreSB3Hs3
ciMt43PlrlUUszGnj/whsaepVn0GTUEgCZ/HrUvWYZuWqvwcSpzZvtPK6HURznJfde6whYA+P3e2
S6V91Jb1s4t0c2yLdjzMdASeYs2l10TUzUvfKy1FJoC2DV68aWbBEKM6PRch5hMLwTIY6KinvInt
UeO+Rloe7xazK88u3a9XlVZyz4Jn+H/YO68kx7EsTW8lrZ+HNhCEGptus4YGqEmnqxcaXUEQILQg
dzTrmI3Nx8jMrnCP7PRq69d5yaoIDydAiHvP+c8v3ErKlfeiSs5zXe5EsxuxnsgiKd7J5ZDgLnXt
Q0WaYGaR5mg+1WuumG05ld7Vw3VKI6qnq2hSKGSY1irdUgGrJjygjUQ4JUVLsZsUs4aITNJFQIQS
IIYqe8/rmF5mIBb1xagBvdDAis6lj4lUQCm9VrNY8c5NJzlynkf3oCDyvNXjmCAWvPF8NR9LElDE
Rl2SL9oyii6m62sLKjUM1/iERPXEOpxko8CzAOaDxQWnJ8nXCpWlGjtZrONlIulMw4qk7TbSiIUI
AtqqLTddLGslwDALBIykixiMCYmnVYWQIB+N9KM2Em1+kc/yvJKb8xYw9TwnzVML5eIi+QYy0w9p
kKMZ/Uq1OYj4BJlxcqIBz8TztFxckBVxb2L97qRHY3DCoCcw5HgIiYFVMDg2hD07tMzcm6H7o3zq
BCsrcbWgkzwvW9z4YSb2g3+Qi8YTpzXOo7y+qG/OmG4TP8sqW5Yq++wlXbM2JhS8Siu1Vl15qlpk
+1wu5Hu1xSKz0UuuaS93Xny+thhNTZRk2Q/lNJAZiTupMSYz0uAFd2DIHTPO6ktXv+riHlQiDZRB
bFU8PajNe5zLAQG1E4Oi8pAFhwkasQkM4sESomGK30Msf+RKVEjmJWvl3Jq2xgnXj2gA+FFQU2+x
ErgIZqRFEloNyJYaOKMoniSdtNcheRZ7Ib4vlPbk0BmQ5IIaDoDhNFzfIghkdldl8uaM24WXixH5
0Sc5pUGsCh75VEBjODbORIdSkVLQraRUG9Y1cN/VZv6dqlRLbe1e4BQ6p0apHRZnZTucwXWSrI/d
iW7SYINVHCpPy8VyfcJxYKYbqLORMQ2h1N7okGPrnw/Z9WTyIh/mdFtq2Mg3CLhl62Uvi20j1ui5
UHuNZtNlI4gDBt9Um9d4d2qAwqZ4anxgDqz5V/HQw0lTs+4lNozDvs5yYCr+1r6eL5nT5RgUGXgT
WicRouNwAQiOQL0eKyVm3JCe4ZQa5wuO6bJ6QHynFu80lLlzOrVjkDNw8SMCDFFTpaU7SeFg6rJi
vHUTlJp4UdaWNDaM7fExIO4QPQQEG2N4op1uXRFzTUq7abXCtaV9i1VMVIhXlIntvky6cGLIEeo/
QW3u5XRQ9jJsmFuuWHr1ijZtPYy5NV6BYQjQDOEDlQ114pKrI9GQnwVxVusnbTPNx5ex4Mr14rlY
xHnaeEXVnk92CVMFBX8yq3stQfEFSRBH4GZW9VPSf5tBOLKaS08nfTqsZQHL1C4ZYFKWLKyW1tTy
PJ7cBIVdfFkydS8soz90x1ihGgbobNJ8lmFMJFvZRagCPanrhyni9A3V/ySMcY1jSpUiBThLvJOE
HZD3iY91cX8xErJVYhCwXETo2ePPv5DBMl+1WoSUWiqXt0MW43maCiDuV5k5sNl17cRHHu8riZRg
IxRlixz+BNurpuuPUaJlq5o1RbcyOZZE4pDZ2cFHzvVM0U/0InWUC+ClMd2/LhyK97QXsS5MkZfe
62Oc+lfot4t20ogPdYXRfEcJg0eQFjtjDgEpvSBYNYVChw2GFyE6vPYMHkVNMOzPSTGJzJYc2hU7
znWuVazOZjXCP7iCu631yRQj5mGkMbO0SlKelf6ShE03yE+YKSRvxCYIH8Qxd7eJQJnuqqvYar9P
gF/H/xW9F+vfW7Lfzl2+LpJz22Bl9kujJokSrt0Ioafw5xT4c58atdG4SpWAf3TO4GBMnsh6wcNU
/r2Z/0+PIt4+5nM/+PkwzFF/PoyUns+ny2BkzsRX91dXcFBy4NPVWIOruie33yS2bv3EM/yLb3Yz
hvt8TJ0+F4U13w80VBS+fDWlGTQDw8vMAeW1oExb2U61X4sAs7V16n1zsF+uIweD6MzIgoGwKupf
uPWkq2JQm5fwkRzRlRwY0XucBGxxK4ejp75kIVli/+UvSAevkp2mKLoqwYP88gUzprSj1sqpM77S
GfmNl3iT/WjJVm6jg7T/Px7zMx6j/C0e8+81Bsdl8n//T3aMit/e3n/bHc+//fv5rSZJ8H/8hp9y
n7y9n1+T42+X24/a42/WsT1mMF9/xXBuR/oTwwGSmTLb+0P5Iaj86A/Sqy5ib4AmDwOjH3TYG8Tz
J78A1ivOBdASeNoY/t8+8E8PAwkTAwHbXv4zxabwv8R5/SEI+cdbC4R0Q4L4HP32mPFQf3nAZLnH
fqoc4bvXJmZBpSn3FgsrQRvd4vB0eEuww3rBwXzioNaObRlnwEW5QHhWMJwczGr2zUt2Q43+cT44
PIBRSShhRMZtSGuEGxvip5gBWVPKLo/GxE1qF9NxO3HYbRSrbZGi4bBu6aurU9iJrSkWtvSC8c3x
v8QcQNnV6UfxujdUUdXxnPiCaqWymhTU0BMH3UggOZRPXmqTJ41Br2NYWOcH4sd5Kx6bXfwMnb/+
Zq2efl1kfhwf0Z9M+DWbs3r7+U/fnyDpoUrry8SBUgfs4OIL0NchbjOopgViOjBkzB7heSkPUkV2
ioVpWuqoxN91dH6oO7zpS7NTz6bups6kteU1s8zyffowPFxug0CLYqpcMGRX1iOjFevwLA8bpss7
3fn7Gyl/zou4XUhRA7SElk1ABZnqXy6kQgizOETnyNXx5iJ+zrra14B6O5vg7zcvkZNrZvYgIl58
iuaaBVdfW/SO7JTewbAJcRQHS0rcZjI7LPVl/iB9tyve9FifnrQfJwgnBCxUZpby1bsDvUpRY5BD
kLnV21P2DrnFgNZUB4tx6s1kdj61Lzh2mdEd3O2LYTLLE28rr3twRs0bz0RA+39/0b4Q0P+4aD+d
0xeuTz9tW/rNImJIt6F9calO7e4Jt+/sg3PQTdlKnbP13S5z25l/fue+Xokvz1xRpi1mZBy1d/VQ
9DGA9m479ncb6E0x98txCH6SJI1VR4UN9PnZrsERx6EtI1fYxEGV28hc27cDFOyped71M826uAcC
4xDYu0ROXWzZOYexc3O+Ln7f6f7zYuV2Ib9+5Z9ORbs9vT+9Zmc5wjG9qJiyLmi+vByLauKnzfMD
KdHewZTfNbqB7d/f3b944tjCUQ4KUyJdcbv98koczomcXNpTyhM3ODCWqyU9xvNkVWzz+zporMjJ
F/K2t0aHPER4OlM3t4UXSNaJ+8dW/59fgNu6/vkCcC5MFthAGAvAYPt8AS7Qh8Zp8eNcdA/RmzbT
p6DmdnzBGNO+mWJ62E+SK8KA3QIab0qn+Gat1cXP1Lbb4/75JL5ckFqG2BJpnETj9PbVrkLJkj4E
Du9od1J4JlKjdft1sT1tJ4aJXjAzVhjREQJt5hfM/MQPsbLLV2gYaWaBoTctRpgW5iZ5jm+WmRpm
dn6aYH+bWVdpnpEOG4yKkyzVjbwidhSbjkIOCcBk/iV9UCNbDLLHuRASzYzoeZ4sD167Rl9XLWsm
wT4CJQIxwp78gqCd12uyLryJaJbBdW7MCALBLhPHfoeA2KknWdixwkz3+7lULhsswyUTOsfhvlnS
lTFAPjt06pBTXiW6mNq/rnqbczDM04X0duhqqq+segTPUlgMDPRBatf9a3xBlowLog8TdjDZftWl
6lzQNs4kxSwn7nk+2owBsaZh7rw9zYge1xX3kvk6qACDmtF+Ho6CvBFjSnMyUxakmUIXNI1XKG6Y
WhTJo6i9ER810b18eV6fkW9GqzieK/1yGBdlFSKURKF9I3QRdUlAx8Gt4YJUs1S21WoZ+YcNWfei
G7Ocjr4E1+m5bqzKkxlvL/BUSN248biY8Vsc25jNGeNsRHJ6dtIWb1vum43HZJ5a8krmDI6niqbW
JkcCcDNm6gIouFbWxlzZUa1cH0H6Y8UhSSSBXG1pvYVSp3U0CPrG4/Re6ue55rK2TDsyTddKYZ+s
bAaupd8B6NdBm3/ANYknTj6fHA9zHvw8AEUQOXdX28IWLE4mFpkmUOTgHDxsy6rRyZ3UPUCgP5mc
mo/vYu8z316S3XC1T+Hk4QynwE9PVv3SYI7rvHTwCPzRb/1xe910j+/M2mtTealMIVRDguHDK41L
9XE6xk+QLUMNjAYi49vV7O86DwOjwuv2N2djxWa+XnhEyObW1YTjlVuyn3sMbRM2+c0UBNi8KzLv
aniDJd81DqkJZzym582eQB9kSPfdAupmQkTuVnqTF9kpLKyX7E08IP3lMQXiwAUgkHj7m6BXtkwE
rsaeNMACR0CUnOq2aV5zYpcOJog0dchM9isghhL9QRBt2ocOnr7qnMuHw50Ku55ggPVkT9B6Zd8i
6n10UVMHTULN1X2SOOVmXUU+llTxacV1xixAKf3bUwsJ24yRhzwomLWCxYT0kClsnAdMA4hWwRCH
Zfqqu2gB9MHv9VB/r1dd7MsHCxUTzdF0eKgeZcGRdp1LWsuSJdSf+okMwwM0xDo81tthpVDVet0M
kY59MA8rGEStI8mmRISJ03Re7kGCWLS5rVmnRe0T2MdnzfEkRuGq+6MlbjQPW7vwMkudahVX1mC3
Fm4OB0sODBqzfJW8DoFKQEZlMZKXTltxuiHIl2dKosxwR5nzx2oHh41FsdYfNfluLN/lYpYLyxg7
qXF2yVwkQX2/j6R7Jd3xfVpmMHzF1imX2FS8XuSl0AVEYJXTFclAe20Ge6lDcUHoJUS8h9hVnEGa
j6Fy4dLbIBFPwGEMmubXZRKQFrhGAnPpLGmYRaTMnPzT1DlDhPiQduKydvK7iDFatyVsQ7HE/Xmb
MB9xxokjtWGs21xLeJpNAJqWThzMpVUUmKYQXNxOYtuaMqzd6a4qrqN6lSfOeD8BVB3mQo5/FbkP
fnnMVJdIO1kIcD/EKjl6ykT/Mld4aiGLDbaDO222bNblTW9sZyhvcO7w5X27PCUYY221GhWOKWF3
YpaWvkXcvMnd0+PJ8CHEifga2vU7k1Rn6mqb7rV3+AyH1F8ZYykfQR0uPIoj6zNxceva8UqHetx4
UomLoCXm675l0hB2wO6gTQVUKrcyAiPM/GZFRsbpdcBppJ9DeS5aB0umdCAT1+odxSLIZXIrsetw
6hbBuMSf4zG/kyNXJLK5N8VFvcyOqhtr1vXq4Mi4HNgWNopHzfEIzyKeDbuTjRy/V5luW1fsGutZ
U+2qc5BGvvZEyYk3kI19ljwuGn1xeEC2bN7k0ooN89sclECbmmjP2umsEXYk38CR9jq3YJnAsW1Z
oSLxo9c4LN/Tjf5CLmJ3p+VhfXba7HY9sZ+8x8jDOtmT4AI/aV5bk9Ej17QvcTV2pcJX8JxcwS0e
eYHgr0xt5FdSSpUc6LMmwLbYu3hcKp/pAS0iTtpLQjogm9em/AZGelgKL5lnzK9vBUm1D8ZafgIm
V/f1YP59rfUXlbQsqETmabjeyCI46ef6JsVKK49hd7oMx1Qe0Z34EnHaG2DU8ggBrtshrPK71tTm
3xz51yqXIwP26YQcoCa4de4/l5Z6miUYoP+orJKl7J4cpmHrzIRe7TJRevjmaF9ZGHh9fDoafI+f
j5b2MpY4hzp1o2P6pvl6KOOW4OlBNOd+5sI/U8arvxbPn4/55drifF6ivEFEz548rtP5aJjREiuF
OcEahYkdUYkz1Z6HYAwbgq1fxVd8eg3Rps4Z17AcHjpl0cwMCHqVLT/ehm2+PB+eiakUH9WQcLt9
zoarbqr7dG24z8JHHRzCIkx5xk3Sd0N1WVEvHjxGss7orw4s8ffJtphdsJ/5yGkq7Fv5SEb1przD
RtUury9MMbFKX4w88W7v9Ed2ho+e5pnSc9MtEwdLOL9z5Q86jz0LqtfOEphZCxGCsyk1LmsODOsD
Zdybfqyeo+foPYfYiEoSNHAJbet21SnYj2j8CL3pg36FIJKiiiKPSFhIEhK8L15BUq+Srapb41y2
i4WxVO2WMbur2iOz1TG8ELv9dHDz+fl4etMl+9q4GRvwzniewhAm/4aIdiYktrSO8R2uA/Z91rtk
Xd93j+IzGyDIvXMN+6MYYgFnZSs8FZrFZKk5nY1xDFsTLmCO7JW33Q5Kon2917Huh1Nu9pp9KlZs
BBqOtUeWezuap4UPBdiptyjRBt3st/mTER4eERPgWIzjGwvMFS3DI8uk0JsTOdSO4mheR0p0U2My
TjbkRw4jx5Rcrj/G3w8U1pM3mIl9Z8MGrAkyhyNqIZZguGs8dXiQDSbz9uEBM9r45I3T3ajYZYi4
otlBTv4nENbbw/q5Efr8MH8FwHTy+yIIRzSlAnuUAxLgwaVjDqPNbpAP4mr8UGAiYlcEnPJffn0V
oDeIddCMIXvcnGF+fn0buSdHLC5y19gl4gLlBE0g26vTynfQBq1/4vv+2vh9OqLxpfNNSviPh9sR
R7eprGwOUn91EBbhgumnLoJv+3JdjryKzuHh+75Tua1Hny+3oqCJAhMyRBGE8yuIDmcsxjaLvC6o
H1iaItg7YtH+ggsmPEoGWqZweRb6PeURjBq2TDNdydtk4mI4h38qSBfz55xMg/u+tqL5gP4jvQGE
BVAJxlpsmqUT8aRJs3EWvaORXpGQ8XG1GNjvLv16oqzFk5NtBIQe1GkED2f3ic0jSIv797f2L7p9
VQDIw55eR1gmfEUyz3CRmWwOCagK+XJeat26/sSwCMTzE6frnWhBwe0iXHaI0oPh+5TyhCEpcZrv
YKVfF2xOhVQWHQ8FKIPil4ueQ07AkFJO6FGjZbwmTJUCFznURnIF+2SfrcN3c4tf0T+8cQ08iATo
XVND+vJcE2eCMpRwlx9QBwEQIdwKQKU4/A5U+osHilwBmfnZlOgeLCS+bEZojXOVcMDEPT+i5T0D
HVS2lH/Uh0VdBynaED3/MOgqsxrKvXMF28lxIjLxl4wK8mDtsURL5qqJgwTLVIXZFL8/Vjt6dZOK
LR+8pHNEcVFIeOPM46tDvauk/qW7yxts8BxZcdurM/RWBBPJhhRkzOtX9QBL34PxwQrHrFeDkQV8
8vLNA/YXd1WcArAqqiyD40+/XGNBqlMUT5Q4NwBTsjQXjCFSXAQT24IGY0GzC31kjofSJLbgWIWS
S6G3P+3y2vtuIZN+fa8NCcRevllogOLrX24DCle55seRe9jHGLmwOy115tv+eX3aEnbSbYpnrk3p
TBXr8kaIa6m4pwOWAbPzZTE5efV+QmXANP7vr9EPlPnzcvP5tL6s7vFFveRNwmlNvcjvtozMnzov
demzK3Ygqw3J3WlAmmmSc0DWy2O8vR5xn6s3jHHPHuuDra3g3mUTlzJYWPb42gZGIG1r+7t35i8W
DN4TxrS8OTJvq/Rl9DEk5zJD7Rm5LX0bcBjOptOqQwd2lwsQBJ+5sXADKFloMW5GmR/RFfPbTVU+
iQ6Cj6iykUWzNxNe/s1aJgJB/7JuG5wRYLkE80xkNfm8UV26A2n0sB1czDI+jAiILi4XfeSkgU7M
89k71CbaQ0OG2mfh0H6JF5A4J+UqbQMII4noD3gvo7I6JoSxBRFaurAOILWf8abttsLVaqdWNNoY
QU1DLYa7gFbfgjRjYtQV4bD0xNz9cp8mTgu1b7QF3UKgb9RBRwFDYqKVO8rLdA8wlRTOcMwjF61i
Li6mH4bh9bkLhVDL3Ivg9zGWTVbOlXxr7zBgRipBcRf5aJnml7CcG4/oCaItvzJ47dm8Sbl0ii6v
WY603uu+h7BopgegBM94BVYbYEjksDDN7K5mFpyYkxVRtFACYPETuUxq4ukJKGPq8D06AMVJYRZL
GHGDNtOuuyL3K2we9FmOBE+1ld4iiitiY0LX9w6sVSwLg689Vc364KV4QQrWufJxkTkI/jWb39Sp
hQfKV9MLUvfGHnxNrK7rt0nslRCtLRF+M/bHfWiYRNsTQ6WY040UTsGeMkBd+iBAOMMEeEMZGwco
RLpQCGnZDqZwbBJLysJaMofYmuzGwjwlFp+pSh7AkWROXtUb2PQmm4dNSTFdWopbVUvS9EAQYTO2
yArOZCiYuB7SgF5BPwWHMuP+4shz0T/wD0yASPeWvUSN2j2RFO6q96zPNWtv+Fj52LjelbwLRAsD
zi4BijLyGPACsIXMIhDEqRa6auHwccYJonNawydpR7o/OZNtuZru++C0TPzMHV8gozyhxq+WTBtQ
lZRudzXJUA40lxCexXkVP6mWgJHo0+Fe9s/2LVLSCBA6lbhgJTCGNFtsHo0b5IxdF0IM3Ef8tAHc
5Z7Er3y7dlc/yQfTgIINFRB+uKPMgoivN4bZLg/7XeoST6C4sh0r+wmsv+duk9k41JLBC8ooWckM
JW+5w+ggu5OOgnPrW1RPsOT51c6dcZa5xqwNDpt+buhIZqzTDP8tq14JR57lPmjfrpJF6uRccyn5
axXkD3i75QvGa56wYmm4ox0HQkgBMnnAu+Lp8h6/XoAS38ud5k7IU3ex7Usi8+qSYNKym3SGJdyj
C8IfHVRO2hdwUs3hmXyHDsGNlUIL3Eebq8m8zAIIaAClB+d6lzuVV+xheMEbdy/uxe6XXv5On+PQ
DTGKjM354a6HmVuaWoMO7Yb24LkrLpEdKkuQqt0rnhFEBeEBMsG+yBIW3AP650duoo1rkjl5GZbl
6uQ3x2hGt9c56oJRbZjcE30CA8vN72UW6WZW+OzcaMNfr0+Sd30UtoJijis8NA5Wtpef2sguRBAc
Zri6o80Z5rYuinHmfTR75nmeBmpIZGeoB/kjzOjFZcMGRV9jl3bnnHvz4rU2y/S85Y329WUJ2A3f
y1Q5neh43V1drpRg6xs1BPP0Bu/wQYG9VtxxNywgtiWbEoe1pWifHGSaNEABvd6SbmlHlzusx3Cd
6kCcZuL1Yfsw7Wc1qkKgr9Kurh6X2Du7hdn4nQXSe7kXFtGz9NTPgmqDN2uANeuVQLkgCQxPdtTX
ag7uAS3PrJfJWwFG/bE+eQpmvAvdFv1xV6+7e5YtXzTvmv1I0xff0yDWzFNGkybV6u6l+yrUHk4A
rNTYmdsSIQz+rDjUFZYQwPK3y49oMXXYtlzQ3HFXAXHjFtyYVdjP6aKb+/NahdB1pz0CZgJRmkjV
F+d98tA9fNRg7wjgqaAaH2aoqYrW5WUEPvAv24458UJm3B8yiniPXhBzfiR2t5p4o3UBnRwXIkdv
G0ufd65Rm6f9bU7fzOnE7dY83eWLZN4tTvvEiW26dPdkxa4QKNvWMTzvEOh256Ig8M6OMLvMJncq
a1SKVZIb7UicPszOr4yVMu57UPjRsraZp3OX0dLGKtoT87z4GMC3Zt2smEmL5l7B0IgxxSPcVAr/
0b4oT7KLb8r9Ya9uGDox+PTLKlC9G7cAE4HNlKtKTpYpPpS7yRLdGv/Gglc0JNtpWCypP31jxvCB
/S+5Orpiyrsbb5zS1UzvoiWKrekGQUnvioFO5z6CF5I97vaP0dXq2CVJdnk02JOaJbru+dSquCvi
K9ELtRvve7e77zbRTKzt070RqAvBujDAOJxCLJpOOiFoqPF5Ofhfdo56YmaNU8/5GlnQfAgX3IfZ
7+I7wdOXqZXkLABDZmsBeQ22GGQeXgz8Znqn2NddvDAUy2B8A37JXGvHe3gBfUu9mykiPD9Ws2FZ
B4VqXizhWXxtnIOVrCLetqlX81hTZ8/H1ehilrYctmy0PNBWvNFhRjX3bdCu+iC9awOVh7OhzyKp
07p6SJxj/7LXYI6zzGLzb2neun+QZ9PBSkKI5xZi7Pk4M5zucdyULwP7VLqkGkx7lJ2hNkUTYscM
OUqnej+FqEY3yRheO/fKXOAl/egQBZ8iP5P2U/lBTylOWLHgos8aFTqG25VzTbTO5GS8Dj92ckcP
Lx+Km0HiNG8Ak8eLUbJeJ0994kpTO1ERP9njTFgPvT+BjdvxeuJselvZARLXcmPd9o32pYCJ6lQG
rzjraMJUIFoD5uM/VtauUqPANbHzHl7xsDjlFiZiU9NwXgc79gW31C19d3APb7jcuNM6kJh3sL+w
kDIHuCctHOYskfRLoDCvt4rgGmZUYp2VLgFCutiOKcTsdslUEq03/7+2iRSFJqF26FPX4EBjuRzm
xfq8nL4qcGU4gQavVSsTfIMnGzj2dSTSO7duCCW/11OOdFa8BPjP5xXmtPLtaG2FLag/fSR9/IzL
UZAyomYuh6s5BqWELtA2L1XsTDsMLxEwoLpCZ2xeKGK2h1W5xE97pktmwQufUybC0JzlQezrbrPL
sllH5BNmHPYp26IVztentfyRgDVYEecxBGlYW9PV7U89gnArcisfvJt3fSk7Wb+SHU68CVrrMms9
I6zcYk2tKTnSw/IE3A5HxCmPEadvqsAqi8p9QHVmjRaaLqtwRSdZ8za79bJ3WINZQPGHm9VWu2yP
jE4r88hdcYmOEQ52GkISuGM0u0IVUpkhlHTmWSiwTvbtB9HjDaCBFbsm7exJCWvdkp8jydTvZG+8
T/3qYJ4TrAlNiLTq42md+loo2ZqHVlz0pFclhLTKHKUjJcFmIHobwwjE+G0lPGcrS9J9+YgyGnUS
EWr7hHLCYbJyVVzJIBEEMe1y4vXL2yNwXUZv6LW5UdwJ6P1ME9GL3F/m6ZbIAIplR/7gwVDCai3z
cikjPHLkKa8Syc99tlYhmFnynnGEzpYHJV8ANzXPDpXzMXnlUnmRnT9UTuqnjFvMyr/MyueD4pFN
aKyTh3ShOsZTGvYbPHjlPXrm6W2qcsO/aYgltoAn/ZFnl0kIUewAl+6IAn3GJVZdwSXpPF5my1uR
a0ayiSHjolunm+FFnXUH70wlFuFDbwkMXLXZhDkmug7O//CoDy7pDQzRjOC05kEbKZbM5g4jLS4C
UWJYbXCU6Vx6KGxpPmHqP5fm/TFa15ELaHul8NatpjcPkafwybAB+u2ETav3qrX2EWeBMprtnlTq
AmzyRRcto7OnjNA3zIeyffVwjmi07HHfbpC82DHj8pKeFNcfe/oQ7yc+5WrmxRvaVmCRQPL6JxJd
F9FKowb1aws426nBJtYc2KbzsU8t45kYBbV1cC7bkfaY5O1lLngFs6zrorTr+cU7LArNVILD86y0
MAE6WVC5jvjBamy5LBPaYlgLq/b2gmgfF8NrAoCUeAlhNTfVu3hFhIs3zLMQ4cIqsVNz4qW3G348
3Q1Bbke2YmceYJhfMiOSd6kX8Ric+FadFRrhZcdNvKGil5n6kts18eUuvdlidHi+ucYP7SZ1Yj+H
HYgNrFWG8Ybh7PtZt8ujYDOau2OOF2BhsLpaDOErs1+UOA08tVvpJXL3g909Mn+cvubryxxa2jyX
EcAjTLSEu1Ox6IJ2a7xfHe04dQ8PRoiy6ZHQg1lhT2fy/WXXod1u7k7ax/VqThR7eJtED9p9czNX
NrGeKPdQ2lalp7u9dx4t0ijI2zR4o8/PJQ4DvP4sjJ2VPBVP6YZzm3xoxy4QMNwJwZwU3qo67L1i
VbnMCfVZv+TlBnuPt6cetw+eJkeJUXOZl7vqTmOrXsqVVdNNyOGko6R9uj7zV2evSo6CWxgv+uX2
OSya1ZvEa60CgJnMyK8sAYbJYHbitbwSpxW8CQvkf/QkHvCTyfoXYlg4Qi+8zHvDOq35TxWIziBQ
kR2QJOHM9CT5ZXiDTxxOjKiQs3na9WieQtZE58qO0C7JVOPfTOfjkfkhlTPP9fjOmtwuWNwEnyM/
6Q9IY2Omu6p/3uc71SdhyG7C/IG3x1GB6cxJcHhp32GvfJS8roXLgKFb8biXG8jfRMy7bOYuDtVg
nFxuqI9Hift6qIBbxYlZtMuL6CiTWwkyRmFUObXudJVjNYzZv5kJEkX+FfUG+2IkCGMXAEX7inrL
EwHcB7MDN50Xfgrh7BpAbHXysHm/CT64wD6aHNYMDFi52b3D3yzrBVt4/h2U85enAqkYhq2Mt5n8
heynx3ksouSC8Ps77RF3GUjsQA0BQeSsCtlC+WbI8YMY/wWEk7FYgm0m39At4XZKP5HtDnWhafgn
4BvkTl6nFu0oZVdyvHGVmn3hMXOgmKEaDhQ6aoJTw3GXOKcFIoybXYNf7FP77EpWfpQ+8u3UyXaF
R24oMSMOsbsdXU1jt/7BP9yVjLlGh0Bqu1yQJR1kPFzWdYH44Lm1ojfcMD3UmFtp8XGbxgp+94BH
BPmBPBH5THuKN9mysNv9t/j7r0Nabv9PF+DLNe9UlaRSBFkuWR/erUIdZ3iB2vk6skrrez6n+Nf3
+B8X/AtYh89wIki4hrhp0IKBTGk0pjTgIjwDcir+mTnWd0f8Av8qh/4Sty1HROdSBrCkbLyVvME9
LaJAuA3/Nt8B/79oP5hmcFE1XZElkH8u7+en6prhvpyerjFNO8oPSFUx7Z5KEdetS+87riKs+r94
gw2FjCN8/5iifAHbexzaI+iMsZt8XOgLHJKsxCZkk34EbQ8PJ+YCNn0vJC7NxPMozM4mjeeCoe1l
VQBg3FXBeBRpNu8GYtfYLLfjx2UeveVvXdDt6n2yMohOWMSLIfrujf914odZBA6ChCFCyRa+cl01
kTi3XOHe0Fdv8AppdAssnNa3nKGhtqXHsrK0ULAhjP8pYPmfn4imzQ9/w9eiJKEritsvf/y3Vfl+
3rX1+3u7OJb/+/ar//FP/+3zH/nNPz7ZRlrx6Q/OD5eMTfdeX7bvyP3av//p7+eAPooGM3v78cvJ
O6P8//j1b//Bn56Nv37AT44divgf3o4//t3dpXz//ZPff5zv7c//dnzDhsFOmrZOXtsfX/CnH/75
hX/+9T+uwa9H/stz+vMv/eS9xoI9vvx+qf44y+Uxf//Xf7GO2dux+Vmnoigaq9A/TuRf/+XTaf40
Zvm7z90mzbG+ffafHxW8/eu/EPSk8Hr8dz8bumKSf/pgttCbJft/94Pvj1n2jsAnQ8DTfbasl2/G
7//9IyyLur0d4Xed0Pntvf7zM2/Xx/h/1F1BbsIwEPwKXyhUVblUClHVHkpVqRL3JURtpJAATZDo
bzj20EPVJ+RjHSd2YifGIOwi5YrM2rPrnbGtrI1yIBCJ+InNkfO8/0ybqPhR3qphtqGy9ran9Lag
OFSLm2AdN5A6mDd+8btZpHMlunjO9fZmPLQfeieqsIwrqxwMe5LGxfeWWtFEpc4tFNZ2WnpZXOzB
GkEroEOUf7kwv6TPNFFJAE8O4eMxFwHF15/5knbK0Ll1B2OfUb5CFZ7wMUsibhzrDFu/+7TOw6zY
C0uSdSiprfWHnLYR6e4gvnJANI95FCtJVLll6IAAMHDTA821vJ1HXUfe2bK07tMqQmnmQIiuCGMT
WlYHaRvaaZjpfO9AoU54UcXSQ7MoeCdVtvnUcZJRH5Ro5/zQQUZ5m7Zq85E7yKdJuqNARwUuJNV4
4ZtlPD38P13nkWZCjhxM9bLeub2Oqdw+csDvplvaLR3jh1ihilxv8p99D26b/080AEniejmN07Ex
sLYv1Z8PKFnIJejCeAOorDg3+kq3q6g3Ud29RmuXdahBvY96QcIn2T0bwoGd1sEWYgejacCd2OBk
R2v1U1RlbzveptrpyKRsXllLvQkTrBsWOXTAvSU1UlEZxiw8x/fIXb90QYEWTaB8Ugm1P8DAySZg
Kpf3BhZTAxOsloz0BxekwoSrozL9QQaVMiHrCFxvkHG+qshGQ4hdleoBNHyiPj4SMW9ZfOFAjcqD
nNe81vgKXZBCiBIIkhR2ictlwse7LuxIFLPjQpzfdHgwaELfKzCrmJKwQnKhIR6bVH6KO/jnzWpT
OD1PMnY+i4sakxMcXwf5QqjG1/yoxsQE7TOe/82WY8ixvGJNgjikzd0fAAAA//8=</cx:binary>
              </cx:geoCache>
            </cx:geography>
          </cx:layoutPr>
          <cx:valueColors>
            <cx:minColor>
              <a:srgbClr val="FFFF00"/>
            </cx:minColor>
            <cx:midColor>
              <a:srgbClr val="FF9933"/>
            </cx:midColor>
            <cx:maxColor>
              <a:srgbClr val="FF0000"/>
            </cx:maxColor>
          </cx:valueColors>
          <cx:valueColorPositions count="3">
            <cx:minPosition>
              <cx:number val="10000"/>
            </cx:minPosition>
            <cx:midPosition>
              <cx:number val="15000"/>
            </cx:midPosition>
            <cx:maxPosition>
              <cx:number val="344782"/>
            </cx:maxPosition>
          </cx:valueColorPositions>
        </cx:series>
      </cx:plotAreaRegion>
    </cx:plotArea>
    <cx:legend pos="r" align="min" overlay="0">
      <cx:txPr>
        <a:bodyPr spcFirstLastPara="1" vertOverflow="ellipsis" horzOverflow="overflow" wrap="square" lIns="0" tIns="0" rIns="0" bIns="0" anchor="ctr" anchorCtr="1"/>
        <a:lstStyle/>
        <a:p>
          <a:pPr algn="ctr" rtl="0">
            <a:defRPr/>
          </a:pPr>
          <a:endParaRPr lang="es-ES" sz="900" b="0" i="0" u="none" strike="noStrike" baseline="0">
            <a:ln>
              <a:noFill/>
            </a:ln>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entityId">
        <cx:lvl ptCount="8">
          <cx:pt idx="0">10106924</cx:pt>
          <cx:pt idx="1">10106936</cx:pt>
          <cx:pt idx="2">10106929</cx:pt>
          <cx:pt idx="3">9421486</cx:pt>
          <cx:pt idx="4">10106933</cx:pt>
          <cx:pt idx="5">10106930</cx:pt>
          <cx:pt idx="6">10106928</cx:pt>
          <cx:pt idx="7">10106951</cx:pt>
        </cx:lvl>
      </cx:strDim>
      <cx:strDim type="cat">
        <cx:f>_xlchart.v6.1</cx:f>
        <cx:nf>_xlchart.v6.0</cx:nf>
      </cx:strDim>
      <cx:numDim type="colorVal">
        <cx:f>_xlchart.v6.3</cx:f>
        <cx:nf>_xlchart.v6.2</cx:nf>
      </cx:numDim>
    </cx:data>
  </cx:chartData>
  <cx:chart>
    <cx:title pos="t" align="ctr" overlay="0">
      <cx:tx>
        <cx:txData>
          <cx:v>Gas production</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Gas production</a:t>
          </a:r>
        </a:p>
      </cx:txPr>
    </cx:title>
    <cx:plotArea>
      <cx:plotAreaRegion>
        <cx:series layoutId="regionMap" uniqueId="{A0D17D48-951A-4646-9730-F0485CA32A9C}">
          <cx:tx>
            <cx:txData>
              <cx:f>_xlchart.v6.2</cx:f>
              <cx:v> Gas production Mscf/d </cx:v>
            </cx:txData>
          </cx:tx>
          <cx:spPr>
            <a:solidFill>
              <a:schemeClr val="bg1">
                <a:lumMod val="95000"/>
              </a:schemeClr>
            </a:solidFill>
          </cx:spPr>
          <cx:dataLabels>
            <cx:txPr>
              <a:bodyPr spcFirstLastPara="1" vertOverflow="ellipsis" horzOverflow="overflow" wrap="square" lIns="0" tIns="0" rIns="0" bIns="0" anchor="ctr" anchorCtr="1"/>
              <a:lstStyle/>
              <a:p>
                <a:pPr algn="ctr" rtl="0">
                  <a:defRPr sz="500"/>
                </a:pPr>
                <a:endParaRPr lang="es-ES" sz="500" b="0" i="0" u="none" strike="noStrike" baseline="0">
                  <a:solidFill>
                    <a:sysClr val="windowText" lastClr="000000">
                      <a:lumMod val="65000"/>
                      <a:lumOff val="35000"/>
                    </a:sysClr>
                  </a:solidFill>
                  <a:latin typeface="Calibri" panose="020F0502020204030204"/>
                </a:endParaRPr>
              </a:p>
            </cx:txPr>
            <cx:visibility seriesName="0" categoryName="1" value="0"/>
            <cx:separator>, </cx:separator>
          </cx:dataLabels>
          <cx:dataId val="0"/>
          <cx:layoutPr>
            <cx:geography cultureLanguage="es-ES" cultureRegion="CO" attribution="Con tecnología de Bing">
              <cx:geoCache provider="{E9337A44-BEBE-4D9F-B70C-5C5E7DAFC167}">
                <cx:binary>lHpZk+QotuZfKcvnURUghKS22/cBSb7GnhG5vWCRmREIBEgCtP76OdlV09M9y7UZs3hxl7scwTnn
2+I/fqx/+2HeXv1vqzUu/O3H+vcPbYzD3/74I/xo3+xr+N2qH74P/Xv8/Udv/+jf39WPtz9++tdF
OfkHQZj+8aN99fFt/fCf/wF3k299/RpfGxdV3B6nN789vYXJxPBfXv2/XPzt7R+3ed6Gt79/eP1p
latViF79iB/+unT++fcPGGHESpJ/+O2Pf73PX5+4e7Xw5U8KVvnz9f/8tbfXEP/+IWH57xSVBSlw
wVCa4Yx9+G15+8elHP+O8jwvyhQxRhEj2YffXO9j+/cP7PeUUILLHKUspylm9MNvoZ9+XSK/57/e
K4sip/C1FOX/3KOH3myyd//clb9e/+Ym+9ArF8PfP9Bfvz/8+blfj5llBSyK5YhmZc4QLAMWMfx4
fYKDgI/j/9amYnVRdqqmKne11tqYaiIzvd/MPp6skOLeDEQlnM0Tu5JS2Fun9P46xj7yLih0mxCc
cMdKczvNm7r1MrqzdLRLqhCS7mTWFD5JPVv44BStmMZZI3B4EFbc7zuul4LQtJkyNdG6dZI++D3T
Ix9hDyzPU6wmvqeUJVymidkrpCJ570nGznGbl5QnRtDnYWXjQRQ2v+yy9Ee7x+SGdln5pUiXKa/y
LSlui24bT6Id5WdUJLiWiA7HMRT7ZejDdrBabsd8Et1njzp1WMcOP9AsGy9MJu3bGDtyTqPt6qSd
2xPpPXrItUEnveTsRgY7T3wSbH9kk2a3JcrXV4aW9Z0ahS7ZNJeqMS2eXnqZy4Rn1O3PqZLFZSRk
uhFt1LrOdRE/hzhkRyqWeJxWsl1pyNoL0ql2B5WEeCrX0G2clF1x8rNY+0qppX8Qol2O+aDSZ7p1
5NIJlz5Zu4WkMjIJVzVSfFkQJqQOOixf49yaqtB50TezzshtksvxiMiIGjH24rtx1BzpKMP3wbSu
4ynzTPNu8+rRhyTcZB0rb9JlTp5T4/2p8yupsDBOcSVa9FYMWTvXzk5zLeOeKD7hvP3my7Kt+jjT
nm9hxY9iSUrNU5xun/uyXb6xaO1jtkzzYTdemKplwrymrt+/92IVnKAVv6zCphNfKRI3anc+1Em0
+5n00/JciIFWSz+xc1Z6X8mpXFWddDNW3CV5eTu6drSVJEN3LTs73cxE6J/eWxOqrDXqedCFrGPS
5aqKAx2qeWyV4xNbzWGQefdU5jL9vMupPWorzScvC3ZNBjfqo0tnGqoxy9T31IvkZY6K8JAYO5+m
ZEPHpJxmxYe57K4s7mvj0nS8wTAGPJ+FEMe+xOh2WYh9p7IwRzVo7GqB0vkmpTNqiNW654szRe2L
3L0vIuksL3AbrhYa0HPZsqyvimK2z7idN46k3w8Wp2bh81y446xDz904hOeWbvCjKMunn6WS4928
W/MwOes1J6uAc9KzmXjqJX5Ubb43FK/rLc1tFiqFWF63lrkmmbv2ZfalaKBokpTvdF8sN2nGDjDO
urelDMsZ2UCPNklQwn1q88PaDeLgEdRuvakNXXU+mc9r0D7weaXTe8xnUXdq95+XTCHPXTFMJSfF
PCAusOtctaVdd201CvesTdnrMrt15m0Z88Yoz64z6+TLUCzswFwP7w0knja9tz+9jv3ZTZm5sGFC
Ld9WbOtEhjZrZCynK8Nuvphp9dfdDGldGDV/UwSbJ+3y3XI9eqPqkAj7Y0YTHR6nDhF8zlG7n5AR
bjwtLrik0ilGkhcsS5/mEYm7ss+E5QytG4YBlmx3aghCwoFnyamLMf4I+SZbTmZGFe+lpV/9lvWP
s0VWcEEo/Ybl6hhPFjRLnvvcLrwPvkybcs8L3JgehjnfGS3hBJCPSzWNeBSV9UR9dmmMb6XL3FkH
P9xkfp6nZsejxo3fSP8Z9j355PvReo6dnL/iUSb4sCMSilNcsiD5uGboxazI4WPscvY+IsI27tt+
eGM0KVuehx5/zmNH8cExg9pji8pJVDlZYOXTWpCqUIVSVVsQ93ML/fwyON/3Ncu69owMgkuon4qR
qyRxP5NUOFWzBbHHhW1EVFNO0ksIC/HVtpSlqoYCzbeimNIf/d5ne1VkKXNHtCZx4VnWT3ntkr1N
eRR7m93Peu5ivRaivfpyxJ8KuyTXUbXyTRWLHfgEc0DwQNu0OGbMrk8tHYXjJHfrm50mHBooUKhd
Knp/p6gJbS3s2j0kLs++iaDWnRfS6zOc/1jUQRXDwNGipndTTq7nPYYJCog1hJ9hTYvnbqR7W/nF
ym/TWiZPQrggq7im7Tdpx3jJAUwe0LLb41R2eOQ6KdpbPeEU8dGlC+Kxx+NH0avW8r6ledtEgjdW
u2KKscpnNpzZNHnGMxSWm4yxnnBRZuRrr50U52LVmNUhL7PhJLJ+645DoNlciUmLN0Cr4m3ZAhEc
9a1ar27bhg4WX5DrkG5aw2aZdeIbKtLndirtR68oeRvGsJEL2sr2xy5bwJV8K7ICxh5yL4krCeMW
+vAj2XfJKsW2DV3Gsc9QJYtNyirXIbsZwlwklZzT6VsOPf2tFbL7OmSDb7ZiH263VKOe70MvymoN
zq48zp0gn0VaCtRgkw/6Io1HY9M5pE8BUPqeyS5vK1JMg6o2Kld9GDdHDklEvh0uWeb6LNxrU3pV
1lEOxcAj1uVX6i19jsxnHcdFzyLPN20eURLyk+6W8qXEsJ6AmDoSIDWKp1OSnnJl35aM+E/liEbD
IzW+YR1G8FxFaAqPyqPzsTua0k2vGBdWcaL2ahjm5BSpIo9u7eZvWLupKmJR+MoAGOpKrV4fKU2K
n2OXr4d/sNM//mTI/8b+fvQDALJs/6LI/3z5n/fDm/sY/dtbvH0d/uPXV//ntX9/CTTyrzv/4t7/
9uJ/I+L/SpH/Xy/+Gw//0U8u/qL1UvXuXwl1hv8rBl71prff1b9R8F/f+B/km/1eZBhnBaYEFWVB
gUb/Rb4LDDyaUIZgYJc5Yb948V/kG6e/p0VWFiWGP5qXtPwn+U7o7wTYeFGWpCwZgTuT/x/2DYsg
/wv9zrOS4l+/RtKUYFSC4PhX+h2AQWsrVFcjv5B7ZWfA3otuU2XsYwtTUySA6ThZXVOgMeQfwzAv
9ERE4rM73CUrVKuc7/Ewvu/7fE7z+V3HVSaPa1ZKVdlBzEsdZ6bebbpjnq1ASg5bj/PtiZYYujMV
ArlzJ50jHXeKEHPYMRoyngTZbUBXYpyfXavlXhODxvWTLRYTfCU0XsnrXPS9qcaujH2VacSWalhN
VvIxG4y5TrsqE64clv7Jt7MM53Un7c6Jm0X6fe7RNLzPwan5mKWqo3xpf9V8TOZt4nk5D6YRU5K7
p3nQO62c0/EJdbALlYnlaKq+tUt2QGmSB25NbkMje9QNfNn1TI64nJDh7c5YXvXj1FPedcC1au1H
1le002tyEYtsywqWxsy5pS63vJ0HMTTCyB5gaB3bnncynzzs5OyQz/madMo227CToQ7RRHnRZtH6
Tsdy2z/1bYeU/IGCLb/lzjvN9cx8CfzLJo/ZmElA+7UvEp50LrwOIjPwztQ7gNS0RXPLfWLy4pts
9UL5SOZFfPODUA7xNdB1O0zBCf2FbliZ29FnrTxHSru+dnO/DxUNqbInQ9tA6rakia9Fsfb7Z89S
wP6NTSUgsIsJNrxMxn53vERhfzKix/JYkoj252lB41eF4gzgk2991jaOzjZtWmp92wTck7Ea25jG
U1/sEp+s3qgOIMFg9XcmFHa+WoyEuVJWjF1lt31Cxyndk64pEtnOl47KQJtdWtWd6bpreplZOy6P
lI5rcSVbik29xzxtbye6bxsUlSsVB73GzjRYPJ5k6Qyt0yGbEFAft70vsejW2kYgV9k5CDq2FygU
nfElqD7wsdiX/cllgcGHOuR9Ewwr8cNgJzE1U2IKdtOtNNnOqYW+qEPWZX3PW78t28zVPKH8Jm4x
p5Ue6Koqvw9zdykHrfpDV7CtbZbW++01z5EYvuPBj32N51mN1z8p1z4nU34NYRDiVSZ92T8nYtf6
EEvlZfMPIjUlYpm+tAETIHsKCmB+zHZU6B8bgF3R/CsRchLh4ryEfcmufxKfLSl7lfF9G4GWBJQt
sWGp2c1jV7SmPbvoRPaQ7Guibv6kLiMTpT4iNgJO14lFauDDZHVXF4XLgcn8SS6I8FPfoH0t0VlP
k+2HyMNUsHBSQmzLTZxm0T11MmxpbQzK2GUKYlwO1CSa1qRfR/1Zttt2Dd0Ae2fpbD7JYSO4WYXT
S5W6fFLngPNo4HQLv10Zm9f5dbeFTqt9Mm5sShySvC5Jsb4XBTTwTautg/IYjBWew7l7dyqmTUAP
gSK2+bHFUI4NaKc0O8w9rPkrAdk6VFaBb3IBTV6g85i30XxdVz3gerajVVeZgXq90E5CtfRuGMZG
5RSN3yeUrvLZRl+AHlxpEcYatI5bDDcrnvyT3Ych/Mh9UTwjTcxQ7Y7Jq8QrTqFsh+yzMPOEKzlQ
K8/BsbDVeDTlzhfjl7mZGEryJvS0gFk7DMnXrqWl48DmWbWQKFaObK6Pc5eNTyWMGgelJ3SsMirB
TjHAaWYu2Uyutk3M0sDc8qrGXeiuk5Nt4MA0imtKiLsRcSUO2GFqG5Mb/LOldPuerR4pDuRxvqGx
XX2tk7B89FSSZgNn4SGUaTHxdhl6SXhctAj1QAVL6n3qUnE7mjbkdUKHuDW4I50A8iNjeDUzLVyV
gV7fa09pEFyRPnSnHO1ld9pBK4Nw8QRty1FLpiV4ANMGHe6FSDeYEfkwX9iijDsJkbFviyVE3tis
LY08Qd358T2OKtleAhRBtFXMAq48KL3GxvhSgHaQpHyQqH2KGl/Xko0Vcsslh07ie0+e17F4GnO6
AG2G8ZdjErmmC7g9WZJXXbCMszCgE6KJOsmejRdh59igSWI+9NmX6LKHMBRHF+KjhlnIVQ9Fk6B9
rhexMziP1HDt4m1C8U1n1QhDNF3OhXT3eY8/+a79mOGt4Hgzb4taH8c9zPWeEZCGLLzJNXmVjN3r
FJDJbkvVbmm84BAyoJekuEGLp59T4lLeOTxfvOlObm7ba5Hu6JiNKcCKKewBdDl0RxjbKk26j8tQ
XgtNZ47BweIeCrzJ1ii/oEwC84QzGaSLx6wT+cUMtjxi0svHCC0qa+2GLuPT4uz9glmLDlhEekTt
8FNm1lVtsrbcQHc0c8deVdLJm3YNfZND88Ody65uJws4hnZa8GKI91vbtgDU7m5bt5X7TqqnXil2
KEx2Z4yIr0BnviQbZpXW6WWx3XOiWtMscNZHaNiWi6x9LfsR37d2jUfRL4GXilru8748oMyTt6jX
7n5Xy3u+re2hRJuuJpNfEts+kd2Wt2ydH2cCRkDXu/TYTet29P0gwPQZXk3f0aetXdpPiZ3sJbbZ
UPdrl33ZwBi6OhCex8RFegJXKqkUdt/BTgk8H6abPRnzOmDr6j3FogoxkdyBi/g9zOjWGHNTYHsX
dxibbuz1YRbDWCV9xppyK17bTo6cuRlcmN2X4HTYay533QCa12Oq+iqWpj+tdDuQST3A1i03FGqq
X+LGp3F4s9AJfMHDyTvQ7x7MqZ1879vxpEe6cBLMrcr2CxjKWV124WYfW111BORrzNxBG/fQteg8
yfwHjeEc0Hxo01LyUqyHZV0PLWmPpG3tq046f1pa+bPLNeZutdlxWYM96q38MpdrAjWNj/mys0qm
/XGd9bHIZdVOiFTdUiw1jIEn4N8fO5xeQeTdBCk23gvf8a0I11XLykwwQ4mWSRPBSKliO3cHcLvQ
KUlSaOF5YDuX1LIjdmg8DKUsn+mu+o99q8NnRMn8UaYRgfPRio9qc5Ou1tSz86z7VnIstgio7XD3
Mg0RWFLOyoPtdbHxkOL2WqYrvREbUNTZT9PrNA/rS66K7gk+Yh5AocXagbF520af8taswwFod/E2
5EidUiBZJ7eVw91kd/lljmK767YuVuBdsXdGi+4huinWbAMRfAdctKPwsBgLvvs5VnGfwpe+LZP2
1BtSZLfrPGyaSyO2X5bl3odq0dvuD2CMltPZAY/+bhNgpRUtuzjWBUukaajf5o/Z1iqY/HPMtzO0
4RzreTKgW7NZOX1J2bRm33qj8nijIwZTdwm0/6q2hE1vBbgy+XHsjcO0Hjfp5FCVvU9YFXApCw62
k3xUJsBJ9yPQN066rli52lYVarRM6HFCk791uUefNuUjIMFAwSIY3ca70RcTPETcWT3lQRDQ9VgB
uzKgiOoduGU45mGKc+X9BNtApRkNMCQSy9MKvIbwYhL4e5+wz7rArqFkzTlm5aRBpUz3S7I1CYst
2BZTrMCoG2po2fXFrr67msUNJx1igLnYAQIvQ3Kw0rIqYwDFfZeW50X0iGda4wsMhGeT0/ZpXf34
4OSWXpXcMhjESJ/9jM79hL44zFC9jkRVSgfDe5p+ij77Rs3A7knef7R9gb+1ZPCX3iKA5+j7GnKE
5YST5K0cV3a/4/m13/PvyxzWxi7ddtFKteB5I3efRRuvdpjtMUDL3rakAIuatKoqF7O8DNtW1HHv
1QEYhn3fS7MdYIjvlbaqPUBdml9KYsKPw64z8BmmttHUJ0+gKFCzlLOpFegnoI62qGk5gJUMzg0L
IHtQcgkSKCVHKbEAESE5szVFt0DkwtGNLq+opLdm1AMf83y+Ibnw4DcWuOMUrKPn0qH+mk2DACre
mSNxg7ktmBgBd5afYywXsHVWfVROrOfS2aLq0/gJJkMLD1YczC+4EOt0Z2n2Mx/LiqblKRNZNW8G
8xGrJ5mmb3ijX102f5zwAtNS9boC2rdyMZdfo6COq0EZgPmpbMyYUe4s+UrSDHA+KTEEUP2F5TBn
lnbeK8dAV++CnRLF7tYhvfNJ/ATcb+MW7D6/yhc9hJMIc8enyG4T1r1OJHyB3MZxjfC9oOSmhDcj
ns8OFccF9wt41Vt/YqU0F8gBq3EwACyEJjwYnR2Kbrlbt+7ZzdPPDQXM92W4BeZ16zcUb3MFJCAV
XcpZR9/LHmwmsLMXQEl0Swg7dzlYvbbb02ZO/chjAVNUpsehDSNfVHb2Aj1HqY4Tg3UwCva5K2M8
+kRQDqHLjxbv42GKqq8FwEiVM9CIUsEM1EylXHWZ4VjCopOVpHyL67d0ZbXPN0BKyGwrNPgXJdlL
DEHzflOmiv30LCJ4ll058xTF4ejWfD7Htpy4hxF7HhbzCIFH7btoqg7QocFeHAZNYGgk+q6cwSrF
W7lWftZlAy66rAa7fdJ6ukHRk2YsEyilBFTeQjRX3jz7OD4iFtCx7yXi2+JIk6HxR5niwJcifdzl
WuEVPVNdPsxGX0gb7iH2rFqn13pxSj4OPh0OenHxRDqYP5okYFuEsQCHxXQPI3UUIkvfQURJpoUb
O+U3RgcGdwLHWiK23fSKQdyRuZ2jqUWVMOpmthBTggDeqylBd3uW39MtnNPVwWoKT6tsGwCgUXGF
VOBA0UaPZlP27BMocwISTRi71TvOP2Vj2VcuTSZIEsqnPl9uZmlut85iDpripFP5KaNbgxLScrd3
38A2uA3Z9tnM4WXrxqVp96SvNSIGSr84wcwbToVXqIFU09RAjZYquD2p8AIsdYPxwlfYC8hZhYRx
Ghd3O2xgGnRGPM/9aprBuhecDDdWpuUjxb04bxPccjRkO/Tgd9aTLPsbhJLhDDxuPI54oQA4+fQJ
2GoKMYLXFohg4c8+zEOo8EgzC57Dmh6yfe4GsHFssJUuByGrffHi+7gN87ntIpaHbNggN4vg1L/G
qVunppDDnp0gYgdUzFwH2VjZjuvK5w6rQ6nE/JRoQa50DxgoTAL/RgBu1bMqoImE2t4TOLTjhua1
kSnd7i2j4jAlcyjBadpsB7ODTgdJTTzl/RxOGQSS7wYn2SWCk3GOaATNxfB0bMkE/QdW7uZ4lEwV
8CUQanwCcVoNMxxzsi/tsUTFTPlkBIIxg4TNLuVe6vTa2S7cUpJMXyxmvj/qDsPIJjl4G+cSl/io
SlVewbxZyluDjTw7s3TQUWUn/NlZESu2p+EeBYLudyLKh7Zlm3oa9BrWs4l7erMr2hrYYOcvK+RB
x1Gu6E5jYDTHZFHS8RTyXVx34HSBUwABFQNBdwUKsTZexfW9FblrQFbhU7f3GMzDdCd1kcUExkFO
eJLoxyzZtxuF7fOYkv06kEx+MnZhtaBa3UuPwkfs5WO/z9dNFS/EB3/uCdDVjXl6cEo8t3o/wHmD
kmbp66YXchgTpjhd5czXAr9Yqx8FRJRTTFWVTuGBTljzNSvOqyZ3dLWHrk+bPkfjkYXsp9HDBYM2
mH3yza6Z5HH1l701qNGs/+ytvh8gcW2KQm0VBsesZja4iox2Arm3dlBlDHCPsYNM28aAEq0JBEAH
IKe3kyqA4zP91c/qpgMSWYHPCIFsN53Y1t+yrrwkedYkfi34XMzbwRtwFK0o+0eatRHMvbmrsUQI
ULKUTdGLpUkK0A0aglMefZ5eOoLVfQnK4D5zBBIXsBV6HrdfebqnsDrK8AC+XR/rsZzMzdKCK2ct
QncJoroi3XwL4TJ4COAWw7bYjHdtcmSmv5loeyr2+WPa6UbK4dETSLmmJOkgQzcncN26KqrkSkR4
SYdIK7x3XSNYXjYsiTAEKVXngaUWyLM4L2ygfGXJQxn3z2EZS4huxbNOAX8piV8Sn9xriDb5AC5L
FSgEbA6Ro1ZuAZoX7yaXA7IJ+0tU3IM1+72foZ5zcZe39lGvpMEkO8ptezILzSA9GmZuc5jrU5ec
8US+Jwm5glUsIfRMXnFZfMOK7GetdF/7BLRw3z2ILb/Z2HYbJTrvbfF5XbYG0quXYMgJDNPak3Cm
7X50+yLhHwpcowt/2kMPQZ7ApMrz5Xaj7TuR4WL39dbo8TFk2SOMncc8kS8yH98zCJJ78ABkCgSk
s9v9SDp31Dsoky3373NXxKpM509wtnXpC4D2oiFigmeZ3eet0I/jJgZOXXKmELVDWPkwx/7n0M9N
sqbQfuGQ/Xd2zqzJTmTL0v+l30nDJ3AeGzhTnJgjpAjpBVNocCYHHBwH/NfXOpn31pV0s5R227q7
ysrqMU0WeRgc973X+tZezHHqe0izeLeCsbzude5WWmaTUKg4xkcaGHSQdudXdqIQ8Hnd3y+UP7WV
GFMuJpv6JrpfuuAWSt1NrF2dEa4/N0H42kbl3YWBmacEB7V4hz1/yqd+MplfYSUOi3wZ5jFtpVUZ
1S6E2BpHdwTtHbqRrU+LAo7/VDT0YIvwpFzAs6bEATuQeHg/WcjtBC51OowoFs3wDk/wTtbuavZz
ZuV6rPvwnDhUVKZYr+qo3Us+nBtpdpxDO/FEVrk3TZmtW6hTfPkvOkxEqrpB7RPF57QfyxPUxXQR
/aepWg4oKt8pyQ6+7t/abbyFJHat2vlztVmBRdk+N/W4Gz3fjetwV4/szrQVEIBpzSEQ5k1QX6M+
/VhH9UNbF1nrob5o+yleRABKIsGHR8tLATcd2OKrVKOPap25s2X5AtbmuW/GKl07o45lP37tnYLE
jUYQ5QzJB12dZNdq2HnJ2zoVb7YRe6PKZzYln3Cj9TlS6201YWFeKiUALWUxX0M5z1YdDBlrwUPR
Mih3gg7PHU0Obu36T1yL5GrW1ZhOl5qFLgSfZt09rM1U5Ek14K/FWu6cn+/jAvIHpf19tWz7LggS
UFPtnhbDcxNN73m/iB3tjd/HcfQlHqLgME+aZ8Mo+j0P1CPUn88diKklIAH6tvhScPpzVZCbUZoy
XdzwIKAWZZuZj5YseKhifpjLFaujV892ca/4VMtjNSQHaeizrNrT7Ns+Hddg2YMtcXK/dtNyJcKk
flOWbjfUW9jbsgE9kxsqG7wSzW7mYpgAs4T0Cm4KJAFYRqiHQpPBFGg+c+dI5tAmv0oViNM2EBT9
rPD8OoK8/AS/xj/yfvM3rJ2nvJwiiA0cFMFTUM3kBB1rvdZROH6uoGbZbDEAf1CdFG5fzOH6wbZa
HQ0a/3PiV/JhHPn4CbLKmzMbZJX4Irq4soAzInCKl1WI/9RFVmzV/djSKi2n4Fk61h06nMZ9LNos
ZtVOLfN8IxcTH9GI3okhhGY/bzTzIfFpooXZmWrJSRBDGa7jKlUUXylooLwGXpeGCT4TqB0uRUvw
wBt+Rdj4BN8PyzSWG+CXht1XjNkUumgI18m0OR5XifcUrWkDTT3VJm5SKLKPQT/ItG9Nnnj5sulo
xMNvPkZ1/NajPs7mshEZG5yB1Vi8qLHMW9lPIGLC9S2q4tetlMGrmPoDjKRxF3J/1DZ8LAh5Gw37
UsZrlkQ+yFkMpYC75mVb1zAbYJfktaF9OhQotQlcjpO4NKEAOab9WOH1rY6d2tk/x2UAiKC1r7YJ
rmNF7yZHbq2hW670FB3V1CZZp8iURzjUgaboNg2qqUojdFqkG85xUh37oMZGb/wrtIs7HY+f2jB8
qoTxKZn7Nx9t4S0Z3ZFw/lSsXkFLgHK/svYEHOHEsOjWzfC0XFHD6CIcjwJCxW7mluaVGKq8cQ7A
IMflQyu551tvsm0dIJ3BQfoYjheJoYv53lAtvvam6q4lm0k6r4s5tYqWT2xYqqe18+5KUHz0VC7r
nbRFC7V3AGMRYSHnMIPqO9hGArzKGPUCTmbSQRwu6ydnqLolc9Cfp2RCvzeFNMAGyk37FV5d2KVL
UIRvydi6VJoE/h9WayZbs9xHbSkgYc90x7RW71VQsWsry/JEPMOaBxEzkD0O3+hWQJU9BXHP772N
eL4svmyCdG00em3wQfic6qWFwo7Lo8wbsDARCqhSrjsIWVBn+srOD3SdV4j03ljwUyWLB6iH0DvS
NtzIaa1GyJwGHZRek/rbmFQ4xFnHrg2busd27bpr5vr4ivUbPSZJoL/RhamzI5t5KEgSibSsmgk/
SjoOaARICV5TCehGqvXU+M6cElYuV6QwYtfYJHwH4YzZHDsgeWXNHGbtMEYX8am7tbQPDgVxy7Fg
/XQgfBzPPYFXNqkutumWaJYXwxDtNfiQ+2AbsBHXwlKb4SnN7zTr2fvo0nNNcsADBdhyKDtvISAE
orp1y8BPfLbzbpFRdYZ4Fe4XAjcq1cwNe+lR9jbhVJ/EQmyUlobWueslzvQqbqYsGor2VAQqyAIK
nikL1cLPZivZNy0UgJ+ttUxn3CbNjliFWtyLNukfSTttYQrmlKbGoxSD2vOOwK+RmVNL9ZG4sHzf
C9vsNIyHIYd5CkWoWfwXBcc1n03LHrqLsKuJUrlsWP1StjA4TVKHN7VeJ9SyUqJG4eKO1vFyP0a+
9nk79HW0C6F87bd5VbtmEiO2Piket/EukNBJALVRwGnpksitgRseL1fUTupIVnvsitY3adFBr0tB
LtR5CS+yfRTGCL0vbFOXu0C57ispGPlSTMlytQHR/MpZVFS564rpYwEl4r1jTR+BnQJ9lTpfyZuh
ZSVJW+Prj2AK149dGfZih3LGinO0JcG05zoZV51ONb5lXACahtQt0eSgFoH/SrdhXBTqu5HgnIgd
K3bEQN6ECOm3NrpXcYm9ICrUuBx9X6LQAwpI4tNGl6OoLnLhwBuHp1jS6iyKPnkn0av3+cZbBp6i
w4Gzm/tiCg5EbUm0j0Fhww/uFlRSi72gRPO8sd3AEtvmbQIBMJ1Ex/WuGjvY9U2yoAwdNzh8qQZN
qDJlYqmOgm7tFVllafeWO/sGARYcpiYTXJrZJjaBhkvNK8gVnDCVAOycFUO7jntLFZNXrRzK24rg
+Mur2B2gAMfkCJy69o8AUS6rqRzokmvGfNdAz+jIl74L4FDKoMNOGwFNW/dKz1BRheJoZfGPYDcA
FV9kqMKjopwL1vAd4Tig86mbebSrQ9npc4kjV8JmEtrcRE7J6qZfoQN/EqJpxQ1oX/CpUyO6D1M9
LyuumrbwRshMti1VRgBxA6qhzWp7GC1F8pV2m/hWRKgpUg+VcDon1aofZOkCnU0Qi7J6BAORBbL3
0ExAi4CGnawcDiK0nctBcDb9ji7QkE5zEtqvPKCwOEIfbmHelv5dsSRbKuQAGzXhHjuGbarPGoDr
sBsAmyZQEDoGGkQnyfZILArqsLd6Ps+Uyc8wObY1A/wzr/lcFABwwiiQIbDZorlRifPfbLOi6Y/C
ITR5UCBdcQh1EMtdubbjkAchfI7UVnNV5j0ox2u+bHS9dhdk5IDKG5QvWrMSzWgtJ3ae+wlqGdaQ
2PbLxmMgD1FS+PWaBzPIPQC5cZAva6XvBugZahcpIBUZ2Gc13s0VU2y3JQxkZjxD4Dk4B+rkerRB
Is5zo4f7eC08yzQlZ4tjdkGHNa/NU42ab7yhs3IoaHxAge1EBZYhjLclQFnfSfBIazgYPM7aDylY
KIAjC0+wE5MIhcKOuI7pvYsDssKrNzrZdfUUfC6HMGTXA+AcKB/EQU7qC1N/WX1cFqmNegZitMaN
ml4+uKAHQAJSJ3JAbJqSZVjBkCGbKoGtpMMiKbJhW9YnoEHgNCGw1e+kX6l82NTSvtXCT/60xGVp
njXAB7K3UYB2PpzUUKY1irbifRvRVd+A0a5s6vB/WWGYlTPO6LVgE8og1+kPcXApgXhQqhpV+CQh
UNMp2l7EKELQsXIpYyjV9RhlcVuW71HrMpmaAOmFh6ij/sti5sLnGhz7lNqg8q9NHcE53YpO8hRx
l/mNGK+brNIlNEO7xHy8G1TrvsH+rJsLSOrcbkj8tKaExOy9p1qj/IoNDtMBakaTgcsK1q8hXCSz
V6Br4kOYOFVmYSmjGB9Y6TTq8LpWVy2tt28cEQhyYmPL5a4fWpek7bb67hyHfQe6cRnAUnWi5u3e
JbaM0krX9L3jC98Ohsdi28VUFJ9KiLzzRwFIY7oagpqOuaqFwT4ej0uSWZQ7EIwDHVyjLQehH2HN
sDRx8fTYuTG83foCEY1KBZ3Ip23sQa7OLTgbbOZoqYGrtMcVMNQeuyHA1NC5IWsaWsMJ39AXotbT
TFxHZjVjXpVhO121TCUc2+KI7RPmBlwK28YEdj88/S6faw43XpSer/vCGTO/wMOUnwoYjdBVSUs/
U50EL0UjBpcnW8vR6GNxwBEYEq73vVtH8QDFgzVZKDaw0aaYYn5dL8F4x+uhAw9aTZ7Cw+YjzWyw
rOKEndays03QQOQLELMpt50SBmdc74u8JdG8Zfh4bXnds4IBKVtFc9Mq/MNZj0RXWWO2Bv60lCs+
i2Fa7lDTrdWeTQygV9UF7Xi2g4dKRgbQ1qg7WVNeT5BHfFrIyH7Wm+n1vjOFmrKp3ZjINhgp5rAx
w6tDiRrF4m788tli/SQQ10IhD7RqAEyVSq3DgRRN8ZZwFfgDGCgtD8HMx2QfuRC2r69LA2prXDvU
YXPZV9lS6QhKYenGG5NUrNmZWgiHE3Dxd0gO0DVrpzau0xH5BoAmA0AUdNB9WF2NVNt1B2oGOwer
LZ9Ovre/R0jGZNpFxRxvmcbfih2HKjhl8YKEymEyYMXQcbcwBMse4lzGqR4qvqYGvMC7pt8uulGw
8S2L+4lsV21NRVCmkrcKH5OONn9LYo5sCE8WMV+2FKqxy+DEjtLvYNc/SW9d4NB/ZLckSpo4CUnE
YkElmhgK8vUHeLTDBtnpkqKpKkZ8DXYi2JrYuOdzMKR4ks1xM4df/ybg1x9/M0ZEBPgrwf4eg4O9
AK3f5cUI4xWk+YbliIaEj7GE6siMAZLa9NMesnSxR4Rryxs8iGwRo5//4p4vebQf7jkOI0YFzE/G
KfJxP90zVLzSbwK/b03n96Qq3TGmG3iJsFy//vpW/+yneAgyXsbggOOf2Vy/oPAcSuRCCB3bWxqi
IQ8AzOWNauTjr3+KXC77x9uigIl5BDAyAt4g2I+PVVX4uhEH4SgzNpC2MxRFZVBgirwwQXhdzxOE
r2ZECbRh8x0gwadzGIXZry/jxzAgFlRMJZeQokMcFhARfroKVOt6xq7BEN3S9K1BYeqytQnadDBt
9zChHfN/8Yv/tIRj3GuUxJKCgiZx9NNyQnNcVPgmcZt9VKZ97RDB0GEOCPi1HMMHowAI/voe//mt
MsG5YIhRQj+U9PIMvlvAo16R93CLyGHLdDlKUp+yFpBQGDv7F9/KPz1OyWOJxEXCIsEZ4/LHn2IO
vNsyW3DMpDav5SrrKz9zgvgIlIS+TYLjr28NOPuPiwg/xqOYcg7anfHkp1szrBxqoTq0BNKweheY
CgDcCm1R/sVb+5MfigkWi0B1h83n52eYrDOOm7UHKDCG7glMbHm7chfvfn075J9/Rkqoe1QAGORx
xC+L57tXNW+A41fF612nBdt3fU0PDeENjoSpzkZIR5kapU9xEe83ZF12IDm6tOFdmcWyvHQEKwzq
GMmrX1/X5bX98K2iqf3+sn56rV1T4GadqHdbVwL+aAAi+FkrfJZBkwkv7E2jVH3fFgn9iwX1Tw8E
+y1eKz4ZRghhvz+w7x7IgOgr1lnTQmRh3XVfbMn9VoXxX/zKz18Il9jYJUU0AqsWlfNP9xdCr2hh
shF49yAkRlmtdz3qvFTWRZn/+lH+fEP4/iTjBGcKRZaZsZ9W7MhAt6N7ryE7EzhlPmpGQPvrEC9/
sZZ+viesVOQrcHLEFGiXiMIfl9IUgn6ZzFzuybrR8Ub0rn7k0RoC7gFz4v64rX8paXPz94z7j7Ga
36My/8jc/BfN4/xFLp7hYPiPc/H/GwF7YGw/xnL+CNRf/vBv4ZyY/YZ1JiTefIS1jIT8v4dz4vg3
grM9QSqd4+/E5VT4WzhH/iZlQkXCmGSIziM1/+/hHPEbkjQRTbAFspBQvOV/JZvz0+aDYDzKzSQU
uAJcAK4EV/6fsfkk9LJUf9h+IlQ+TMYRAvsoOthPu6IVeib9MNN8GLUurkGsQOwx22aHVC/J8FmG
G1UZ+Nr5ZsWnlKMjljdoIcRZdnI56m7ybx79x9l1JSgo5SPUxBeJIGv8amDzaSfed4VBg5zMkMXU
6gykOk2Gb2qpp+O6lckuuLh8YVhFH+euHsCmMvdItiD8SBLIDvBSmkcROrmD/aH2cizW27JZ1X0V
YGZEaqqweh1BWQNyZ+HwjjoLxgcKpoHrHpXjPVOiv3YoZc+9b3iE5CyR5cUMho+yLRI1wTzaye8Q
Z1K70FYTpgxsNNz3WycdErSuCHDIuvqbhZEeZlM1DGuGlHByKqpCo7ooEHDusMtBvC9iARWn2ZAl
jVra3o4UkxQyHlbLS6dWtPBBCDA0m4lqZlQpSJfmFq44u0nWPo7yYS6j8arWrQhOqqDTksdirm9s
tS7HGiIhbBsrgFRAb9Afeme7F5zH6oG4ErKBivz4GXEUoMIFLjTYe4j4QxaSxr9NpYqAjo/NqQ9C
9l5FfbcHR9PegtKAAsEQT0udDrtPBhA/DF9D6LFkjm2noLH1M2yc5Tp2oXmNmrlGbOOS4Y23pX2x
Uwnma2r69tvaBfWzG6rpFunD6RqqGRytuW++omiZMDMg6B4jbI8xbLWqOQe13vjeT/IWGY7kC0DS
8AwHtLwlGqHc0ortYYm7+nkDIfe4OV/cW4E2M19CPeC3l6LkadHz4o2wsgfmHoffxrVtP00amGuG
PA75IsdkzFg1bTdSFgqAX2K3NqNF2Z9QiQN8krWfAHm6pHhU7vJYmYJbXHsWwFKUTQ3RdS3PiEvp
Hl1gTGeQTcl42sZOYfSAMurKIQDzHIHSvdfdCL9/CaJb6VRkUsx8gMi1yb4D+DCGC6jX3hUbMiPK
AuCo48uYCDGyr7REjxWHY9Ps0UMGNxFYF7+r0AFfT6TVEGqWZfgKxZu9oO0M1otJD4gGZ/rb3AYB
9FBGPsw1VHQU8R0sbzDlsJxA1H+0yNa/JkjafGaBdTcBSVymSxMdoZTXJ4RuBqTrxg6mdOUASqzb
cC4KjHFIFwSmvtV0409mMQJRFlV09xYJF4hxw3zj7bA8J3Hn3+FwTE6EFTHq0IZNN2uQNDf1woZ3
gbaty9QUDPUBqsT0yBH8b+AlNNX0ISgkArIK/uq5bBnMra1CVBbkSXUSAoMFQOiACtyEAzzdbXkk
vDlA60ZchvpGzIjaxhE2KIfRDZlK2uahc4D7mIEPUjXOZBSIyi4oIIuldTKKHUIroBSIIBkSXP3B
hkRlXZk08Pi6vnvXrCP+dy0d1L3vVnIEUSwekQ374jwpd2XhbZ3GMHxuWwRlrvCphzkAzhZNlJ+S
8xrxFR7K1F4ls/Hw2tmWzckskMUF6bcGUEVjjZ2kEwHhMI0JMjCu3LJ2AzRjiqHClgYlN0z6pcxa
iHWfpoav51nG4yswGnrHtuoFStN9AfUC5opowWYskwLhXIIGyuoy8p8rXtPrpqr0k6tpFKaD4tUj
NjOEYjZkY15k51pY9Mgn9VlfeZaPE9reljKg2W3tCMT5MY4+imoK7C2F1fQ3WExMk6wA7IQ8GyGA
nJqwKc4+kOSZkjmu7/0MOeoKdCq5ZePUJXuJ2SunCEA7wiBmul284rmtomXvZFyQ4x/Y2NAhTgOB
2SRXf8aOeSXij+MaPlBV9KlolE9rxcL95mjzqkxEv5ULOJdfgWSBb+yzFyVBHX9BJBrEeRgm05yC
OdJ54Td5+CuMbDQTS4dKErCu/9fRMeDwMxJW6N8oxnCkOAj0VdlhxkfdOZdCyq0Ov9NfjQrkXS2L
j5j8ge8SOzoIZELzLVhOc7ncRXUL2LmuwBzMaCIkEnlwXrxJjhuydZglUC34sOqL245I2R4jDeiX
n/gv6B/4ZiGnnf8H+/pPx77oiihVZO1/L+wrQnwzLRq4VMNFY/8T7Avh3uG9d4CJ/79jX6QVB83M
/yH2NVBMawmr+bpdkzyOjM7/CvpqRgAVwlT28c9hr8CChlpl9GvYS/P5REd1Q/zyDE4eZEACSTgI
EZsfYwwxEXTaYTIPKDfkYuN0SbrgqNre7KKkMve15uyhnq0H+ocBF0V/qVIjT149mfkTJPzwPFwy
ibVukrRPUDUbZFZT5Tg2z65lX2QStdla1+Ut1ZHK46JKdory56ZtVN7MLTwEtjRxNntlX1SlAGhO
cOJZawJUvO51gSX6gElEH5S8JFDJyq9YjOlESooBZiccsBRed52b2r0vCjmGWYBJVqCcBvkIMk69
8qotHktmwT46MZCdDcAnl7ZbTo2s6KFbRtBmFvwnxWA2D7J8sSE4IvCJPccclFo1Ousj+NnpClA9
uKpKWOlZV4BiLOL4K5LQl1FEy/0aTm+Oxy6nhTRPc7hAMm1Bl6BYqbOF+CmzcEZuUC8C0a7lp4rM
mO3BpjY3DWqasEa2vHJL85LYOnqPTXnNSk5uewxvISgLMfnGuAxuM5JNk38/TT3oQIE4rqO9S22X
SPAm/M6g8AD3H77vMFMN8AnAK2ZgtJQ4n4+sKXyqR/YxEgQMVkxIBrChPUdtVeUiqOqsDaBsBfGM
EwQvHVlzZu4J2PnUiOolaurnOAnAeiIPn7Z1iLINVsinqbeAvKJ2rnYI6IPL9xY28VbL02x6dTfI
VuMXfYm8k1t88DQhxHWbSLZmbAF52lSgOXDn06MG0XbWTCLvOWGhdq1KJvwOWc+29/R2GKoZ6WBA
MNdywYAoEHT1Y7NofVx7oGkCVfxXeHDLvTI0XlIlQvqEqnTcwULTeWMiNBNbj7E4KHzNXYl27Jiw
qcRIH1C/qaaIRNK2Hw8w27pDBCftI+IJdA+hHyIx0DADSDUJMU1qsfeSq3GHkQSAkDDUgeSVXfTn
AVDTTVnNcMpU1R2SWkz31TggzDDAK07refPXIzodJPY5+4Zcg8dItB7DL2SlqlMoOJYS5tv0+VIH
7rbxgL4I1tmBGmbOFj0GxgFs5rPrTHSO27m+jzGw6cmOCxDUrgLaE/Lkmk9q3g2qaF6BrIYZam4L
NiWxL0JrxHSQA9c7FWDt9ZFfj3JR6x6xbHsdtg5UCYmn5gSEDKAjqyuXBUbCRCTeHia7LGhmxnlU
GUCO4Wnhs7yV8RYj2gk++WWrAwxGI6qUWROH7UPLmydawBzHMC94JnqY4Y35+RBHtt5pjLfZQ4Nr
kFyd9XDAcI1QHQbA5i9DqAEXj/XyBYJLcjBzPd9SDOfKN0/pacS7Pivug92I2SYPfQzMJw3GSWIc
T009KqSlF1/UNi7nbo6SO6imwye9aAFXHDZleYMBOctjV3u7h0nQz9nsyvqt1Tr+1OpK3pJeTX1m
WgvSJXT1mmLSR79ThoQfdSvHD/PIhzzuSuCpXeGn0yCbYF9LaW/ksJobhK3GBvyvXqu0ie16Kwwd
AFg39as3GGQw8rLZG10Pu3LaRJVDrQ3v3bIiME8QiU8jWcAnHQfx++RBF/Z5P03s81gm7FhqGNm5
JcU0Z51WwaP3i72hyxC+ICvuzqCs42Mny/ABmyz5EuKabwUe66kZJ0xS8A0bc9YAbgAdUB042ezH
rooR3CkSjszVVpX8ZabUvnwnw93/oRF9P+3xT4RruB5REkFTSzBA6uLtfScf/78UriGZw21hMLdA
8jPy0y/XaDobY8BIrwSpg/Gt3m5+v7X/UVz/1x/CKYVy/h8rrjdf7afvpyb942/+Lrb+PmsUZqaE
2Ub477Lp38eQ8t+gpsLR5RDgIazGkM7/JrbiX2BJwufFVBHOaEQgNU5/jCElv2ERwYvAn1L4sLCC
/xWxlcc/ippQWwl03QRTUmAry4un/ePSXC2OnRiHWY54Fg9zZmMgy65uEB+WUzy3WYRP/pPpzYLt
ZqPRfULK8FvZY3wL4myYYuEKOQx2D/zOnqOJqfu1r9YXbDb1F4x5KD5Rt/rnTdNZA+cAxRnyYdmP
cktuZ+DN22X8qUYu1Joti1xcXwHwsU+UUMyZQ1DraIir8j6EL4GYvoERjE5zv4mi+DwA9P+KuWb9
jhXzeKdXZs++tOFV0EXr3TAsDTLbiNGHSsUv0xzH+6qS3Z01UfUWoWYBLLHaV8Ka6i7q+zhzMQc/
XjFkB1Ollg1ZB85uqkhud0UvMIGGJxVCNRzBiUqPCBzU3mV2aduTU6I+br2cvi5cqUttV78DkQeC
sh3Lj6uYMfCmLACTwme+weTH6LGukVJj7TZ90MUSfSJtD3qwH8BYeRgpJ4yri943W8X8TtOyv7Y4
Lc81rdqnGkwnZIohGhDLMerQYOTSqbJjdBU0kb9SHPJQOixh9xWzDyaExRAD3GEUFwZptAjGPpJw
jHE+xz5JZxqs99WsHYYfYLjIDSbEkfs57pCtVhjbleNhsavENfoM5Xf+Imck1QHQtMUZkXl9aOEf
IQK7IqCbbPSWVbO5jSg45GAezIfOefoQY3zKu6qwEjBwiDlQGpGBgWzNB4zPUg+6bfWXZnHtlU/K
4oAog8TY1sZhCJBPVgyQaGqw6F1XvcRBlISQs4i7BiqC0Q5FE57WOWGninj+5AKs3wxSYXeuoiQ5
celmkKDOPeFBBFCabbgcYYOQR28FeFJMUBKfMaU1eULWA0oBQn0DRMtkdmEG9sg8Yyjgsjd1PGAc
a4O0D0V2XPBFvu/UvDQ5Zdo/YYpr/YDhR9s9LGgoyk0XyzYF01rs4K/AB/BjADAQsfcZ2KzEeCCD
SXcvKLPYLt6G7uxWpY8mSEDwdxuyYRgDZF7w9kHhYHzBMKO8X0fksTl9MGAH02ih3mAaStVcBapR
j6a76IKYsgp0YSMYzMMxbUhf6XIh+xUzCN4lUyLvoKl2WDRAhiCp9hdcXIg7jqF6R9fV7XnTMQOU
Fgt2lILXGmk5uuZsKcsj6Up7q6mVX+QKXadRYXz2m2IIJXMVn5cCS5CrmrEUhjByOnEI0g53rObf
p/75ph33iwvc9bAhTRvQlpwLLGty1RPkQH3LPd/LNayrjPJB3C+BZOi3SvKFdDIG6t/j+95j8E/0
SC9UVbapWtaZxdgefQWEfcJjQnj+tURgosyQa0C0iRr3gbeYzgCiqJsKoD/EdshwtqtJJ78hB+il
xQwb3eN6FXiqLxj6g2gSEPj5ZXOtWffYDWKatmu1ftRI/IG0ty1/34UQ6cOpKCVqccZOKFuWT3EU
6K+8F8MzXrc6YgpTBbJ1Kq43pMSB6VSGPGBGY0+wnofurQjMclaIgFxHImZ7EqjoQzeKzqbMkWED
3wxqKsUZDmbJ+bXYFY7zrGpbcZ1YbQ+YRqJPiIOiQwGonw/A+pEGmJsFpve/kXdmy3Ub2bb9lfMD
UACJBBJ4vLtv2G02IqUXBClS6JtED3z9GWDZVbJvuW748dzz5ghbprgb5Mq55hxzIojiDi+9sKKH
EcLWhpRseT3ifDv3MnG+j4my1+Uk++9E1PNmNWWjK16Sqagwu2sJXy2dnMWrXgzWdxETAxzWuJsr
45GYuu5XatQAVT01jIfa6eLkBufznK28Ms+iDYuybN56xGz0JmzEsucwIKB0aUQoI8MueYEoVpwb
ZsN4w2ekue8917rTpM1wyQWJ/1QUIyFH7miWtzJw8I48V8roqRms2CIECeHRj53ketBN6fM9aHkO
lYWHyFtL48OuZ+JmcY9XbBMx68DhCM36DiIHyK/acvbY9gTwpyrocDCGzyqJvYtC/S35tQJOnaTR
AfQGE5M537kJDi47SYCeDZdjzG1teBuommwTNrejV9XZrUUGa95M3BPOMlDpxunq/H7qbHufzYPa
witxt8GMWU0irO6DZEyugHXiy3Xw0p6MBEMmOdVxHwtlHwljeMcUNne1MkAG7zo8lPzBkEEYgoZG
LejdE343YzNyd7kCEE4YpYbsM0Zteus3Wb93ubdiPQ14ZlgV+xgenuoUon2TwGdDR0Qh3eu40ofS
yirrvsiAo6/8airTVd3mRJEKKfyrYpgKY59mI3JClDWsSBzS16w6TPa0bHfMDnm5CpsrnKZVtfV8
0GIr0mHZbUh881sxcJdbVY0nRpJwTfbg2WV21zIC8P0aTL6jQ2HraWekkfXs2CIasClrbpkaQB4s
CYih+1Kl3psKmvSNl7DwN9zJO56xE2tSJ4dIt/L1NG+wGPOxDbKmvAl8j8VR7zdcbSJug5ea7d8O
0Iu5MLWHuTg4qTYPRe6Tq60C3s8mGPvnYbYzmEyJdpYYS5X3+4A1R7oBDcSxY0DvAOecMWZgsFzj
Ph+O7uxa3dYye3nfd+DOVm7YqCsAELW1sjs9PeNAsfJ1Cs0Mpz3A4JLlhQq7DXCj7ibNgIUnpFlc
fn6F/drPgyrc4vBcciVVy0EydcFd4RZ4bdOxhcWnjaHy1jCouqvWzfwXwF7pWxjzO1tRNHNx/nzU
t2BT5DTsG5hm97OstLFWBjGDVViyjAtnwK3/sOD8rXH/f6Z14j8DTa9e/2vfvSZx/W/G+V/Apsr6
wqfdMjF7OYhhvst96vdx3v7CHQuwKQYB7ITewjz9bZy3xBd2tbbwlWNi8IOV8K9x3vxi+y7Tt5TC
4pam/hbX9I9mG8fBxqc81+N/gxGN+8afHApEdrNiYGm+Lev7IO3WJqZyh4PwlyvOv7nNWn+8M/Cb
WSaRR6W4MfguP/JPd4ZM8e2YfX7M0IZbi8dmUNo7Tw/rJMwQ4+x9EE74sv2btrj6zz/6z8a+P//k
xdb0y0W69EMSPhbRptG6atoNm3gEVUgB//mn/Pm6/uefsrzMv/wUi3fMhCzA7ydXK5KP63Tjb4zd
f/4hf3yvlheRmBz2ViZSTINYP//4Q+o6Aa48MpM0WwURjAD3Nvr4zz+CiyL/k18tK9ISXOyw5/DR
Etwcln//y2+SQoeeCBMGG7Bz5AgUaehedwP8lNrocJg2mEcSC1o/8K3a3LYgKr+LtMvhZUj9I5ya
ud2YY5w81gYHH8gideWMtvgpefjv4iiIro0xRXxNimk+zE6TbN0hQI1KVRPeuu4EidWNg/l6mZW+
Vbo2Xkbg3lddIOKT4AxGe5ojyRxkq3WdDdZ1Aw7x3SUAN62yIZKwtoLUuh0y3e6156Z3hQidfSs8
Nne/AgyhYU/E27OMsZ3c0f8DZbjoPs2WJ/44OoApgsxbgrvW2s6zcWf6kHnXn3TCKuDg2rUdIzEZ
FOu2bN3w0GR8qvF+m6d6LuVWI2yum8pdoGLcPlf2HHf9MbG0oQ8kYDCVVBrYCNJTODqP2uAAPyBl
maepMWW5lSDY1dq1ou44lCn6KrxGJgXRyuJt5HQ/K10jwXd2RdtDXTry6ZOnN+gFqQHg+zklcWxv
SDEBzh1l6f8kSsEIJFv7EEY2CcYZXGBEOLbvwbiVLsyMNg0eyFHbu5y/6hqvDED4rnC4gY4warH5
l9HDBDb4e9Zm5bWuLJKMfq/3UK70VV8Y6TUA5OHGC4J8P4iy2nDhK3eln5ob0i75GtzrtCbmDzum
VzBvldns2yGd0dffHV3whbW03BiNy53ab4dHI7Snx34QA5SfyNiRJxdXn4S5LG+mZyVD/WCYTnom
EA/1sRhmnSymF3mcmzp7T82wPRsSEO+jwKhySAlB7tukV2D63Nw/8aGDZCnFdPTMsn6ti0Iehtod
NtILxH2ajvkPLAXBsSvc+CaKQvk2RC17ZBb/t7brWfeCC/su7SO58G+a6m60+3qjCRNVN2MXSvs3
phz3hHYNhDl8naSZuft/MOXyyR2tk5mjC6y8KXJWlu6b+06a5n3t2O1DVdvFttSpmW/NkpT+EeVB
/qDVYGTJ9ImZQ3rQhOCANb39FWZuIKkqWHhPtsCi6xv9a9MDlvgVNkeBi91s9DjZtwEbkfS6bWmY
ATRrhumutJNUrfLYqJM1biYcHESYPO6WtujXA+P9g28R5OyHxR1vNf7GJFGzjpUfnUKVTGtbNsFN
J2VUrDAu2M+VDv0DM3904zTx+JW4jbhjmQKyJ4Db0opO3wp/GliAhQzlVQk+bmUJ3kx4VTFgE+Te
KlkFNeEuYrcErxs7djaFq+yG/Gw7XRSU0Y/Ka8SHcgPnvWgFt64+a7fDINtgVXag3XqKEE6WGFOI
ymbu7yJSJGpVmqLdhSBbgB1G6Vcoy6AA6kAs+ywjfrTcuax3YRs7V2lUTkfXE82pNpL4GOnIP+Sy
naJ1S+yHYFtgAvITvXhIKIf4sAyaFdY4xoqPPNTvnw/y/wVT12Is/mv59OG1aF+L94/6/9ZQlz/4
u4bK+LSY0BmSPoHxS1/T70OX/LLYWB3FSCZ9ogwc5f80rFqLOLJg5n8brf45dDlflLnMXFwzlUMg
gVDI7yD938af/1TlBLv3D6csYxeWUCEd1yMc43nY5v94ynaJYXOK5TzgPJUdQ7OIKsL6boiOl3XX
ZU9mxK5MrztYae9dBuxr2IJmhDpTd/mjJyMT21hMQ8aAdrbNehfzlrarqVpHVDQMu0woB9KPcBcS
c7w3q5wfwAffBDrCE3c3YEXnmy/Zdmxt7WXXtKtkElhMn5ymwknXftfmwyEEjYLnL0niA3fU9ElM
ObQVEGvwzbhd/UgMs3uH8+VdT6URnr0G4JGOwMShSrQUX8CCJuJVp17+lZahYkusm9R4NMEhyfx4
RjX1e9KTkoYRg2dC512XZuTee12fPc1qKn4KEl7E/ybPfo1U0pwIBnubMTIAPPdlCx5Cq5rr5cL3
cfX8UOsB8Bgv11XkFNOecB32SfLymr8QQ/gHaz33I2M/y2020DaMh6QchxUHcMsNexBcuHkefIdC
KEkM9t3dbBjWiaNafeTSAoUVzEUGHqgiIewMbqKJkmm9Me25v4SUaanVpC2g7Spok2+kFVP4Hio1
b8vI6x/UshweG9d6H+qu/dF2TnldDE5+tDL+Bf4CwGUkEkCYscF68kYy1vBZyuupqwwfxwF9RluH
YPBt448kxPvRfNVND6AK+lPDmTKW4RbCrAcTePSeQPm3LwSC9G5gb/2dPZl38Xgrm7UZGMv2j4zx
G0p9SigOJDx5ZiO/8fOoeJWOkAowVz9+dwvDvZDcdFAslP/W6Bi+UwlFDrR+cYjLVl/z+J1AEQPz
9T0YHNNgdpfMTroTea/w2m/D7I6eqJmpzirUe5mBUXVoIWDqcdpjB/GkkGOwi8esO7AdgPFdWvOh
ZDVJ/0REk5DsDWA+ccWltpyvOXycF5fA3yHt6m6PYh/c2smo+Qsl7U+z8NO9nVQGxJWmutYBymlo
GqhRfamfHQ2lAVEz7eVmIix6oEAFLjF8+PYga9vYFFDxoUrmNsF6svMoUpldGavEKosUkAKTEGHc
hJBZQ3HLRVZJJ+n9cYd3BCIaYkCpYi6e0zfDp9AGjbKBdTYval41AhtGFknENcBs/WOAsM0APZLx
BM7a4YJEDwrQxqsUZo92FSzhTM1MtLEreK3qDgDoqq9d48WLHHllRoE1rIvOd78z4lrtKujKKTkC
yPLv7FJX3y0nGK6DNg4uYir7F8KQYb4irJWKdWDS6LBS4CX48vAdX/X01O112snn3kx7EPOhWb10
dsl4HKKmAZr0RTqvyPPrM7QGJPykDpRcYXLOsD1E+XwzZmG4wPOM6K4q8/AxtswsBS6V0IWl8sT8
GdtlCv5WG/OHjV5+pZ2xsEA5yhrFv8keW0Tlr5WCwrrFnwCW0bSTp9ntgqfSqVGhajdy1pVZcfyq
aNSnLM3654YAcrkRYeG8FotZO1ls2+j1WI3jf7i53Qg6emjkA/gUyzaOGRyE+uT0jgYyVJFkviHs
HmM+wcWBAuoXmMfnkI63Fcnu4bn1Z1T51BvEA1TbZljxHmFAV90MaQ1oR80lAHX1bFGqAUNZmbvE
jCZv7XQyN1nvG1R5JI5vgBVJvGeiQtNOerWGI4wQiHWmqOkQKjx6qXiHTf7ZK50SzBCfexZBXWQ8
Rp40nkAgJQZkO98+22UBviRxgmdG7h6JWkZdvU4mr30Li3m+I723EBuZ6Ba6nemyMFKdu9ORKYBB
5j7TDLFhf+MmZXGJCSm6G0S56HYcs/gn/XQ/ZVIM0PwBhAcGPlzafKKtXPrpVl4/Gm+RMeAaYjAb
D208xS+i43/5v2VwEUwSfz24rF+b1+K15j7+8Vlq+UtzJX/u9xYc/wspR5Qgl8WqctSvQRubCkoE
IYe977LeXfbyv80tVFCaCpuAj1Tkki+2mTZ+2/1SguPxL9jWUjAmeBbYf2tu+dzt/ksdYPcrSLJZ
pF99ZiFUqT/NLfHSKwHcs95gEGEPIT73EAm+KrxYy3oCwqWERM7Kgt3fcG5rLqXh50YDrZ+2OjLz
dLctK4+YrqfzDGdiN4hMP0L2ir8Z0MFCrEHsS3LJgwU9uQHhZ07ya26RJF6ly5YF5DwLFx4ZBhEx
kBrfDBvOg+BieMbjXb97LldBHmMdCjzlGWprA2fUq0gUXQEAKmmDdQl5Il1jGO+/kc4fT+HnSiii
pulbWvd8u10ut+KktcsCKbBFF61ZL7dPaU7vDdeu0IENOeR6ZwlWXjTUSPiFlnNnVhEJDCMhI7Mn
0zLf5jabsNNMXuLst5oqGCfMbvJpVMw0XPpjXJsJxWycIqs2shM6ECR4Rtin9d6p6nqJzSD7nCYy
VJSJ4UBKvjFlcOExP+u2JnQpWG007cGmHN0dXh1WpVixvks7o7Mqrn2D+xnpfsowiZps1Aip4Qho
dAKMn1TWbRoKApomK+MnZ66dJRXvdMVWyzF+6a2uKs8GjKePdqiKBzev5ONQ+5Tv1HXdoTws5WOm
owEurtJaOK+gPKJ7fh39TgSDKbAFCPuSji5+99CzDhCFMWdyrnO1BRMFWoBr7c6AvnlVVjyzSOFb
j+5cSZCN8Oipq6DCNEIL2fJhEnfWGIh12ZbqXOdxjEDQiHUYuMD75rzIj0nuDK/SFc5Dlan2khcg
lIta6gcKe4o3Kd1wbzeGfaqiJPsxSse8K7g23odmMhI1TLkz5mO4oQY0Z6tVOFfw5caTPafdSekk
/ArID/cgWCx/A2KDD3+dGPF2ngMN9WxOj2PJnLUiG6TPHha+UyVVsaY+rD04TeUcalF7W3og/VsH
88RDLM1mm6ZEEchQei4sgBgOjRphyrHbrn5wIwAJmg7je5NRRGDbKtibc0ONkJk391Yop6sGL8VB
DHO360Wj97CCWyicWlYPQcB6JaTtjuMU4WKddMnApn0ihtK0OnmNbGvYo/EYR3Iu8f1s0Y1j1F52
iUoYEX4UuS4kMnbHbub2W9hG3qkuAPtGocetv49tMj9xZe/lNGliAwn4J4edDEuFvCcHoGA4aJHv
4qKxcDWEyYZ0un3oKgASvo7suzr2xsNUGxSkeqPvfNBN5MGj7+U2HZxoE3HxuTYz3oI6cYlqNACC
xiIzRyaPdNimpOb2vdAp2lGer40AmMpg58Ee8Utt2nFYUNlVfa2GJNuXsXZPU9qF27gc8yMg4ux7
QSoOFHlgng3RCWxthPf4fSP6XGeKYvGczmF91yaRcbLUAM6j7nhsbcumALVsFrZPk5Av9U/EBhcG
YuRG3b7L07JeRZUrL+EwhEce1sPiVq24l0nS3myKnOlrm+iJeiziE9sWVyQlCZI+TYM008UeY+4J
YpTXbJWzxwqu7UftENRWpaNf+fby1ndlt/ExUWBcDLpmNYoKP2c2BazJqVFYyyklhAJvZFNFovnA
T5FCVHZ8D/6amSGSBDrahFz/DgzKQMzdwpvWnqnyS8i8d889ENdX26Tq3SLcSwGeY574UJV3Q8fz
vSpd6PWGY5RQDypur6uSD/8uZy6gSTHOvCutjGFbRnNxgUFqykM0B5Dn+9413kKT6lbPAr+xyR2T
gXfUne+sKpGGzrYsO2aZiIf3KQUz/UJnKF1KdUk9LJ1agjxaTSJ5U8+u8zLnE8OPVbvpShWUD+xT
PxO4pOmsZcOVqDW8uuxbNpiBd4UqyC8Y8gR9Hto6rVeYNqJ9k9lALQEQN1eF5eU/WgELdmW3Guoy
ZwY2xkJEwOlnWhvXFotzBNZ4Bs8RstDjNa+xbvYJzQxkPiRr9MqocB0nn9twvn1sxvM6bfw1t4ah
+OZ8bs+LZZFutdwvu2W57nsVRoquxqLrO9bWnVyUYrf8GFykzrhz++vyc1cPFCykmoKaM4GifnBK
o9lHn+v9ZdGf6Bqu2ef2/3/NCMZe6a9HsH+Uh7flf61fid+/Zv9mFOPP/y4h2V/YVdHy5/iOsP6x
nPuXhMTpAMvFsxQnHDSXf45i8svi2uMrZS8rNQviwj9HMfsLxA5qA/kPGOwWb9/fGcWk92cJCZMm
GXnhsgT0WdosK8dfFzUDj1nsO2Dq4nqi2Qjw82Kk37nUwm4cSk2YkNiLVO4S0iRMB0vpulgaADgn
AGB3BlK7bHlQz3cT5HK6E6ZvEqC5U6fffX8496198SVmGLg6hzQdxDrP+m2tgmccopQTQww2a3qn
gsr7Sutatw398Sk08xeOXG+Vy5laBXNECvGGfoMd6yzcuNpKf5nqGsNaD02nN/WY2Fdwky9RAKKS
jf45QzHb+H5+qYeIYvE6JRYRDXT25CJ7MsPAO0Lu5NETamtNxQV1Ir0PYz/HohI0INVl/p7b0Yys
6gzXkQ2BouuHuyjFFzHN5rgp2XivRhPyoahPMooAtrNVWA2hviNoyJ59cWGMHeDwZTdEWAAbQBBF
F2xBX+dwjlb4eLj1Y7bmbem3+NaReHGmVTbu/9l+ZH+QMwD6JZFcn4e8Az6roJmY1zrfK6rUNjC4
vxZjgVIH+jzNkIAFfIdNBz9qE2GmWiufpEbJCYNoDX4xKUS9Ew5/U9PCNQZUaliz+niA85lyAUxe
sKTRQz5dR2l34RloraBJnRNOndVcmWw47EMOjXdDX9ga2NlSyRKsp5p4gup8b8UmwFtNHsMa6AfO
EMv4iqR+hvTP4ZzZz2k+J+eu1q+z8E1mybrZZANTJbbvbwyk1aaIZ5ClFiU3qie1AtPb2AJQ+iHo
u97EY32DmEoFFc+5risOGYjOnxkxi1Uw4qKI5dRtzdhnBJ2Kh6ZMv2LKqc5tHPGRjsOXIcvrvSoV
V9Gle6woCoO/rJVykJv2vVNY0TrWMQ77xTk3Vj1lFRZFt/7RVkt9Qgul3uPQ3VDasQ0j3r7EcS9p
XZw8E+ue8jzampWhbk0vogxbUuVW0U43GnO8dTJgOgWmIgx8Xys/fkqT0NraHQEMEwYWleTtxs5g
bUA2n9c5tpE10Zl7asEd6H4qe3Ia1Z+62nY3bUcStxI/ImlsLK9Jd4ic1bZmf0Wv0sRpXVZ8yCTQ
V+XyCwX1DcQYVnpE+glYdt9tg0/EYhdYGa5zmztQU6IweGNf9uxGFM50ff1jlumPfOb7mgTZ9WCo
Z1XnPwlY9NthmsZ9trB8C4+LkTXG57IanszeeMXods47GkVUTHna3Gd0hpn7gQlCp+WJkMUlDwpS
zbZH5mKIL1j/33geEU4A/AcTfs2N8W6uEtqsNMiwZifm5A5u+HVLt+Mc0SrQRVfaSI4V14cpcc4J
RXsrfvutaWKuB6e4D/LuO35+GmPsH6OeHhWwsxU+0xQEI2Y2NqfwcXiRh+bDnki2zKQq/FwAdFXT
owgE3jGSVKSmzhaI/C0q7b0UdoBZjwx/xJOqVP2bHcVQ4mP/ZmzTa25KtDCQ2kKw5fPaMPJij3yL
hfc4tA2LaqnZdg9orfHJIVJCtuQ2VuUpnFloGQ5kXIjGrsxHOpKpOvOK6crLcJ8mEQGvmelg8tVV
bJLuoeTjPtXp2Wy973XsvkkjuABaazehV9+rWn2bVP+D2M0lr+M73XanYMaJCd5b+d1prqfuJmjL
B6eorzJzng9kS6oTNwrEc6s5T715KqDzse31MEMHP2Zd01cRYrn0b40a5G1fk5AGblbWxX0bdGes
4ynORRGcghEfGAIcsKM15dI/W7fboorhRjWqXV5B+qSLedNofU4ZdVYK1h5zm/29mnhIsde/iUmu
H4sZ+6fw/DPoY2/tx4W68mmsWNUL5hrNnyd0E7+n8AzWfMNdAm3VJbHAPWc6HldFRd660jNAPaNy
2OtGZ/q1HRpuIMFZTn7pCwUiiOnOsac7NcGoFnPzihfb3Lhu8BCI9kjTiWa/5w7bIHJywlkNFFLb
vc+Y+U4FJnGl5x9tNn8LPP+Jh+BRd44DPxLNX48GjgBhpad8atsdnCkwoNj29rJVZyf21MYyydb3
6Zsqw+FgVwFk6gkSt3DM+TZim7xDqX4S1GitBJ8kHJK8bA30QXyQaXozJtYdS9Zx7aU965Q+Y6lI
TnqbKGOCLJtfAgrJzk1i9auM0heGcUWDHx4sg4MHqr2dMqOW8T4dooHzZlrZAiMt5vGfWd3eqpY6
+qpHC7bnhAifek/igcYT4yvESs2TOJivZtFtG4ixK6NU3EH5MtbG82j1u9khmiURanyHO2fn+PlT
mNRoyZN1jfoU3fJq0WpGn/AuTbNvQ0/M3bLc76mfjpQMYmmvAIBTIznHm8oIdhwm278/gf7/DOUR
iHd/Paf+n/q1+/FvXGXLn/qXUAjvSUK+wbvFqnPpxP59OhVfFtjgkuFZmHvLavE3nVB9Yee5BEEc
KYTN8Ijw+JtO6H5Bq+FQcYHKMet6CH9/Y78p1GIb+1UnJGXCfAzUG/KNQwrkT36vnnGV4lAqPywJ
o2Yr50jJI1GHki0kcILGuBlpNsmDY16YI30AsqPcVQ7VNlV2yd6rVDOU/d60aYevRpZEWel8qyo/
vy5Gx96UdjQdhlhzeQcfttZc4Nd8EQAZsFkA2M/skunAZ4qx7fcqFflPwxiaU1B6YMTbhvZHD3NM
M03xOhHlsFTpcpcK5zmxVzYsn/fWbSneKRz9PjcFj7s+WLwjnSqXZGX8xEZEvxaa5p9A+eE1XDmK
42TQvTVGPKxHVkobfuNpn04Cn/6kB2IiqSqyQ2fr6CCg4e8xEOChbvPy0aLalQeKH17FtNWuZ6kC
CoCn9KNg8Xg79i4m7ykrgpsxDGMmGRdhqEzCq55iV4DaibnzU62ghTIU5+zVWiZ6BvebsnTUJk2s
+zr3L7XT9s1xAPlwaZzYWJKolDEJF4I2i6E+pXqNDcLtNBaQaVGhjmkD5aBnJfMe2qM6GGZmXWbh
cfjYjidfZ2ey3yHPDJSQtPioE8t1T5ShJa8Tz0uHUUjrK9a2+TkZ/LnYx0ia3/QcBV9zbO3wd3UN
63w1ljJnNzu4iEQhdoyEKF4BGCJoh5qaY1W6+y42yIqAOn/RoxUO9GkZ3aM/aUbIsXF4UGVGkSgi
G1lDd9GM9zwPAxLLcWacvLQkT4zyeRBl1B+529g8tYn4YK4SMFrMZDI20adKA0jNf45JtZ5xm8hL
+6nnDBY+EtoJxfgBM8UwSPQMebujwdextySM0IaqSBunSNT1nQEBtKFmpdYk3j81JbrK9I3/uQBe
JKeIKq7v0SJDsYkk9BNM7kmHMthovrM3sqtgi89M6tQSyOfW6uHVfrp82G7tfV/bO1ML7iT41KFz
tEN0mReNzJrzHigMuhnseLnNFi3NX1S18VNgK7DbHBC37DsOTG9PnBElDtDNFiCu2IVwhve1Qxft
7IaLwwUBTy5SXjyaqHr2IvCpReoD9jpDtGQrDbWvpkjW8mHC8n4A6F3kQrouik0q7PaSCo4FseiK
k5Tq1BPg2HlKJq/gzREg40WLBMbiro1oESgDF+G/XVTLCOgbAuaiZeap27HBQt/EsTBfNYvm6bH7
PYpFB/XGLtmlwiEM0OHk3k2LYOqSh98ZRSH2GUMIkeBYLtrqIrOGTtp+JW3KWF2N3R4nQLfHAjLt
bGsKd008lyd/kW3hxTNK8mFKjz1q3pVeBF50IsSvfpF9G6+pUIANPs59mZoGuAVef5bW/LREhNge
EZHDikxIvgjLwHOtu5L86ofT1pTw2NFS0IoUrbq0fsgWebpchGrwUM5DvIjXvIbyFOiYR9rUgTB1
jMDdNWOf39IA2z2DIkadLZrkki52dedTKC9733pklvJ32TDSTCMq3lBoYW8GzjTm5k/JPV/U90ZP
7bFZFHk7WcR55GoR72euTuk2HpQx7v/+If4/0/i9cNz++ng+dHH2705n/tDv2pGEb2e5DpFMbDTi
D6ez+8UlhclODnQjJ/hiB//teAayt5y94BzZrgG0W5Zr/4xwOo7Df4sihXNoYfD9neMZROSfjmfP
4vhXAsQigoLCmv1H7cjos4zHI+0aUzzP67Css4OV2C64KEqRrdD9WbfiAUOIu+4j8W2IJR07jnuj
i7i+S4Yyeil8N4EyYcjrxorCrT96w1k7c8hHb84O+PgMbteuPe0IaTRXFIT8xHpn8GFjPK7rIv9a
8S3bKA/NW0VxstUUWF+yeEI8GVOv3OJVCG+4Dcmv5dwVby3ogl3R0Z1muhXKs1vN2Ku9iqQI+YlK
E/HHimkAOv8xZE2zSXgIPTWOo29mtin06BX1DalnNois0r0dXQrBpiP5Ircq8Yh2T6L3VgSzOH1x
U0LJ8vCWzJH92OoxPxSUWNKKklX0XvoliFiKHld8a8U3U8eShjcXYARB8JSRuOYOXMTWcZpUdD8H
mXFVN0O7oUPZejXDONu2yjSutWv0iD2J3o12la1lQVBfNnTkJZZzlJRO33L0lYdSoA4VXvuQtvNN
bI8/QOndA47NHrK5NI69Y0cf2rTFwWfYoIqh7+CK9CwGUmM8DK40AHJpeW3jMHgIVHXbTPZ8Y7hZ
gulDBZhrc7kZ6y7cEV/yv5pUGuzHoAYKNWXBUK4JHXpvQ90oUvgttiNaDgqWOlVJgE/Z4b2aO+sZ
frizzcbcvXTGYF77TqGvcYajY7TI1bvGdwKyTB2vWhu0OyNWHJx2QTtPXsp16XOaChU3a6T86eBo
u7nFNzPt0dO41OKwOWajKg88olieCZEc8oTtbJ058a0VA2+Yady5RNryXnqXsiE4ES+YUtMtRWO3
pU1FhFSjvJ2q7JUikh7EwphdGmkam9LLaupN4QnssZZbW+GXJoGErtzgsZ7XEC2IblFytbIyl6Jc
rF7YnSLuiAFRpuuSe9HOVFR7VUnC/hTdn2Mm8+3bcbDkFuJYdeknT9x8vga1xQ1+bFR8ZDqnA6Xk
Nx+1z9AUBMmFZnGC0ZYNwtGtr2JsI4Qgx7c00F9l5VG/0PssbHlXlVVX68mqE4xKjbmtgMzs/D54
nqVLqngpzTUHhxYkm/enDbsG+pkpN0kblpfeMNwfpMfFJmUptm5F9FzMFGq2VlJBnxDzdkqCs/Ra
yWuLr8oQRrcZqHvEZ94+JEx1vW5PTZTeKEz/b6bDQe3ghHcDyUttvrMYTvcDo20Tgq33K/1YEjZF
X3DmswWcHuoIo9HsxbvQjHaJbC5dglcn4lqreRlhpnUPE1murWr40AZGAwek7F10Ywd3INHNY9ME
52bq7W1Qk4mq2vyqSOOl4Nr5aTXqxq+n+5H2zuVbvdRp+Vd80Fh68z647L3RO8EednzPVy5/+W3Y
iWE3VN0DCddzmDZfY3bda0/yJJLuhCYM9p7I4WGcS1oe28TZWJaMN/lsv4xtMZ2rgu23ZaoTm/5T
FBcoTaStuY6wZ3vxzLRbCUVnTqZRQyqPsrF8qPZNwUPG6q2t6vK9H6JIpa69z8lYr7WovxYU7zEP
J9AumSt5j20w9qn0SY16Z9sfKeUc2mhDY5G96vvoOtTFVrXRHf3G/MZOsh8LQXNO9TGY2Yml7CEu
kBXrYbgaBu8I+eLoOnF6E0hca2bIq5S3kh5NoU1y03a47nE5rJQIMIoVQqxJm6LRQhnaDBkFH0tK
aBGq8V55hbz2Qrd97FVIraCVHnIMTtvEKdcJhn+eZtadoSlKGF3qt2fbfKsF28d0Nri4waOGpWaw
luM5stK5h/Jp/Dd7Z7IbObJt2X95cyaMPVlATZz0Rp2rV4Q0IRQREnvSSBrbv3kfUIP6hvtjtaiM
zKtQZkUgCzWphxo84AIvFXSnk2bHztl7bb88o8T+ZnXc4tp+KuJujRyzWZhNtIEQgBjKdWl7MHAx
bSr2toPeVTauuQWcKtvMiZ7DuLEA9OwIF72DAGRscrJuNvPgAGLxuqvJ1qdgBkW5bZO8PhDs55LM
Zl1YtdeuHKA13C17htb9JLpe3/nlaFJB0n9yu+SY++6zlSFSjMrLAhxpoFUTiTAu6jP4ioRKedZp
n1cozUtyHQQbWhhPJHcsRXzvsggGxuDu7GS4Ijr8otRgKZJ9ZoKBdJ8zZMKBUxXtTR0lV3kXf0Fn
d8VTedLOdFhq/Ua483km3BexuN/aaryVnboECwRnUGDXNNZA6UwPtcigdVM+qETcMeywd7Ym8f0V
50vtnzVUIqBO8/uma66Buh7NiAzUSSdzLlHGWT9Hl8YoW/zlbNEovG6Vs2wZJl8qPzqVJppAm0g4
C5JD2oKKEh0/shPHCVWxYkI+JzvV0EgyjcJY5ceUyCX4HZvGHe3likiYTelPt16E6pcXveSByosQ
67UTOFPkBnbSavtJ+jEDasQMJDETmT6PGyQfSSj7CCySSO49ZJ47R4tOzHH2rnpbXRAFQ2SzU0CS
qCzS6spymySS0E6evQ39QDSukQcWpuMlbHJc/WvoLu2Hid7WaF5Xo5FvTUSzLIceaKz2jiQcRiEL
qbRml7rwfto1nEYERmV5YdOJG+z+a+otAVtlltpbFOgEH/PsF3uX0xOrOyr/PlLkfTM6yFo+XjsX
r4kvp7D0lLkjoPvaFUURZDkzGI8XNuwmLDEtznVmG8lyojDkbEeh3yLMHjadMaO08gTR3hRIW88h
0cBzyhcdVbAvZEPDcrkyJ/ojrWXS711PTUmZWjQf6jHwM2bRCZJQNcSURKSyjBuAtvXeJ0rkEFcD
yuykJ5okxZABrIjVV19ucSoa29S1X1cCZTBUab7PjcYLSvQkCLUzcehtZAWV3X+J5/qJH5Q+Nwau
oBLymzdjmG3wrm4MxRRkoiNiO8i8szGH9ZsMCaEf4wMmahKDmukL1ARzC4C9ubQmBhU4gSyy1D12
ncXGWs5slv6vRWlUiT4oy6XEooHzLIaVyjbNkhEUQ/ItGpZmW/ILXAwVVrPtHGWYvvVyZDASZWLf
0itAdG67u8gjdzD3KNSSysyRlaZIJ4rVAiZzJyAzONoZVj6GCJBMRDP0VDzswwh1UWXKpmc/yirv
TBN5gyWqod2grOWUhm5zF687YpnQD2CjxPxLxNy+n5ZXdK0c1Ax+kkjJeI+0FxUU8LMLR0TFISWo
Ej2uftclzEwrOaVbKyG5vEuboBuZQTodCdac1q+RfbN/eT3tqaz5guVIhtRKEegTTdtWCIpO9bLv
0Vq0YkcTkFDLxTo2tuBtGDOBwgRabIZyIyicbqauzLSd7cGZcLHzYIjs/XAcUsaCTaSuZ62Zn2KZ
VzSyKHRtegSEI5MMlVRkTJf1l5wpw21JIQifA96URk686zfUcA6SoaEwcaPjnN7i438E2ey6e/Qj
VbOzSBKHvGsPZ0ssebNdcITKcSOUHBEY2xmZKZZyELvdON9Ipz5KtF3HohuIChslTTeH3v04RC+N
1l71DasfKrQNUnz3hE4g+mjZAOXrjfRSiYy5JLhnptNgWGbNYAheLATMMMO7kMLM1ztSnLSysK9b
k0mgow+PtMHM40SbiDbVC1t9tq2HBbNlrn+ZWKcv2T2wvzeuRQSRbUKQhQQwTMMciKx7lmbznBpW
EiyVX92iA1LbWUOJDGaCuErg9Xuf8u12GSWxwJ0R4TAqjC3RvXlgzo33aDhwSitm9xvhMZkhBAgK
mbeUe4L9MKLDM7xwE5avyicBvYvZWFlXzYB01fgU/xolAbX0qVm68HcH3zsBfXHTxc21H5eEWU1V
/9nKnPwkdmeL8bpN4ZrMUdjG9Rn0tiZA2NhfFfrYbrvayukNLRH8NZG92kMCucupCeFxq/6uGfLu
gDCq2mvREl8Za1quFpnWBreXQ5WjfR4t6VCNRhAAtLx8IHSUiAcwIxgODdp+puWo21WoFYDcId8U
lwNiv7hrw5HkuxepSI/Ih7dY06XY+UlenBF/4Id1rWdfchKbd61TLodMm4eLYXZ1Go3zjZiybisd
4R4tKUAZA0m0E1SKDDXa88FJr/Mk+VR4Q/GYUb4+FK3/u8n4v7TbysfjRKP/Z50OUmX/9T+G5/a9
UObPP/uj14GuxSJxh4Y+rYvfGxp/TCKc33SCAbBZsWegpXmXDaCL3zxB6wE/Mysgk4o/Wx3Ob8iV
PZ21fW156MQW/ZNWx1+iAZDvoFd2BTMSD0aE9aHTgfLue85KQtGz2vh0ZtaoMzHzqHAqRiK37dhh
opxydjb86aARd/g9jgUUdLUQfG/oNFSX4fcZ19fpv8Uv9d944rnTP45IVls/VaygjY0jbTX/v9fv
mP93E2dsnP66QLJtIR136PiI9fO8M3YvzPmVmqMCSSj7ScqRT3fDd0/H33wlDGx/86UYL3EBgUVd
oHH64SISho8o3cpi7oAkNu9hpXuRFM+xXs2EFvRjDznfpa7xDtasqRf55uyo+6U5aMw97qEn5fd6
NrPa4jjqtpWwjUdvtYh4cKyYYqy+kawcunN/NZMQoQmMhOrUvaPQGc1txgEs3/jzHN+J1Y4yvzlT
MqMb9bCzmtQMcpWwPXZL2dwls4Tgl4z08BATWnDOwdKnocUg6WsmnOzKbiLtc8zSSC8EmirOtzZK
7iTmLiMsVIo2CT2zjZ5omiCDTvo0Ab2XDA8QZtJqkjl/YjYRFNQiwba8yenf6JwrZs3as92CKPLp
oyBfjqPhKc1souhKoalHvZz6VxbieQtqK9lRVJF5TFpKeWX6kTzzod4Xm24u40tHxuYdlBD1KN2q
Oc3YQRAZ90XYO3Nz08DW+cyGkV9BYdK3kWE250ZKemxGxO2jIkjgbgI6dpIjs2Gav0xg1AGc3gBZ
1Y6Adr2tLzUdzYCVjJwIiCQoKTugKmI5M/tvgHcY3sw1DpuwICUeiZDRlSHc3XifDUxOttQw/iMH
YA+AkPK6C2PwZ1BsEvg/X9e6Fb1FLPkcWTcKSdCjLZv51MZ59txJimyaUs5lsSzzCYV3xphIuUR3
9pijJrNzkKylY3XRN1MEytWe8Oe0suGOe7KD42/HpfENDFR2XrPoY2enHow3tWdWdFw6+dCoDhcQ
6taSyHSFEBc5mdY/ojPw9mL0GNzoMNMMzk2xQFDdjJdag1UAdHDcjKHgzNpeCb1Kv0UpnX3OumSa
sTPFnznmLANnaEaNbUpcFYM/WZyWFc4dtyDz2vJXCJzRQ6uXUzzcOMwxTxklTgTcZihMkGdtcevJ
r53O17UWYkJGgJT3iWySG0MMSm1oaqmLrDVUSj3t9ucaYF3iU61+v8TwsXCQZfaN43Wc2kZFbmUw
anNDOghRxkQMTDUhzJbTfjJlJZ9lVNo1NlJVbcGhRifOZJLcbg/dS+O6w7mnWpRtqFEbNyhVXuyV
20dQuCjDE2O097M3ZfuK4R/gntS5yEAW7DW6FWCNdXfbepN9kkqeVryPndqMyUBLDsZdWM8cIu3Z
iu8HrWsRKM/1wfHj4tRfhBeSnUTy4nq38mVEsMEqsCUxovhi+KgbJCr0s7irvbPeAc46Qau9iqhu
mOQtzQ4Fd3Ubg3XbYU6FA8Shq0IfrsariHxTxqSDYuZpgCzY8n860aC6dbGMpJrg4NI3dhtVQL+o
Wiorig7zJMzdOAIlSKpsCuO5RACmUCTtbAwBSPKK/EpbIutsYjDo7kFFW8BFp/Jm8YZkZ6qkuM3t
PLmro7a7ycD3bG2chKjkPIBlce8e82bKdnPejNsEuRAxoS1zJUbeOFwthxGtN3JOPWZOF+E/m3Pa
CkKUzVeDI3dEba7QU5HBmV30flFeeJlmh5PuciyvzM7nCFInYU5EXbxRfdky0U48kitXhbQ+FK/e
gL5xkwx5tteycZUAuXCbxziJv1pVWn3OE9IJTNyqwBkHDCMqta5TuohXmjOrs6gxzPNUFf6pk6h5
4+RWxOA2tolap0kX4iCZHtOJZb93OF+4dus1wUhc5UNF3OhTlMTonTo5viwtgGlvccRJ50iD11Vm
x1LU1qHrbLE3abHkG1BavC9uV6JRsmA5fjEJmr4lBXfAeoAa4Ei0i9ra8wIUuib6BArIELVfZysi
XH6qSTo0Feu5RwJuMmQK/SoA2wQtbLc8QS0EXYkBQxzJjXEuGkPpX1sVJWelMuYzW9jpNo1MmnwM
00LPV8VXr+fkiP1Eyw4Mj4mLTeY5/4ytAoUhiRnyhZNQftmSAwJqrW1heeg5ivpaARzoylKWqLyX
7jUCoT0GsSWaL3btoifzzZ4G5xrHWBMYEOMpuirSTFzrGnLYUHVle0H/yr2cMlGftyLud3GKs7SL
gQrAACRsxuyy5DTrOOZvPDvHAOMDw9oUiCTRZcUDWw7JtFATpqU8Vm3ZXBdrhEhfLTF5aHSTq3Ca
U3lFsCrHq0ifzg1y2w7l3HOYmi1AcxVZ3RcVMtEbHYAM42/duBv8MdmTIBt9GsUAhTO1CHKT6Sg1
lPKlfwnMpr6WFTm/OqCvm36NdWnGOT6d3rJexBr7YrwlwIydRRpMszjJ2fiWEWOS37Cro2HkHheF
8+C+hcooWsgvvvR3+ho3w7GbT0usBwkfTmyUx85MVnA4ITVpDeYGH2upbfnVtVuLbTyjVUGa8KYD
roxyEGrxsElTZz08lnV0xb3Vb2Ieh7tYEZMjBVOEcY3OgfMnzhJddV8Nt7+PsjVhhyc9P3OQ7GPe
xbFwA4+LpAmjH16KqiAp29FmPMtdd1RLm9+1a5BP95bpo9rUuvdpfTjA1In/Ids8u0u6aTm1Fuya
O6mzq5xERIhfMgurnmu2M30zZ3I58QDpHWM5VLtW79W9mzz8vIozVnHOD+IdKsX3RRwyofeVYiwX
bV5kUm4RGoc0DrrjE11SOv2H6gw38hQ0J0YI4citA+vsNN1lwc8/wF+Ldtd20MlbjORcVMUfq0i3
bWoiZ7py24ZDuISQZk/v6O4EevBY7/zHX5WtzFXffV9wuW/Zjy5HBSFczhzr//9dZZzWMULmkexH
VrlNim7a9o4NJOuff6sfJVHfr0L3bD3u4Cj4mIY6exgG84lB2JjX36ohC1u0lkXt3pUqPeXJ+0Ut
/mMlvl6OgElYFgKNGBKxjwcfBea0NxcNOI/7eZo/01ndFG0Elfzw86/14cf6fiETDwJUHs5rxvq9
3909OmmaSDRVQqXSITwdUG8EOEO/Ys0SYRto4a8ejw/P5x9XxHphOy4nGvHhitnQjT0vc7HNDFyn
W2sbc42lCVUY6XuxzbdR6AZsvNOWBv2OlITowtqJw/yrD7Ke0P79nvz1c3x4TxoHRWbm8zlguMIG
Vm29YZ/4xTFR/9sfEjgbkYg2S+pH3HKL6KYg4aPcqpDxRphu8wMswyt3W58wttwY6EpPfvGT/rgA
fP9ijseTatGzdsSHU5zXD6rWXfrpEEFOShlkOy9E97v3H6IvKNB+8aSudpm/3EcUemgV0SVy4v9w
ucUmNn0o43JLYR0fql0Uqg2sTfRjIaeJ7a8SUY1fXW/9Xd89sY7Tj3FrcT3U9dvpjvHjvg5O0rMi
ZC4XAALYooTg2cE0DH70F8vAj9KL3+/t+y/7YbHxilZgGyP41emRWg/qmehTALnSvO0YYGHMcS/w
WFS7vCrNX1z6b55Xl56DzyLE3QZE9OP3hncSibngSVqahhSvyaf2MItfLN5/exG0pKSbIn4x3/hy
724u873/k7zZv1zlLV3VpbUDAZue4foEv7vKz9NV/1Fb77+mDNmHK0/j7d26ED6r5+9oguNz+fLf
/+P43Kb/+p/1j72/73/1R+/Pwe62AirdNxDlG0vpj96f/5ugGSg8HbGx77wZ4b7rnIzfWFqsNyqB
7rq89H/2/iBbOrq9Jtqy7ji0E61/5JH7cV+n42UTB8p8gdYfzBqsfD8+JJkeL4XRxwYJaehdJZYD
/STy7t7dlKvfl/v3QQ0fL7K21FYzIIRu7H14cH68SIWmJ1ZZb4aoFLZx9lnp2h7U+88v8mGTRW+k
I6r1CGOg2b3WKR+2GpBMhdbBWw6bLRbf3bg3z4YzRSmmB/pFfRv/cpn6S7XCIoHxcf1OYEv5ij9+
LQ5HUBkx0IalfEVNtU/b+ixVdSgFrbf+8edfj4WBf+6HrfTD5dZN8N37TEQH7hx9UqE2ziNwSBV3
5Yah3FwCHvGNM8Tw2kmNVimkjDO25ryUt14Jz2GIkvZmGbEHS+xBJ0KM1UM/zPkNI4Xsyo8ZIRIz
Eh8HP85ucoyZJyT/iU9TV9hh09DO0ExGuHTMmqDIx/wa+8NMUxC+XoJkQY7gdbvZS45xXw+rCykn
QKnPYnHG1LX4knVJ9NKiZ951hK5W9OTc5UbBg72xiBT4XJn2MO811corrNgeQPqmXPYDLbRp06rK
uNQnFuVNZuY0deqoVGedjo+zsO3kqrJLHyGC05c7J887sIN1egqY0ftSS4Wf3Osq6mIxpLfEKZAN
4+gIh2ICQ1vGaSK6LkdF/AygqcfMXc+3Bpra04GZNpK5btQYJCvcPPtRK4Y7PYuXndkLoiOx4Fwn
XslAyU1W15mjkqEKMTczP4fiNJwynOnu9HHIwWBHsbpPnbi+FHKEMtO37sHpoYAz7wfIf8JgULsH
pLSEsaXZt/pkRs/jSvMPYiinp8SVmkecMP2T1WInMUZtuov0qomYhLprnxTP81eyqxLUGwiYA8Tx
4r6fEJNtMi1Wj+1g+DjoDfjJxWTkqJNduw9Td8xvQTRTUycRdGqbkyvE8ri4bwp/uUtEXn4rqoYA
Ts8f93NjLqdJpiVH3VP9LSEN2Yakhf6zn3R8j5hjUI2MoI7c07bPY/Q7SWcvG+gtzaMhZH27Mt7m
wNZ645xUT78Hi0SmCs0iTMJBP87DNWin9htMeP1zTzebnnImmHsmNXliS9XCAZK5bd+BD5bGRpqV
Ds+n6YtDpPWLTg8MkygQUfdS1k15njTjdDsBHb3OEtO4aaTZYmCz7OQ4KA+toCkU7rnKydC+QBVw
OIVzmLsWdt3hoveVrYJm7PMzqwP2vqJer3I3fel9Obz0QxzRkWwnnioYvrvRdZFf1JZWA6ZOV4Au
WcZcLqbpem+SuIEiIiv3SUK7jq58/mCYHj61KSMIzYY11nWeUwVGQ7JW0efFaZxq0Cqq2X4FqJ3g
pe3b0LKblbKtVwYxPCAhuAnVEShiS1PPQC3kuV1xUmvJFDJot64SGc9BKW33vEwxpPUTd0Qf7f4a
q1n1bJZDFVTTaH5iuAScsUcOdkNsQnZBokOPhcLKoW1WlnixYux1tebK82IsAvKBUK53A+msZlEj
vEjGkAwo2OGp1PXTiAecDrjjzl9xsnSXsZMYV+kw27xxYE/sKW2JIDM0JCwKQFwyN+2JW/DuNTHU
O/yc7j4Wo9xhYo6/dbIqT4la019GSG1kJU1Je1rQQLosdH2+Bb/RXCS2LXdjvawaidaAwOmOcVAk
dL5Hf+ZoKsdbjZt5HFUWo/k0uscGJ8Fln4oyZJuqwUTEycmc6PjVaD/jjEA3bp3iL4mswNGsTvJL
dtk+FX69R+dS305MQGbYFaBkUB4iO8/j8nxeFguP8qp4F/OEy9zX8tB0mWNsCPOoEmIwW7YhHQGS
zafdF6WDoqJIffLAYJA9292c3U2t292X2pQdON2o0zq17UPk5MNBwuM9wYjj761MJUc2WPp6U8Yj
MQ7jSTuucFxbst2gM8KojtLP9yZWIIukBlANny2dtyWSVXei2U69NyCyMy6X7VMUy3hCjzknoY9L
9dkRUjQEpaEzI2u5+9QDTQsGKwXQRo5NdeTYQWSeB50iT7EGG+O6liMTufM1U+6bKUkPg6GmT707
z7BezWab8bBfqtSr730T+T8PphfUub8goMNXYPZaFPi0WG9t6vnXxEmjL2A2TO58DJkvn7W9gMB8
bse1HiRz7523EoHapluJG1qsJ/uKcWuQGvEYmqYlT3SNFOypavOLMa49sgEs5JRzzNTJlSX4C1v2
WEIY6RM8gSsTpg2T95a90N+kpbEgthnV5aJVzdUovOrWNhpSZNHrkHywwLkT1kBabx8jT9o4Pg3V
8yZJxVVT1flXDmYUTXM2R0cixhH9tE4lURokrnY5Tml5iQKzDdgik12nVsRS7GvlF1ZU66gNFYvP
2NNGDvWhmvLtSKrZgbhezw1QgTuYNkw/RQDW2weXluJrP/tEl8soH5nSdNJ9ygwzfZZ5MUNHU5pv
o6oin7yqRLW1I9o1IZVkFspl0Gma62d8efHJE+1yKPokRqFs5vUlLXVgT5FeXP28YPl4JqczxViZ
updRp24aq1L/fbniWnblWIrwIyCGQC0fGGNuOmtrVb9qMXysi36/EGYCyKS2TkPhxwtFiLkatXAh
Bh7XDApvyG751fn7xwp29RxQu+LrdASTd5h7H0bkQsP6ZE2lHqJ6RULtpdNlnWG59rIoCX9+3z4e
29ZLQb7gpK+zOmKP+PHrVJ1IaQA3xjr+QcpM0O7Y/J4u9r8dq//qEh9+ml52LipALtF0S1MGmCB1
esO/OsV/vGerw1LoHKE4xqB9MD/8LlVmD1KOYAk090YOr7BqQi929z+/Wx9//I8X+XC3ugomJwA+
I8yaiGIEy50bRm07XONFxuefNEBpmt+v+f+PvP+hC15YUqPe/QZ/OfNu6vn567/+8/2Z999/9seh
V//Nt4hS8zybeC+0JTwbfxx6rd8w/dD6cNbjLe8Tv9if3lthc4BD76Lj7bEchxPcd3PP+kc0aX3P
5dOR+ODZ/0TxYr0dzf59llr/Kf4JxxD0mkAI2u6HEykGCW2Gw9AzDjWGz62m/HMt1sSDncazTyVF
6FehhAztYcmgpjR1dCQtqCfuC9EYjdQ3zlEeu6YZtLTh2Xwi5zr11R0pI+1ArUs266YnpvEEoAe5
i47LPjTRruUMswKVOJZ35+qNslTWQ/I2k4Ycwox6pdi2Mdr8ldEkIimbPRupqe/lG9AJBSBsp5Xy
NDQ2Ll9Nzea8yX2OcigbYULljl1+TldOlO26uORXYFu6U24W2ZtIA2K3TQuJAiGq2az1OcJHNKzw
qTcOVU3ZZR0IOIqPLTduXztsvgk8GrUhcJVZ7RvTCoeqnEM9EcUSIMhgCAbv6xxF4otPUBBVXNxi
Zpi858QahmZbE0p5gwR+uFykj/gzrduGyROcLdOenGFDeGw7YxKx5bNwBi5FsavvOt1pmAFPbnQ2
G7ILRmh6HZq/iXm7NYswSwG9eSv3q1sJYL5sh5fxdyoYfDA9XaKrghL83Kpze9omtSM29coUK8Ah
ghNE5nOB4WA4yVfnK+I6d6UhaqcIQYztklCnbkzXGU4rxA4+U4EmyjbScTHUlqu3ds4lyIFlnsfP
EDUMjs5IS/e5kqS6UqqYDIxXo24P+zDDoyvt19ap29VapcdFsoF+S7iN3XYXBEZQu8AYxkSgK7zH
2FsnSVRV5p9DzlAxGQO2/inywclIhDrHfqnrfe60xkmFRflpcqZxu5D3FFZJhJMF18Udhzz9Kpri
oj04mkamZ9MDYI5Ug1x61qeSs6CdYdg07Jm8vEaL2oekTqYn8w1qPJlz+RwPRn4uKmt8tPxK3aZi
yU8jCQ1ZVArReGcq/EgpT/bl0HT5N7bfZleuNGV0K959vRKWmYvHW6upUWDOk9d0G1GivN2oyI6u
HGMFNS+9hLM6Y7+6nIylAtEi6vtBFM3JlFaAnqGkqV05Qn8uzDk+M4yJN2nsgEPDBsInVbnudREL
8yq1+Pk3vurFYz238eks4uacYKTS3SzmMly7K4DaemNRNyxaaoM9tfikEQ9xWpKckYQ98DtgvLi+
LsScGBfaYKFG7nWgLYk9XFeZh9A46sQIK072SCOGEsoTSv2yfRV1urwypISfXUTLvK4T0TFd0doi
TYFsz7qzY5oLdQLY1JEsrR5hM5ikjaZsftOSeICN55PnVXaTjbF8RXq7K9y7WjHf7pJ7F9BpXC1I
3jjgUqgZttMbHzxrlaKUAxo+VLr+ifwj5Bboy3U/bN8I48JYki02uPhMWUZ2hjgpBW5DgMhXPx7i
B35pUOUMwIr7XEdycoh9NTwitKjnQ9NxjJCqyuCJD2DP3T7LoHhy+NnGJktrgA7C37qyrb4VVsQ/
4xU4ZjZFriX7qAWqnq94dWOYh25n2yNvcF8QarIyZ0i9lVJufGsltOsrrF1oK7d9BBt3JpaofFhy
9o29jbycsr3ocQHN8UmBM41P74Ic4UAyb7HWFQ+F5Y6nhUWgbgj4VPtiv4F41crk7btWhMrXlm+g
V3id2wq5fQEA4GJSNPXCjmvclvQSnXBgxTfpyABgQAQ/sfq8kYEnYhGRzRNMcFs0VX5jzzOdMLev
MKpnua8hZzf09JPXJ/KTt7KHU0L50kBv9PouXdnEMJrAFPtvyOJKWhMk7cZaAJkYNvnkTYrlfJOU
Jv5SR9Femg1r2tKTgDMU62I5Zowq9ghXomhbG6J/VbmGohsEkUfE26pk5PRb5lfuONR0VozmqjPL
RuwingCeKa2SvE3YHBHuyezBNHKHXxR245Eg9D7blIj0X6dUYs4hSj0E6TPgPezys8gqWTQK0edX
IwYeZNMlCB2QTZA+R4b4yaK2htEmVz5tNjgUVXVaYrYMRxj9fRiVSXEte8weIYY0hy2zJZXLztPx
6BZabW3GPMbHAjEBNdoA4eUq5UQCbWDs5Z3F+nI7+Jn2raMJpCBO5u4NeucF00jvDefYHxi4T2N8
h6qAc/ICCWunD5i0IH1ln7NhGARdndza91C0OI0J/OkbXlky3mit4ftqi/MCptIrQi8cBBp+9iOG
W/2pV7FxZBlaLojd7uut47RE+86ac/Rzl+UVXYfzpKFZf2J51faG1tY7wBI+uZptqT9FTuaeQ+Up
jwkP+F0Wj+LU7Cyf8ZU17NFpRDufnhF+1Dl5StFOaSGiJWKWctHbe16x6lveipT/KOWcNkz659bh
mQi6RqRBlJneOb4ustxsaGfCK7VTI6vyW39yzMdOb9eDLLEuVjDniYG03E2i1yiNenpjaYQ/P5/b
2w4P6SeX/+xA+9Df1YUDYVfSSjjLYd1sY09LbnDHdgePWBcay8sMVdLWs/oC06rfhT2ltgoELosr
UgmShxqnlEG314JBB/vKutBU3+xbYmu/H77+Ub39/5pJfp2s/KyKDp6Lb8/d+yL697/4o4Cm4DVA
19AkNZgxcBj8dwFtE2OMi4+5EeIFuvGMgr8X0CRwgFqkwCD9eJ1CeRy5/iygPQ6wzHc8Zhb/GF7D
X3EK/bGAdqDh4LWHdi1YczkyvD/dp8BkDYsVJCxyngLVoShGqvdt6vynFuPhZZc4xRaGs7sryLcI
8s4pcFFoxFuMrThd6IbuIr+oAmeOE57lARehgQbR6bN7EpuGe0l0xoWnMDwXSrudlO5ieRDPtcrM
I/9gtl/KpUUERchB5V2TpmYARBNNQK6SPBQIPMMc7uARCdGDTIcsGA0Z0YVAc4fhDq9YV1ynXn5t
Vxrz7KX4OuNdCjSVlnd54zQnpUYHKXaYc08F/yMCbdyV5xhzuhNkqIdGzo/NQKAgzudlU9PjNmuP
wUpTbUYfy45jN6/I7CBFe+V93rJcmnTgFdOYIJvyJwtv5WaK/Xv6Ts82a2wwJlpLOwYBmg6fN/bq
g+x7SmOzIjx2tSqKqQ2hmkLRmCLMyS4yEj+qXh1VXrZz+uClybLpY7lDME2aUBExjYrVgeLpdMas
2MfDc0l6kuVrZ2bLLul0O08Ue1voatsD8ktXwx6mkIZ8BSq7dg2PNkc6mMmY7gF7ZEGJMm0wbSgq
vX+YVHduFb7EcjruM9rdOPCROUcVBpcOCAlxtfolF3YDNM/YQG0u4eYRwx0Sr5AHjoeJpM4MzsnG
142vchrvGpgDkVV8yqRsw7gGlUi/Z9rKXNHzK3vCK9qZLn95F5GNjHM6OURjcw/DC1dMAamDZK3P
oFXIRs3BA7TDJzFG506a37Yk1kc6DErNc66kbr1MjI/aobsfjOjWdIE5DD5Hvtb6lEtFxmMuLqaC
CVEz29W619KoE7ABjCqSF4KI5EPXjnCTTUxteJeIyjgOGTDuXvFtEz/CVUfi2hbcG3hbkX4S8YKR
Pxueh2RmK0Vmd90NyZ3QNRVYY+SRZel8ajId3z11XDvbBofOXjxTZCxbUPJxAEPMfazSdNhJNnnC
VKPqTHN7gwIVjMMcC4YobBgbc/SBSXZzfU6J3NMZpUrAVAWJ2G3mk8yX1sFmDsd/Bwq99VAZkyPh
kKi7/gpNsoSplRjbRoet50RLEWita6EwAXTj9020ZWZFj90B+seMKLpKsuoJ+T1nvPQ2rqljutLU
Ay/rxhVTx3zKzFCQ+sZ0XlE0BGVd38wo+RgY4O21e/XFqqJXLXZfMFfje3RoO5tezUjF9sIBuj8D
R3wG2VS6AcNGf+tFOqLHnLDlHCpHCCaLmOYF0W6r52c50tgN2aY3qVPl54OOfH8A2LNBo/etckbs
2mJuNgXpKxvmKcWDXCqQyrlzt8TcqQqcDi+XKsDkpVpojnZNULJoufMFwTodH1hquIk50i27Rde1
UIzIkJUokK8PsR/QQ+bzjnMXRgkGC5OxAhg7IlWa/t4mfS0YZgL/BjEerBjde94mBz9DfUr5cmHH
0PX6EQKdIm1a6PEXd27P4nHBS6iFJcJ6p7Wwa+PSLar5YRAcLp2WRyZJMG8NWKvhWp0CobruUv8m
GkjxHRWWWyuHLcgWM21NE86hxdlg97/IO5PkyJE0S18lL6AhGBXA1gCbOc/kBuKkk5gBxTxcq47Q
F+sPrIhMj+iqlI5lV29SXMKTTprRoMP73/uecuofluw8v8Gldga896N3bJqVciidRYc82+nzqViq
O7y0mU8/9kg2Ll914ri7jGl42WSDV1H4Ppl+DHHeG6fbvu/Hx6TN6cmjjiWoNRuSgFLDFusMXKlm
XHzg3zjFZ2jQuekRdNZZ1DpF1TRm+UuRGOlOOPVFuH78eeKl3m5zp9S3jWbLjdDFT4/avg0M/ufQ
ZPzS5OZX7tRnhJtnM5rw0C3PtC0h6HfyBj53ExiegDyft3NguuC4yXpQmNDCQZnr6MRwN5iK5tUj
pT3Zxj1Rf6q6pXndDagQiSsOSTc89XZ5JK3+2MA28bWmo7B3lF9RRxcOFTb7ZliCeNGLbZkiEk3M
kjeZNsLnbsr5RtMmbGBpp/vQGu5TzDmbbwKpwzahZVL3nbzl3U0hINSl/Vhy3eiTgia1yAw8qBJB
pROolnH17OZwFqI2s7esVfT0dpxo61ynHbS2b5xS7qaGLB9L7xfn6r1FzRM56vdZFrdaoV/gg7+B
Jl4Ei15/9ln2Rb19hGlsSri7Lc+YSoHFW1TviEbfitXcP7bleOjG6r5wcnvHTqWOuC64WScMWWJ2
LegOxn0HQuMwpjwpvZ68aXp6IxK92EU5ryWkuhTpQG5CJnJbAvbPemMYu64h7hza+bAxZNrhlxgu
wDU+mzDk/URQWe7odKqC8hD7gUvgjrfwgVX3NhY5TI84fljYeZ87OaidGwE4nbNkS3iKfTwuuVJa
800zgEqwGsKgSzIIFBzzLsmEtqNKhzB30+8mYl0HI88Ouc2JunKnBaYmrJIRVNcOyITlG3OVosFE
ImD29WlLk1ZGuR80su4cqzM/weQTkHo2QPcuchcWiwq81K55+OgoKvSWzLw9mDtZVi+2JN1uNepl
IhNPjmd8bUQ8Xs6WGC8xUFcbNS/vdRveLDAyay6ZKpcXbLH9Bsv/k9uVJzGy/SSedy9FdnTtmKfF
zj4cYuS8t8trFQJYze0SCqlXgRSgKWMzVoRGnAxknE3NPBxMyL+VGX2xpFoHvugZtLKH/ijGvaOn
TO+4K6Xp9DmvqIZxUj+QbCjeccefJLcpXF7WzRwKaSiqT1mP3T6jw4FoFr0Sk1tdQAa8EW782ZTN
tNcixsKVeF9zqYTPgcPrkeEGCfmggxF2zxAlyg0dwAPU3B6SMZkHQBdGFYRedG1qSH0yz2HSjHa7
hpRZO0XD+HYBOzgW6l1O1oHRT7oBJRpt+rm+hAjIc7Uwg2lFWm5pSHyOBobilhZ50O34gLjN+HPU
9P7gdOO9qVotMCOVbBlJQKwp8W1QtPqW27211Xrs7WNPoWdLKCGARMiCQdKFJ1WqHZnOA8UoAIGA
Zm+N3mr3Ws7k2Svm8xSpdNuW3JQIX23nmSfQaZ/UOB9AjxxRP14wiuxSbxDgCjkoZwXlLWalbtyx
hDtbQ3Ak/xRtwx7PjD7GVxYtoYIQfzrisS4z8y4Py/CgbFucvAlhdyhr8MhgDcJ5+OAiS+IL8WOD
XrmG6eNp2xB+gF3CU9sn842pxothSVBuheuewn5t8tRZrUjIU65lwOlgiA4fpKlfjEIQ70kSl09P
eFUyODGbkbfYYj0PuX/DieA+Pnd7ObNjifY1YdEG0n8KJUekkN+UUq0kf9M/mYBi6qa4QKv+Ypd8
RK36on9VXTpJ9DNfV2ISBXdhaCjO/1USIA4/TmUM5ToUOvqCKXx7gkMSNcxpsUfkW4KFSzCaJFt0
6UV+vCxfzAMj367tj5i7J8wwjBmZQe6rr09JVBxs8nh8ujtv49jhV0vj1a6vvXob8hTDQFLT5eJN
OxOAI2rHi1M1bwm3eTDO+VNfiUMB+wl2yr0zqWBOl7vIal/iybvQ1XzXxlhHmCkfxpiLd2OEuASz
2zGGcVdkJc0FkENyJYbdYBnDm4xzZ2sPzCdnZyRjL7xH9u6HsMl3oLkhuyc3qZgu7Rg68ux+LJAM
uVTJAJfL/VAMLBfLq+6454R6D3+i0BEDByFELzSuakpuIgvp0+BTHEhj+uJClG4wzSNpwReO5olS
Ynre9sM8pVt9trVgGnkT51VBWgvdubsA3RVmo+3tcKh8T07eVURhj9/lxclg5glHqKNH2aqqo90l
1tGKU+0KuNejreQnTOivqjM1DBh2vxGE2X2mmuJM+OuLwLnwe8tNgu978v9oNWDNV0tS2v+GmOf/
r/9oflbvP36VBP75Zf9SBRhb6RZDaKbDVFAzIPtjrCZ/43bPF6yzuHXmxoT6d1XA+w2GJFw85vAw
7XA2/2us5vxmMvuiMZtBHPGH9av+BtJ2NVj+qgngdsJuwViJNnYHn/pfNIHRmQhLUe63dbGRHpND
clqAq3z1wv/ljfkv7KTfL+b//E5oI6Zm2rbEr/1n9YGyeDidpQLPxv3wLiJnmtKOPuSIs80yPZSl
rA6ap6odB8n8UmOOckk619U5g0jviA92edQ6NT6QBusvKYuG6dyr+N70wLX45Ki0+y6V4pgtoSM2
Re4Wd6L0RFDbVPVmYdwbGxvBD624loc05/priW64jPXG+eBsKV7MMk4++lZZ+7APoXVEHAc4rXu6
yQGM0cc+o2bw3Uwrgz1pxrFlCWU9z0lUrwwjSoLjmRhyoulEiqepbRmu1Vm96xev2eV2Y35yHehn
zvNRp9FfF4r5WDUkcjmcGlVybOcFp4zEyjnTlOeqW7gaNaj/78wZfJ5yH2E72XI/B1RhhfEj0C/z
zYu9+SILB4P1gc17HahE6Y4IGvvFUELACk1zb/Tz+JMcWu+z47dbXEdTgFWSsgDltTdCuKZigOxQ
qGR5+Nq2QPem+KBB1qenRmaCYuya80pbVAQZTEA25PiA2GOIWngHjVEOIdOpwb71bBUD3RLyBlOv
vFlalb2m+mKetEiGu8nsyocEnYTmGc3juCD1KAppK2sLIrN5055J94+3KrLx1nmhnRzi0shOVBd5
YHqg8c4brx2K57Ib+zen7ae7FEmh31SMjqF+yrEOyt4lA6wpzohl001XIGych36azIfIbPQddR0E
BBoccpf4OQHAp45X3C+MOM+K0+QNjKjsOnYkF3MHe5BJf/ewHIYR5K+pMXPiHt+m133f6Q9IPvVx
pT1EPol6esBG5GMMg9lSgIpJzHPYJtWTrBiWoWqnR/Ss6KKNLD4nSRhGO40/B6k70BuWVn0H7Z12
ih02kvEK4vtRpCHm4KXVd2ys8+00ucZbGJrTQSJ8GzvNVsM5Cx3zzSjLfGfjhAOTHAKLCRMvu6fv
BAWdXYodA2GjFcSZLW/guOallyzx6UExL6ALqzO58VZey68oIcRdkz6mmA3wSxQau8Xl8oF5ylPJ
MUsH3QXL/50S9rgxbR0mTMuuZsTyvHRsw1SXWMldagg2lQId/xkMpHEhqNv6qGMd0KQ5thEtWhNI
Ch/1Ld8uDEi7rVczMtpReFBchcAuHyauvsZOV8q4mQh3PxkhnUuBye7f+K0SNDaqZCmetTblkNau
Y20+36J5MuapehyXZnhvsbb8EG6e3eKkpD5KN2Mcn3VuGBdOFlMo7EKQc3yv0/ryhNUXouDsMF82
E02yh///sPNp0l7X5/+eFXtVNd3nP35+/uO/7K1elezvf+CPPdD4DVAJpA6oKX+EJv7YA83fILZa
ALa/q4P4wl/2QIMtE+sIWjVcZW8ND/yujJPPIOVhM9tjEzQNh2jj39gDze+M4p92QY80AGAPKLRQ
RIDH/nlvKrVhwBuMQcLD6M4nbJ2917HdwU4cwhkzZ23ON9PQyAcqQ4bLtGrCXaq66o1zbrGtJrVc
sFpHV3QBRTSwlsaz8+0D6FdLwGwtyne7kPLh0jKadxcwXURBrpdRyRKBPH7kosUFSDPRanezttiv
2gIIksytOrtAxzG554WOJ1fHnMdw1dGeDKZD5Newn8++5+Xjc21l7snq6uFxcHRIEsucUhHdgZnj
MD04ymQuPPBne3F55JvG5Q5eAKx7dCA0zVDFpL6frNH7kZqh8k0rBmDWzvIWKmj7VEyVuvfiqg0M
WKqoBsp4wSmUwwbBdDMLnbaKpKWLrkGY2eHtCI+LIN630YdJFZtYl1NQdjqU7hm7uMZcm0K0OqFO
JhWOr2cTGdyKt2d0ozDBLWorkIyluQfUJF+GUsTX1Gl8VWWnAtHnzllzKuMJQK8ixYuC06V5uLNr
Tflt2tg7dg3jaIyjdPfgVqOIy2kFCNFMhtgvFkb+SrO6QNkk8YXJmMHrPGTfWhuf2sgM0/ccQ37D
SuZN9VNpMmDliuZu7XKYt7ZLAJv2RiYBRkvjdJJPx1BviFuwAkO0Swhl0nV3WnCJniN90ineTpX9
HFIPo+NuTdRZhOi35EA0PchdXXsAxlq/miqfryTlxlxYazUE7rJ2U9QAEXZSh9JpiSxCOAI30JCY
DAY3da5GvWI+PzjoffANoHLXw0FbPPkilBKvWYwJZIMKxl5tdPT/gK9J90Nm13de2zHEaZYwpbIa
TZa9MmmdG111bhBlubm3Za0vG2xBDmztYnyqNY9l1wvN8HqkO/KqV9+cEVu1a1upcxz1sXrMu4qw
A82/7n2mNZxWXODBPQ2FQMbruHuSkdO9hvRz7ogQc+eY+HlfqlangoS4OLNqt2agtBBiPGvmmiBe
3PVSushbADj2Y5gnaGtTVLNhMKDf9Ho4nmoO3hRu6fEBs1d9P4aR9Y7jyB43BOXDR2dJqrOMEMb8
jkPOC1MtT21gd8hD56n+InYt0ItxmFLaWhpPEwSuwIEbw5WQXudLCWd+Z3LqCmamdM8JvJezk9jx
RzZ55ifZFfFcpnOzi1qvPWqcr+6dmJIxvfei9zAb5jtQ9uokoPjgCQ0NpujhlIb70iqpQAEUjxPV
tnuwsp4IfyoM6x18Wo2npi2VG8C5ACKfF9opn2NaOMd1NCKziTAFPyLvfEMPAx160yOt89m1Jgih
1HPF5gr0WN9pOm3qPj6z7GmMpfmVWlbpbYSRpxddmaWvVpGoW0XQLNpQRW++umZVnPFQ9V+xMkG2
qe/+7WKt4maPpZW7bQbrom+o6q7JVWTMnLDBQq7gMCv4IH8A+UGKi+m0+VHm0+pp4X4bb+k2QGgb
s55zPic5+Vbi0b4ah9z4yKmUOuuhhUHHaHV1Cr/rxWmhzN9DvW2PNqOlD42ShRdtkdbFNKb6fVpF
Fe23sHoC9V1cnnyXmE9GB1clTag2l0wC4FnXg7msfgWU2bUHHaj1yo9e29GHMufijXGC0nQ50J8u
PCx3ojBplC8T9I7eC2+h3WV7w/TWQgfNE4fqu5CdlMXeymN9r2eqf+UYUlwq0agLr6oAjMbUuoc4
tn5qXtcdF2hGpxRvAlDvxLzFcz4foUDBJp6lII1vi08zdonlkOLKb5RbR5fZWi8fjWFxZVtMMqjB
a28cGU77uOrqy3Stpk8zUx2T3MBRIFrLeJJdMm4bIydbUJr4c+Yuh/I7zgzFKJ5CxPj7p5n/mcFR
g0s61+///sRzl7Q/mtUA8Otl//ev+uOYY/+GwdLAKbte6jnK/GIAkL9xhOHXhkmJAwaX938ec+zf
iFKRXv523lsaf/rnMQdDAfnB9V/DjE1qyfo7pxzE7r/c9V2NXmiHsBF2AgsI3V9OOQwTPdyQmLtj
Zb/qyQBWMC9JTZhMv6Fh1sdwsW4wZ+X+7MkYOtAcs2eF11YDCbOt2cwKGph1D0IuwIl812qZQw1U
7+yLrnWPYLRxpCsa01JFocMwl8/96jFQfUEN7QJtpqyHhVGrnTzD3ix8WZErI/SnBfRUf+mJ97ms
GtUqVoWQUVFJlbcxGvejHXCf5r19X6+6lrkqXD1SFw3CKN5SP1pT+KQoeT3IVQ9z0Mj2FlbXjZSR
Bq2YWxB+fF5jTh/huKpqYtXX4lVpg7vpDz3HfvyHSKnIceaqy9Fu2mzwpXPZAKIkVhPmquKRkUHP
G8NzicA3IvRpMnzpbWsIyHl9WK79mqzSYBRdUCa2m53wfjEcFmiMvta3mihDuR1XhZEysgFuK6pj
ifxYZUgNLYLkoOL3aVUo87DFx7hqlq1217YUwRgqehF0S8pkvOiWAbx5dCyKpNkPdvdmo4da6KIa
+mi7CqUGJLFD2JHryWq93A3C+UpWYZX+Q2Koq9aK5lqt4mudOu+sGHd90sPRJRDHiGL8AmIIOnsV
bycgW4G+CrqAwmzMeCYibz4LP1OIM17lgP7pkkdnFYXBNXN0q9K7YhWMITV9hKuEDJPzq0VTNtoY
W7WeXTj9wHCxf6pX9TkS6NACQZqaZQb09UUx1vDKshMgsz3V6R3ZQ6v2Z8RWa1W3ybAeJHK3u+re
Mo5+oOLWmwrMv49fCg7XqpPDGQ03pBfjw+JCclq4ve+sVVhHYG9ray2Ry4i/MUbZYm+o9kVpMeRd
tXkInB8Uq8BI0Bgxx6J6QWAQp2zV9AvEfdxT/J1bXaEaXU11etUbriLrykSg9gy0pqVJcFc3N/k6
NwgBt24GwxYXelTtGmXe6m59oiz3JKvkfk4mxn1MI2wO+XVjmsFSGzf6OqkwFkpxx3V6kaxzDA1a
EbwMzkXrjGNapx2asOpgWCcg1D0OqFsaxBDGIzEsW3o2mZgY6+wEI7YWZDDoZVEfUK83nGvHPei9
n/k6cTHX2YtYo4ka/RfNOpeZ+4J/fZ3VGDVuZ4NRLGsd59HcPCi8Onxc4IapkNsRA5/FZBBjOmS9
pFfDWnahCiLeXDtZ6flAV81NbWcFxMISXvI6WuLJ/FSRxfZMfhKDDSDZhikU7899u46lIi/+xFp6
MzOvogwh2bcCGpZhLRpzTve5W8dbjWX7bLVMYxPrDeIqD7IofizrUMys+8+4ZYInsGxEvcXgzKt5
iczSBu6nB64EXzZjF1+uAzcYr4wAHc39Lq7fkDOE/ZTwQ2Ot9Hy+6BXbtIRgm300VYsLHK09ZcK3
cLzm5lCe8np8ggDFT8I0MFnUVmM62DAl7ArjvVzHhsIUMTesdmIuNkvnyIOCrojdaS80fl5Xxd25
wHR/yGL9ONUJilbRDTtbJrChnIwPU9K/FowSjiLulkBNxoszd2JHbXp36tdrljeNP+ZiAU7n5sZ5
tqZ7MGrZvp8xIzJ7nTcTAmIwDxXCDxGoh8lQ3OcSb34dR7ENW0NRHKZhrBlrCiM4PQphFvsEZ4Gf
FhW84FSb71vkmx1vF72G0n7QQ/yHANZW7pvz6NTDF9NlnNYWuL12eMgsajCXyXwHK8WUw8p/xHhS
xGDeOyQFNk0Rfsyd82ZP+ZfDhAbF7NKKXUEzENP6eCq+p1X9vuNaHixaVV4o+n32Wa0soIB1c6vq
juFPog3ntFnomFwSeW2n4H+5Ajd8puc+IK0gnnj/+isaFaJARW7CDAr/M4TUn642kCOpMuWryHn3
sAcD3TEHFD3MKpR+kF0weGy4+BQbL6UCtbUWQvmpeDKV5l0VDSUbeDCe3ApxjGQtR9zInAP6y+9n
N4SM7+rTts/axI/iuaDLVR8vMhrV8UZM80PX8jTHwEH3Wch4aXQHthbo4ttQVQcrhxOvrdjtzpOg
u9zm6BmKbgNLrZlDOe9JKCRBWVF2GPfas2JIHsAL4yJBrSoe17Pq7Btpy2vV5MHSjHCVdesYjvSy
CYZpiTY+IJHX4LHnS9YoBoQG5iqFvOq65dtY00pgl/pJQVcSVnS2xurQKTlziK/PJfqqg2OLOvLq
UngJE9W+1ANvZI/RMOtTdubk+9CtXgd7+skS9pYmxns66ndTQ+yWn0b508LnPzMUWnya3wIA1/dV
VzZBmtfPQ0JrxKhjK5PZa0xcG30uo7iIdglWkV0EQ4wXUZ7KBVdB39zbmnWuLAWG0ODlJgyquRjo
aj+DvcU+1Pu9jX9a66nYncqrdnAfXSM/RyZqtoEJuVzuiVwCfxi3RMmxCE370avvhqEtWbX4Xnac
nDKOQZZazux8INYAODouePW42aMn3ZAMvOy16DB27o5B9Kltmr0s5akd2RRohmFg3NZ4hJr6NCuM
P+ZQPs45f2+kF21FY01HCKmsOieQfb3WUeRvq6cYgj1AQ5t1qHGxPsYab7tWaygkY6Dr7UVWCp0E
BCP7rq8/rFzP6CLTgMeC/kRJCYYxtTdgTC+NCDRfv1g/vRCPgeliEk9gDVxbELrI7qrupq1KSp1N
ejn//l3h/zUHsGmuh+x/cwt4IOld/OkK8PuX/HEFsH5D6HR1i7wGf/OXaR9TPgfYFSqjDVflX0on
9wYAYzZjPkZjTPwcbMi/K50GSidmBey/rLuc2t2/cwUwvy2+vwqdrgZry+B/2dGkKdeJ468WYLxJ
sVcbxsjat8wnlUSOvrX1nIZu1caPRCpGYC+ZjOGbW+LV4HmrNm0TaThtUCuDgrHIlROXzUHPPcFJ
MZv0q7SsrOslGevzMAjm+w5b4uOYOsqmBTBTZ3vRygsrpgyjbujTzWuHSLUxuMaJjEx81NaijVgY
xQmHW3SdavRA02yViBtKNOJj1E/9dS7ra/inB5IfF9mgxFvSYQfr8xEijdnP6b7xMqx1I20SwAbi
4tJZZkx2PeqXWdvfLYPy1iBofmF0trVfaSRBqwN3wBPTW+TytfJqnnX7pNm0sygaRJKNpFZu9kdm
sY8dHlF0SoOWGFPPh6dJVtq1ZzZTw4sFdezHroZ0p5K08elKjFkQK6wMAKHzaqsnqmATKQ11X/P/
fRJRJc+R1JEWcvoMv5qZDqops+MLZZQC+GDtbXkh1nFSbhJyZJLWFJieg9mXJoUMxq5yEVUnHUc1
GwZl2btickh2DVV1j9O3vves8pgvibjGgUQsf8HUxPtLzYJmfMq0j65VrNFwEyUp5UwAo61zIYfx
ppMsFVZorKu72yT3Kk84smRM5+4oqsgO4zTIZ6N07yDk6zScZ8tblHjySeg43mIbg4+fU06w18au
PDtt3Z+zckl2lmbTE4a0cuq7PHxyFIanRuvHD30WgwfFYayeYnpHXpK8rfaUP+DOtuoofqQT3b02
FoPchCWxWhtzKZ64l3EF6ynr2TH8q/E+Z7Z4CTvPuEzkmt8ooWvnDjInreZJGQhqVX60+G1+ovPl
KPeQSNm987dqKRfgsm75kA6yfDe0BqecyLsHlc7Jh2lZuJQYvyfnkHHpZQKh9oTJhQUbiAnSHTkc
9822y25fpKnYJl2IzUoOXge6sw3NQyvs+nnOtOkadwebZ5IN9qXTwQqZnIX+nRBPB2NqkYW8fxid
2cjUIwxW773jSvPIia74wfyharYJAkEcYNxvbqs2S854x9KdlU0x9ayhcZ/3OMe3VPkkHzYFKEEx
huFlTorls43rfBfBaHizCoufriqM+mZw+n7GNJ9yYyi4/iW+U0nvIeTzgs1MDuZdIwCxgKWwi8uE
LwHGu9r9R+iu1w4jspM3Wu1C4nGm3D4qba3yy7Kb7vu5sk/l7On7zGkcRRhqdr8gyQAa7xfnUeTY
XI69EVHWMgqLNk6v5EqJo5nGojZmGr3tGCQ/Y9oz2J+zcJdbev2UD6KXQJZBsNKzMPoVwuGuDMFY
s6tX0Q9JFOcW+oa+Hypiq1Sicnxg0HwCfeHcDJUOpiPjbaJeamm3VurSvua52dMiy+Ju0mvzMeph
Sut1ne1S14z0TR9plBaJuix2PUSIbFvypJ6Xqm2RxN1l+pqmqPocptDYdq50T5M7W0c+/dkV0cW8
2WSpl4uNjmne4pAjhy3jq7jw+zIvfoR878vFjml94XJUZwGYmASSULz8LOy++ujSOD426KB7uLqc
I2AU7Wu3Si5jcEpXpFCbXTO2Jq1qjrcb3E5zOXZ26gejM++FjYXgBTvIC5MKLPR8Yl9A8Oj0jmG5
w3aJ9JNsQpdEUZiMjEENqTdX5Cj0rTLC0K+rblwPtda8n6JueTGbUNz9/SPB/0z50LQYRf67g8PT
jzxfB6b5P/y/lmD//rV/nCAIBGGSBm3KUYFM4T/dQq7+mwSVyX93HNc0tHWI+c8MEZ4azgkg1AzD
hm/JX/1+fjB/wzThkNpfzxff3Zx/5wDxF6TlmsGHK+y4QDv/c1CKwvnr+UFGTTRbM7VbwwvonMNy
AFO6yX+QqP+/AKLyWv/kGFq/mWNoK1cAgxLDzT9/MyBBMR7izAy6ulx2ehIPB8eYqbLTYNL/8su4
+c8T0K+0O8tdf/I/n4wswBdgDnAdcm5aE1q/vjJLjm1ijNMSdHBwYOyEApCtI8hvTJOfNuHAQsxN
haiGu20iWXA+yJL3KNbC68RNtXO59PXW4eKwZbdisgn6h2FriFl5Nls/n+d7fqfJnnaIbNsD0PYj
tGKfWGR/NSgIb16blv7sooctuZg31QL1CQOHYpWhW0mmSj/UXIaZK301Gr2NG1Vp/ExpRhv03C8I
r0uP1jcPQZRLdze2Wg+DSJ93YxKnV+NEj7LmwBtyOsKFFjviWdmFOLtC0/aRZKjqoGMyZ/XmfRtR
QlO2jntRlJH9aLN3XwvlcsIJ6ZoxrjTQ0hVKYuyhAkVrurGJmanpTbZ8ev2EgzmHjn3qpceSti5u
MpmSR6RmVrxp6BEPWtc5t9AECK30cl8RCflqWq6Ffr6umHVFKTRocacnS6m3qHmTISn/XldaMmYe
Y5XM3LKFVZ/NuiIP63q1QaOIz05lTfFWNDKqd8O6kpcDx7GNtq7vBIxY6fGXPAoo4XcQCsaHaiDw
7qx7w0gev9kWDMheqLCab4up5F2kLt3zmUghuxCIX/GtRCeImNbiTOPHMhy4cPZ3hsYRGhh5FN6n
eqoeGsh1R88W3W60m/LcZBNipEQOfJv5gSn2HuUdrsDspluIiIHjCA9eHmY/S8cUWHPiKodJTwlC
7YbGrZIe8U+KX6ftgCvQCWhfbF0EcFIFdNpmzSU+N8IjWt7YgVY77kEMPV6AVG9+0I5YPi95wbEl
Xy/cmXLGcxPL6Sf96cI39VLbUfGsgkaqcROpAsRURk7csNL+e4PdNvjuNtZQDmSOcm/Xl70B7F5/
8loV1Ihr21bVzZ3NHqY2RVKEb2nvte9pFIvnyEDqqKbW+OI25HY+fdOEZfO0V5c1qPx7MxyaA51F
8ZtXVKIg19sX5lVrAZbfGpkXdj7ei5rmND4N3Izn0Ntq2hpOprug23OCFNjWJrOk7a/luI/ab1V7
4gTqvdTD6Nnp29AOwrKnXTsHzBcwbavf6hiSop/JCuR7Eq9BspJpAm5Eaj1BMPGR7IsuetTTNh03
3sgj55dORRFhV1iXs6ac1z4bXDrd0jBdfHAJ3k062OrcD6I8CMCIt0B1xBUjU7cMIJrL+0WRoMb1
To5m1yx652AJbAV9hQmTd1o/tK90apOfrnDaezyQ2WOk+NM0McdB0bGo/C6TxrqZQ32tiTN5oSVU
t5uYxPh1lcAJ2GiLMT7CXcRODcCeMHvGYnabzdhxODrxa6fEyD4P+gS2PsvivSWkcZcsvTpNzFpO
pl2Jp4zPFlEwLhGf4A2xZoglwv3MnQmam6Rdp4+olA87Gx1YRQ32xHxsP6D/2fwmJvc8jkb/WksM
nn4xJ2mQthHHdBd36ZbGhRwdS5P7vD+avVd/QUQcCdM0zjX9sznhCMubXkNhiS0HbLkxw6bap9oC
xpcxfkDokdYFDC6IVAYZooRavHIc4lOvZbofcRHaZg1ZKhp+8dOYfG5CV3LYawkokFCMDrrtlQdj
6IcLBknkH2tKdw1a34imZdxtekJqXtrmJ2yE6oJalvdmQMJTEktsNxD0tPAj+DTSIQrXOaltxvO+
ClP9yAQo25VZgdTCIHbXV0scMDwnGscmGrRDTTVOzkortXS51HXH2pbYU31l0sCHRTMj5dN1b0UZ
z74qh2G3jJV9dixMlZ0z8JwNmnVyOsvZUhdqnyCjJHfK7Jej8mb9mKZORGt6TuvrMHn4ieKFCjUP
ROVpjgu1KyNqR+E34LrRmEEYvafdDmyA27Iw+u2s+uHY9gZLDUIzbc5VNz+sXLBgHOvkaqHo9FKL
x/ZkRkNFi+UYbjwEqKMZA0eMyBZt8NDiVtewKsD5jzbL0jVBUbn2dtG84Wxycr/TQSLeKaeGQ5Kw
3JCONQ5TGQ0XUMHZO8I5zk9kbMRb1xna1gzliL+1pv5k6sCBrw2Jaq5uzcmGCYKYiqujrB5Rc+en
hrKirRcz448nl+DwUDbNg6LKceO2EYlBJ5/bTSaVdaVhXOT6pZOsy6OEvHBLA3PiDHuXDlwybfS1
Iit43rkcmBMAClxMKqntmlEHAUtmYKPlPsqhls6FUEt3ScCyPU7GHJGx0ZjPmTnPqN9T2HHD4muf
dLuhsAUITHciKWYeHXYJ2gPTcrrkku1tpVkzIgMHsHErTTsMjt3um5wNZkgBCxKdS2+4QSQfxtyL
Lf9NnKciLG+XIS6ZsSXOASUgObEYfoiiKjAAKH4zZUWv44A3grcj64PWpZx1zjx3mycdLHnJccPR
rcjXZ6lhoMlwh2aZSW85mPfrtJIl15628o2FnAVmg2I3h8W8IwjNFZWHEaPZIuj2aefXijbkgIat
cWtRH/pBJCb+nAEQ3iyj9r/ZO4/lyLEty/5LjRthuFAXGPSg4Jqk051aTGBkCGgtL/6mv6V/rBcY
KSIjLTMte1ZlNXpmj8GkS+Dcs/deu/1KPax40sZmuppiK8cNUXGxjVwRvbUTMZoVQiZdUIZVqBDA
DG//ymXXQvalzoYdmdnkUY0weSoxmDfDiFvIhy/LnWV2WvMm92bvpcQduovNId5rqudx143tXNDG
2G8rq/e+19/9JXPtg/H/+1DoAkCmSQ5noGUYuOS/D42f325jvjv/+z/E/wqqJsBLzTmVxi5cc/fp
pn04hHtrE2+01bzzbliAE9o56GuoCut2v4+3/0SxWyb+HwbTXx4DhDxbxz9Ag+FPI3c0qiwB7MoV
mAN37oa7HJiV5/A//QFtOK9BSXWfPU1AaMEFTBGVFkOmbaNtECc3uRuQyn2gvIu62HWJR7kLrnCK
bGuD4Kf9UKbC//tR+k8Y+o8X7YcH/JPRvx3xKFMmlW0sKLyb6a59sE/5tbUpd9kldsWNr70B88Tj
wk1xTWT5+975L9+0j1qLP71pP/z9n44NKDhJ0SwvGE7kMvMp9t0U2+jkHDK/eMzemutu1+///jn/
xLH+85u0vIk/fFDcJi9GdAja4I9YtplWKGgA1bpObpvrckvq8p9e5GVR+6cniTdzoaLhEfn5uOIm
dZUSGMhoT9BOHfUC22GrNg6VBqd0T2XpxrtGgLuoD9l+ZW3J+ev75B8wfuyr//AQTDIjLC/4WC5b
c8dZMH8/POcidAYkxIzya3nplP2mWpAx0Ze6VYe/f3WNn//Sz1/Dn85mgte2sYif8WTTt+dq7eyM
TbtjX3U9voH13XDFviKZsIJb+chGi8jeeqnO+HgU/yrD9N9zeYFd2/1oh/lr99PxLfzyln0t3n50
P/32e7+uLsxPNk0p2LwBmog/Rp0s4IIWP6TLGVogZ+zflhdCfDLBgRqegSuJTpzfk07uJ7rU+O+g
oVnff/IvTN4fDM7fvzGQWriQux/sFVyNOt7xP35c+5mRoS84fXtJterQNUrzUJCYGVJtXcys20mu
y+rCIWrdRfVDlXhwAypabKJLgisbc9C3Q9IfHLoWpQcsjMTNTN6G3mNmlywy/+Eyxkv28/eL5Jcj
2QKYDvZEBKA/PmCC5G2JE9dda07svAlkz8chADnnJuaiHVi1fQxVkl5OkfA2hHUU540ArbmIuuBQ
Ou58Y7P33nSePWD3pIdvMtHgLeI0h8i14cQbWUwLiSuao9Qb5xWMoAFVPjHoeXccN3lJWD0YPtNp
+c0qyvY1za3xWWCeqbdxNCYnY4rSp8xeku+jjYV5H1X9M8upUFEMRsv01chW89IQRnGogrjJV5Ui
I56Pk6Y4ogQlIkYUJUzLQGty4lKuMnzHHZJohyNNvRRsPhkIgwDPyhxqw003je2h0J3om9Mw7Pu9
DOcDZVZ95fPM3C3njnzYVDkL0ywnwYUpTd9a/dht7XRq1/aQUx3XZERnLM1NV0G9ODUQnY6a7qw4
uh3orsKtMd4Wo3mKG685ZQj6B9ELtRNdHhxsEw3fH+lYveMQ7UV+5Wj6c13Q2I1pgCZzbZzoUub0
z4EpTGt69fDakjPnBnJFLXWz1cq6uizNGeZyH4TXDdidfTvI+MzZNTl3Fq8PUHh73zSWw7G0TgKs
W8F0l+sWw7weuw/T0BlXDArBSrAn+rLQyVlaN4ZiItMLnLs1Egdh6TjEM0eJp/s41nOzj6LZuZ0S
XiUi3sbZaePpMS2Ucd1QSrU3Q8gFOIBzmA0W3bDS1t6htMx7KFPRZdxTA4T1WpT4YLTu1s2ShrJA
Y2DxQ+va61iVtb4mnIOuF4e8R3SlDuSc5Dy/TVaWTyTlwxlaituhUy18TN2neC2DfokzY4MNx9v1
VZDdxzUStxaZatuqVPF8ZHlLbMc+ZnPn7vXM4mir0cQ+yM5mdQREqILB88RO0mP4sce1A5f7Du5H
c0a48N7LKqgPCTZCoDrJeJB912GYglUxWXr+iLYfXBkqJteFpQziDSWuN73eN0cC6/pjN7ntW1gr
6yLTA4oGMEiQoBuTbnbWVLgGhj9XmCiBeBH7XHMUbNtdDVGAmNWwVCZFsSWHkzdXA0geowW9vmJ7
2xfkyWbyaikNbmSvRAevBbAB4YIAT2Tvc/QYPk+WjRaW1BEuxIqm6xcvLOYbeKDuA7ZNkAwqCZBx
YEjOkI5SDvB+0YXxG1Wx5VFFWuCeCNgV7TYp8gxA2VLz6SyFnzoGLGM9VIlWs0Eok6+4HOxsLSMD
tl3V4bhbuwp3f7H0iWZtzcdgKmGYO0vhqJgN8UV+tJCaCShBv/3eTlrnssLujeuEsxDm+7wISF0t
paa5mZBtTpeq00wq59Qs9adC04Y3ihTURbuUo7ZLTWqm5n43OZr3aMR8GH2v8SgjTTVxhOQGHSlt
cLqEo6afLdX20g+XLlZlGEBRp5yjZEOBHJENs+e+r1L8ckY8USkZlDqx63Ic6Omm8K/oNjU0IJ7O
SAdspnmK3LQjb2lZIAMTUfGwJ9iYHFqTBllq/qyXPIAV4hlmfTUtTbNRwTGvammfNaKivmUHn63j
pZtWDGN9kUune3Fka943S4et6Sxr2prT9hV2quJMPAT0TbE038a17a1zis54oHPXv0QfHbnwDsZX
gk9hTlyIovK/n6LEMiX9fgNcGprMBeltSMtm1Wx//PzHec3oGVIrFK1uzXl6jWJ8EWzlzlhXO/uf
JrZ/+ls/HVr4DMWxFfK3xpW+MlbFGmdQutmSX+VegxfPr977rYu5Zc3HA4JK5P8TYVz80e3MhGGZ
bNoBTCAieIypfxrJs6GVtkg3wxbwlrXSU6Zyuk9W9ivZ00pfYZnZ/MNLvDytH1/ij78psX4IFzHG
/ZkDXs68peS10g2FV8zkET5Q3z10vtxFl0S3/qnQzPj5Zf757/30HGeSDAR9SG+Hmb8ewnVwY6zm
+3YVraGUBhufklS4YGtri5gY+tH3A8D/TMT/gX2fGZVX868n4j/JeL/9zq/TMEIeXqDFcIN5H9MN
b96voUcJDpAovMNgxyCKzvfbNGx+AmbrsW/SxZJ9xKn/m5Snf+L0j3GHiADYAKoWgQL8i4HYsv44
YH6IeWw4nGUWhgYo5MIG+OGCQOqQZWkoWmokiuE5rmX/deKWc7BFo251o4rPRm0WBw5/xUPtatar
VO1EPQHO1TKPqBXtevsqjEZqRjx612U12VzdHaf5RogguFZFbLFIMrKnRkTDdWXT/hLi+yVZXzpE
gHsTRmAmt5TkoZEUZXhIG2Xda2yAnrBcN5vSk8lDXZPUQruAcSusJvHbdsq3Gte6+3SiXNIWpfk8
VtQxjIzkzAxmP94L1xqRWfAeXzr5IF6KySJ0zjEaE6NpebuR5hk/GSu6XwlZhgdRmPIm1dGRGPln
YF0GYN13GQz9zVSFVcZyE2MTdh2TawnRHUZWwULP73Rlbl0H6iZJtyHqFg1GTyEnWSFLgAq3vK0x
d7uqAMjCZjt5TTQTWkFrkGtbp/lAhLLTUvVKLJn/aI3H9RqVyviqFaV+B5DdOAbM51vg391xsrn7
ZRhkP1uqdl+UPkZXXTN59cqznKZet/E8cXvBCoMnpuIUY3Yu0pkE4Htbe274PnQVRUYEWvUzAw1w
3yR2MAvI8oPR2kwwY4TFXT1suWiCUy3qLeZDT+7YnDvl2rJ6s1+FkBBaTMWOZW1jC34r8fGSGgd4
4c8IjzqRdyv60sWq2Aee3R96LW9WTZrnLS6kWn0e2UgXu2ZsaIkB+WLuEwLmGMNpGTuwA2PRLsa+
YWtDGfKNaoOyw/VsBycl5l7zx8KezE0DyYZoJsQya+WxoHsrF8NDvlgfMhXPew4y3jOaYPXWeAnU
xlDFwVYfCu9YhG7KzRczRRmm42VHdfMWP8sydGbONTA8m6c2JVf0E1gs9dMRzmGAV99zSt7/4EPx
ZGGJ+ql9KKFhvaiiziKQFotUWi6iKZCF4TgizO5G12jPOWLzpW50OiBYBFd6YRAEFhFWdwMgDYsw
OywSbdmbyRbrULylu8XywVhUm2TRc1s+F2zDAQ7XmQwu6kX3lcQ5WflX2rPbLNkV1yVDAnHP5s67
yifaTJheHTjF6Gr9Ii8XttUdDZddbmDBcjIXGRoaSLzLZ5zKXUFaIOJq5BvSJLgh8mJTLoI2epFz
YTaud2aLH7+bLpTZZpHAk0UMLxoLtXYRyGOnybeT0UzHNpPkOybIh1baI5EMLiatmjMZxntWt8Wy
xDVVqF3rQCE+VFulAAZE+RXV5Qmdz2nQ70qOpgRiKo63q6wDpA2p0HbpIQvKTFuheRiviskth6OH
4T2cWDhDiBdP+rKEVlHcnt3QCr/ay4o6FmLcVMvaGkbS9GJK2CbFstRGNNF4mVl0h8vKuzdIzAzL
GlxlU09gCerumDfRCq+4tgs+lub46PUN7s9wlZq8ikWtphsKAyia0Ud6ZCaVAE4fsgCDu8weIfyA
AVt29vqyvR9Z+h9JV7fXBnlBLFts+UOqts8S1euez75aQ1Jsd3LRBQIQ6r69aAVg1TEELvqB+yEl
pHHtEvesRnvNsYuaIk6N+hc7EWATjKwQX5SNToBaM7wCoY4OCUeho8xRx3nnXG3T4Uw7GLUGNsxq
vIA8zdBTmuCGhCFaC9Kdo7VgGjmpZpzVamtbEheiyWiMj/3IJ0SWpn4ooOFfK46425r+tw2eqOyq
VwSyR01ap0Gk4cpwFAwoK7Jfxg64eWU0kOAXHI4C4qZVhzwkAJSNFvJrGuc1gcXaMXcchnM2K3nH
PxPo9Bicl3Yxc+kZy6kp+tLoZE6Ux8WeNivbFD4VWsTILLI+zOg2FCsrkt0z97v6RY+WUjOYSRSc
yUJq8kJTS/GZbYOw8AGKa49BUud+bMdUY4sXwx7jk2PN5qG3CRlFqTN/i5ditdqo9Pt+KVtL7KV3
TY0Zlu+ATYUNfOqZb53RrRMKC46aufS2mZNCJ1zK3PqmWyiyTqQ/cOZAXk4FMGaKwYc3mcQBJxmQ
7Dw68HQntj3dFltp+cSfS09NVOR3WD2yWwy7YmV6hGptWQZv5WTk93kjRr+Z9GYTLHV0RqImKDkf
LXVxO8v9vFTXOUNTnuKlzi7KiJijEVFyp1XtcMGtWst5nSE4rkM4e0C4zNyFvjWkxlU9G9MX287n
bQgL/l52S6OeF4Tko8F75d+ChmSWqYj/QRLoiXXXebdzl3a+EiBK4ysr0rY9axCiI3MS30GuI+/l
aGLwu6yNj1UeJZxYc32+0aHEAdB3nOFAwySl9SH9hjtHM7DiLYCktyZMS647BITa1ISEFgTNsTT0
aaNkPeFNLCG0tfB6HqjW1hlTgjpE4sA07FfCqC6tAVPupsBj+zLO3rCjxDWHGIYZtFvRJgJ+hQuH
ds+arTpPZlMfSR1NYIuH8WaiKQx3Z1BcQeSeH3uoqlvb1MbT/+yVO3X4gkCmC52dLmPn34zRX4nV
/rhU/v2Xfp2jscCTfcWNCB3/l9Xxr3O09Qk4louV3bYWyNYPc7TQP6GxY3AHvUW/MCff3+Zo+Ykf
sFLkoVFXzr8y/s0YTfvvHw59LJYlJeHsvD2W10gi3k96l1s2rAEyxwRSU7rvczokVwMhOMYwAFHf
HFNLH4tId2iYId6z4+5JRl8XuYZ5tU1P/dioB1jL846WDXL98iPjL8w8uNI90m/Q2j3BDRqdXVYJ
Ya+SujNvFw5t9ZChQkMBGUKiHQ1thNt+MsJtnOKa8KvBIU+iSsPe9UioF30o1W2VtdG7u1AKdG2S
d1nkqivRowlnC80gW7gGA1unz1EF62BaqAeUhPRrz4nlOqIP4lRQjMdlYyElKCBfj0DrAQpM2rQl
1TpfO4XIdznPHdMIDJEnMyrdEpsRJavWQmQYc6qP/bZL85dmITZMC7tBjYHg1lNMF1U9g3aQC+Uh
oB/hKV3IDzDu7TPFu8aTWLgQ+kKI8Ka0A7I9NQ3QEP7VPhPW8Gx3APBAYtjadobPfg69rP3GaMg6
NFpoFCkO8p0ZGO5d/gGrCM05OwdQztHU0er9oWLzNS2Ei4jR4ATayDKpbDVhP5Q6N3FgKhTa1RjS
kb6MyxzS6bhxxsWQHliGfOoL/Cp+VQ3uJaN7cRV0k1H4tm7mONIz8SWyLPVuT8R7/MEBp2p1Efav
RGvHO04MxkYNwXRuyZRww8jo0jAU1Uar2kuLeylCa2BTPAg6OMvRfejGJGjXkr6IxyYKcaGg596X
yshOou5yCgv7agdsO78AVwmnQR8zbeeMSQPCuc54M7LqYkzT4kuiWod4YzkVexv78bpOpviVV2zi
2sq8f+UuFjStD22gTY0DyLS1rXQfi66/M8MZZ4XVyuk8mEXwnhXsRJtEpzLHweOcrY1ECJK4dTjc
almj9SuVTN24gjspLsKgb75Bf6fcU5sT92sYSOOuMOL83TMwf1hNB4Nc6Mq7tDtXJ7nUpc1lKar+
iBWwJCHnapQGkqfJcDSyaPZ7J0ofI9g7m4phe0u/BChj6vS8bZXm8BJH4sIXtdDDA4erBUGFtYvF
LwS6z7XbGl/HZsi/ZmkT3DRRgmOzLTxrHZpkzYy5ntvVlBr0PGXSoC6D2vpiD6aTJnN9WcKTEwhw
67CYDzDOPmTLsp5Ws+ku+ljgtym7fKbzcs8CDjV8WfW7wxifodsFux7Q+DWYHXUdLOKAXGSCbBEM
tPxDO6BFcBNOvUkCjEJMllhNVG2aD80hL5romSvLxMiuZPvALmz+HKpcvzIWzWKaAu9QSje9jpVx
VfW48YZszUb7SC3E2hy4+miLBhJKQp3toosMg/Gi9YUbrho7pzgitSGAZaEW7sgWBBtjstujKqJs
2BiL4FLmBdpL6/XOvlQhadp2EWciN4kPTPjDTTn1aDf5h47Dx9V+Food7jamKsby+Zyj+owfClBI
QgUuF0gFfQXoZSLPt+hFwdQXh2ERkdQiJzVWbHI4DzWCc/vIkezwGKbSp8Fsi2tyK0O3TRaJqijd
8SVI+Tr6Zl8gYWG3Tl7UPPQJzOwWMLRWevbrLIV76TkFcfYPOSxUnXcIwTgeaynoby0WCS36UNPk
IqyRXmJCX8S2UDnJJfHi7JjnS9i8nF26iljrPDS5br8Zc2W/WPB45X7Ik/nzzFacEU9rFedaupZS
f9ItviUywZaR2I3Dt4rKqqeopUHIRlmr+Vx2icGwFUSMa5V4JZSCHdCqA+05Bsh7F9Cc+dLz+j/V
DR5SftIDQoKKWkLVl5N9bpwsOtS6DM7jyBqjn1L9KPKKsgCwov1LH5bFTudKQZ0LcK7ltBCYfs8d
iJxQEoUgcFynf84wf924U5Bcz5FbvjZl4p1toi7uwQ07ItZqAcZIhKNLgvzmS5DkwbPo6vjx349I
/9WihAwXiLYs9v569vnPLvu//6fo4s8/ldH/8ou/zj/WJ8km0MQBT7/vkgn4fY9ofzIchmDueey5
F6X8tz2iEJ8YvuiaZz7CRy+Xbf8vkQBGI4ODEUcKLEXkAL1/tUb8vib8fem9COtiERZ0lu24QJwP
E9UPa0QZc8hqMCdtrIlqYF/WThv6BCEheKTp0NG9MI2YpDSi10YAXrIFnMno0TbbcWyTh2I5MXB6
I0gEIrA52U5TscJp4FbqSQ1YIx1fWWjF29imfEh4gOhBJWN4V3rNVtv7gj70qGFi3cZe+ZZmwXsd
j3Ktlyrae/SGI9O3xGfhGkeXbB8oT8uFcRGMIUyNCX8qXHE0u3oKzFMbNIDBuqG6gstuXk1DRTaw
C4D8NoVzXYE1Wve8GwdqLaqLBIGtwS9YFRm93UG3GxMDK4pbDTBOQCJnbmMm/tTgZHSCzWAPm6HV
+XZCxtwsdaEr1+4LbOZNepmNmBCDynqNJ5aITmiiO6ZAN8ZKW5ZBDhZNAGaGMjuMjFa+HtG1fDtJ
xEXaT/eZtKJbnkl9LkJFn1Wo7BVVLxOeUtqxm0E/lL3+XAgHkHBNgXSM19UvLfOxa+xXCgiCfWuy
9DEkDPnSFa+RUTUXZa4z4aBjrm27HvelVAeVJDdePTmnWQxvfP8PXaxDcmqnTT6m6iKJAXCA6M7X
tXD6jU2n2iXQeODuBXYFrxumHVuSdzzRk++0OlxXmhM3tkJzzzW72AQgVFY1d6UV8KOzILawI3hm
1ytTTt1R6EMHpLyqo1tKiaNDlOB3CMkOPrQipyYiir8kJnx4UUy0b6k9aBWyi8n8TarsFQokOYqI
Rz2LiFx4W6xJakhmOwAybViPKw7+9YXWZS+4v7MdebYntxPODtk5Oid6yqptHL5IU72ACWUlRdiu
aO1k1XkM5INL6JwGyQNxkRe2NddY4jufjkXozbzF50UO9QdDvZoZlBF/EL21qgg6bGq8oVgMmAFi
UQwngxKSu1kU8Rep2eO2qztvM9kuoqRZW8l3e8m/0m7+q11Svx8NF7/f31xToXyUxVv75yPl8nu/
XFId75OJgLKIoRYdwTg7f7+kWvwIZYZLLuY2Vyx2zF9SVvon8ORyiVLRkWuREfpBm9GsT4YpHBL/
SDdciheb5r/QZhz5R/XSMW3+gGMJE04y/rqPk+2P2kwLOoKbaZyu9WY0TnHOilheJBFtQ/lNoVUy
m5etatXkoFdsma+GzmZkDwvzmi1H+RrZXvwlNbCim5NZPodCDDH0pmrOVwKg+y0dgsQ8elouH0sX
43apqjLd5rPstoHWNueZsPNlMIiJmGCcuRuu1nTmlPoc+1D2qpu8h0qbJmq+0md2u5QtBPI4oPpe
unrEWpV1/bRlYdMBJe9kzllhIqjgSqoNaVK3rg0cSPEOmjy11lLTr9BK0l1jT30P503o12XVWNeu
mVtvVRi4FjqKkdwxajv3RgK4ruwdGoKb0kTPqE3aMqAHxhvHVsZ7S6sr9RLDlN5Sq+TuBqszirVy
ZgmUr8A9q+WJ7ous9HaBN9A4yHK7BrMc2J/xKuBgCerCZKk9O1cNx8Ibl3RGQym8lh+S1plM36VS
gO+vyt60zMRin9ll/0DauXihyLu/tOq5Pote2hNueNOB2B+o7iExmuGMOKS+pXZLWEfqhXZhmaa4
hHK/bI61PL6sFmhIlYtgM3XLHzETMxD+kBcZfxAky97pe++pntT4KJqweCt6kxGXD5K96UdieZuU
lZri+m5nO53TewoTqJQ7jZPLlaLXhuYrvf3Gs4J8VIyNuLcia1S8Vlr84qR98HnO8fp3HcezYpib
XVuW7m2ZFH3PaT75UNAaRlhWhL3uN3xPvtF+4a74LxebUcr+JmlKZ+sKN36mNnKofFS46lK39Wg7
O4b3PmDQP6pJRAZUL9pGTXOy7gMtNPZgnNUBIngMMjTNq1eoRuTNwRBDwJnH+LlPzenCnQssHbRA
9XLNLRu1A5onpya8IDdO7YUbJ5LNjZs7zY7aycFd20FfFT4yoabhNKhNKAHEfveU904b/AnNne40
0WPQVvIKOMy4bnKnRjuvmJy92Um2lVbr01VCT9k3QVPIiysIYocSQLEveZcONrGTzI9VT/DZsMnk
d1NWnwO0z6vItpMdBED3aGt1ddCmLnqrw6YjphWW4QmD+XxI9aI9B06V45nL+9vOsZojRT7Rl5Zz
PwSZkIG7UtVDnwI46PqAj6aWvXdZUm0dr3cpoB1tPx7CEbw4Zm4D3M9h9rziKkwcXP+gl7TreOIs
tOKsJtZRPNu7iuTCM7ah5K7M3Zg6ITXtc16bk8u8dJ/OjrrH0c9KHOuvy2ddEHnfVWyvBcUIkciB
t9NYtcg9zYnEXMkBuLAwY42clMHGQCLPqVsZyEVIZJOb2iMm75s56xP2wSwQ3uJ+sMAI6SoDb5YH
nMpUTCMTVsLEt4BYqh0xE4qM0NRsD2xbmCcr8JPBJsmSCBoAPEuLOE0OxqZQp65RAbsAdIK90rLp
zLw7XJCysE9c7zLvwQQC0PnpSLxkFVkGGX6dUPzFGIcRH1RLm6mzmQF/tU5HV21AwRxoHetqBjGU
rkYvZm61AfnetH1tub5WmaPmG2bFIOFltEhWDrPiWtOS8BVW/CCW1CYGRH1wKLYAkAu1qm27F9pD
Wfzn0D0ysk2hbq+ImzVfh2iE6tjGjEJTl4Ao4noGtwgPQPbgjHNiQ85DzO6qwr2LWV+0myR0zBup
maWggYdapawS5kNn4q4qg3T+UrpO9rVNK8qRDBqzTgNXZkYjHIOCC9gwPwYTyFZbr4g1LHuB7Dar
Y/NFYaSzWMo1/buoyRCtZjRyrFu2eKUhNNlF5lQRmauy4QGIgbOf2Lvt61yT64L4FxOxRrwj7du1
lXbmQS9lex6KPjsS6tXBZ8ZBsTZpikaSIn8KDtCbW0r2BCgMVVn6jk9I9oK4APmXNUCK4a2ZcGfO
ICieRl1yGaHhry7oLHUxmHNzZppitzs+st5qN4y2+YVmUqHpB6E3hPgKrPm5sRPtPdbc4s7yRPKV
gz6MIfT9o8e+40UvhNy4WukYfpSVhUE2MlHfbDGmE6OoGR50s5LPsWEHe8ttBdbH0VhPIOSYEycU
skLvc2ygsqjpfsvKU9lp7P3Kgpuez2Ixf5AQqwhE01V+HJ3ZeOoF0dEBRNyJXbLaDUUezIQbSW7I
SLj7Lh68yzx28m2cJ8YjxOJ5F+nUIPp1OGtXxAddvoNj9NlL+NhGMLiITuld7zupRZdBA0Z1MCqx
SSGtvAlUcaD6YR4+DUGGx9ZIY30/22OXkxytQt2vAdbjS6tj5z5M7NrxO9mMFBONuVqXvc13dE5t
NOm4ppC10w8GhW4XdTo0l46NL9DHIknvYNtqlzQMaBzQhHVJMxSHClO52Tkmc2qvW8VWHFcErQYr
nTPRE46Dwsd83OwbIKb70APuEXKmXf5Poo2wWROxdSOILZEqhgPrOFiBFHsTRHWV4hPDNW3Yl2Y3
hms+0MRxZr6VTP9Ncc74u+TdFnunqmH20/fdGTetnVOHIpL8AtJEdV3QxP0VVMX8jBmi3tFxLIAF
Yw3DbJzvIrsheCWVul2WyibmcLPc94lFWdPgTdmhdN36VTc7+W70ZbmmApouadNlo+I3Goj8nctc
cW9HBJdaZpltBFjynA5mDTMn6I96FlYAAW3v0mi8NvYjz5ie8Gwv31RR3ELHLS5sALbI+SyhLC0o
HyHicPWZ7dT267EXn/Wo145THQ/tbjIn+S5R7d4AXs4XGD94rSLLnI+tPulnzZqsQxgHfJWnSXe+
gbwxjl4b6Kdk1JqTnibZwQ340PoxUiFpX7vWN/XYspiqeGkPVEOHr0XvsBwy6GZ7dpJRDX6WFdiA
G63ULyxG8EPIwZTUEzPY5ykZm4MtzWnDGaw6E/rydqAY5VrzQuosQs3uj2Y2j3svbqmFG3OIyHAj
cY2GycglNY+98N5yjB5bKFK+hwOEzjB3gfbHy802KhG0EzV2rAsd+Gx27F0EJmVNfWNKerXr5D1U
c3TdKqvcNA0eecA7E152DJUn5XblWbFO7FcmXcsmYqCX636EVMjVwiYGGXsF6ovK1UYLCLOusBeH
u4IHfBFPSpDPzCsDwlotcCdIibMoKqV1LxlXNsY4kzkkz9q/uSJNlZ84EXZHS4OFLvIeQ/A8Vn4Q
DfGuhGl8CsOI3KkTSLo1p8jKNqKlb9jLKFDzW/zdhzyW0Z2RWu1WFrZ0/Vbn80AkPMNhG0uuw8J1
TeozbewXjddVe3cJPG7Gvsq3XtRGF9SBE7ZiiWLSgaTbO/ysUnJUAORMNrS111NnjntngLrAFcqQ
57lgoW9ngdWtSiOYIUtLvTpg1dYh1RfJib7x/DaLhuaocwY/2ZmVcJmkUu065X7yTSjXoDPQG+dT
R2h14m5N2ekQWvUDGqt96YZa5K1wIpgYxBx8AXUjna9BnQx85+ELfG6MvIOVh7VkWIVDHu3L0uGm
I3vjdgq96R6yU/OcGpW3jXtTe/dozcK/zbdog+NqeHRiO7inv7R0/CnLrSe9kyFt2Cp8UZIjToFZ
/3o04Cv7Xtsn7zo511OCJ0JftRz1dr2Q82thDIvegUGD/UxJPTjOat08J5U5lNGuxS809iunjRh8
D9hd1INn1ELRa2bmn/tBqYOsLICc2CFsFAA1nip6bYg/6472uSnaxFrPcd0wGfVUmfuzsXTCulZG
hLQJG+znAYam574uydQTEq6TnYXw1VMFQDPHhgizN2yAWAs2I3Vdd0eAoOVn8sz1/8dO4L9nwumX
zcHfbmPPfdfnb+oPu9jff+/XZaz5iagUZ/9fWW3YM38Vo+UnCqOweuLNlJzaf9gciE9LPI7lAOEn
h5Oz8/syVtM/4TYx2RogYkvj+373X2wOgEP/QY5mc6DjLHXZPbu2w0Z4Ycn9uDno2VJMI1+F9YTd
fOO1TGvBAWAwVak1W03rNq3ciW+sCLrPrHMBwJdWnCZbz9Ap6bVl8FpnGje8zqFYNqlRYafaudZg
AjCDO961MSfjPsqijIZL23KvhJb1BeDCdrpss6j/nOX5gOd7cK0bjpsTBh0KopO1W/dNsXInNBcX
t+hTK8GJxhhBnpOyTjIfOpm4LjTTula9sF/aHMLw7M75FpvktGeTHcI0yanIzBOIV74cG6w9oxFx
cZutItqMuZWyZmPNiAA+xxdYGRlJi2RRI017uPJU3F3jqa3vstapLuBK6Y992OnXC5dvpRWZe+FA
T99i1+lOYVyH0vc8BlG4jAOjOD4hTWy7BFDlFsa1zeWCuPK5kGFGurMQ6apvGzjGadpzNoFT+5ni
T3xiE7ScjKLRztvB2VrO0NwnWNT8P/LObLeRJEvTT+QFd3Pz7ZY7RWqjdt04JEWE7/tub9OX8xz9
YvMZq3uyplE9QN1OA4lEApFSSKTT7Jx/zaeI/Rpx+SptDVBzSxV41XuVP8Zt6xIahw9kLRXAEIOZ
aaBhnIYbNRrOLkxDjK2MlYu7ItjSfMCvj7kp6AUOGxkDfnhRMe1Uo+O7TS/KkPhJSblsF7e3dI/Q
Sjd503sGTvLLgfS8V/6AzCpziQPbZLbb/nKVtF79hfTX2kOLm/pVfBCNiN67OR/URicSPBHtiQAx
H4aamJskBEzFfcCUWwVlWq8aT/FL2p4INwwoAyHSZpEcE3IDnpEdGbcyh3G1B0P8XgKEbbLM1bEP
ypOwlxBpUt9/h6msNn4RMCky/9r7pIvBa7Ow/kUT74wlxwBU7pcRKIk0luMwd/UhskZyY0ZPptS7
IjuGNLR3hZYis4S3f+ZJGg4TUZMfKnLQN71DX7jfNnw63NHft8pMd2NCgXHbjNOPq1XPY5NFSIaw
hPWuMV8WrY5eRDv8XqQzvCPtmO6BsIZdrwVCWk10XrRoiHbL6dEpqKie6yq+SDN31qYktmQdRYl9
X17VR9NViVS5GW3cgxd/yIH8vy2Yh3ka/q5fMgLdZ9DN0XFKfPOl1yonEuIQPCE57C/IozuWMRkc
UG3Pvzx3Ct8I4jX/VFW1tCib43kEnuscduMqoUDYqtRjbzfAc6ATKNF8niuIi/nFiqWxWWiMcSnT
KgJrJ6kfvulbe0aTFnSn0pq7nm3XEtYqQ4nwkLg9U7aLSWXX5S4F18R91A+sjOOyt43Sfe8Iw790
Q4k/nZRnH9C7RsoSREPyq/ZqcUrKhQiJqpFkS3ftEt+l9cQOMk0Tl2KtqEKfqMwefwwUtN9LL3hA
C9+bSIojVsEilglrovmWtTCRbWklF48WhbsaDx/FuAzyPaqPi6nS8pWVOjguk7Q3OUKFe6u365tG
VmAm8FEcF0O+bs1xfE3GrFp4NTLrBqqre5h4oG6jUUbbQarkGUZffqbKEB1S5RlUj5bi8VCMCxkl
eVrtetkw1Sd+WPyQ1LxAPM9m3WyQblBV3RXpa+onPHaFsNeBzYwDMEifsG8N4ruWcXbTS0s8sapU
Z9SHNhNwLd/jMCL/VflhdemEgyazHmecK6NHhjD/PeUn7iPkx21cMF3SErJJePO2KZP1Ea46OcY1
VoLzaM5dsEpDJb5mMy4OiupsuuEim+wi6X8XZpDetWQAfZvAmy+R4+RntBc29FRKeFRT+Y+6c+a+
xqN2KUUoN5wh6WeFOBLFushiew1aKfdWLbv7VMn4kPZGAuU0UpbnWjOyu2Jh9an8ne2H7blepvkp
ioMu4nhrvLsIB8KBlNrlAQG7g8NwNLsLrV7mpawQbAoX45kwy/Glj1ji+2qsnoduIQBpaUEw/W7x
TgurDF3m6WCgvsn8+ntshH9Wo2XT5FrRHdNz3wErskqkiyguSGfTHR9oCkHczn8w+8okInuISvrB
lU1BrGd6nPseVR/AkSanWj8FNSnRrnouhI9UNR/H8sdLhOuTENyX3WqQw3jyaX3+8OJIj+2EEM/r
1raD6YYQI8WwGAPeImYNvee0VO1bDQrw4dEGJNc40gAPTUhF+ETZG5gwLT9/FF1LiLbRRKm/j/qW
QP1eOOolUBOGvMWO+p8a3dsFQNu9bdyRnd7L4/jV5SB/sXpWzckTRHJPPH8sALzF+6pZUEWpWN1W
eijvp258nB0rxbk2xv4KoXDa0RtSy40V1d6lN6R98/8/k/8fQ+D/U8b4+jXU//6//hnrxJf9xTpx
6rk2OkawM3h8JrP/nB0pSLNxGkLmux4Y0D/Y4/kTvGT8Y8NTkdkr/vLHG9bfhNBfQ00oAyQG+n+J
yWfa/K+jo4Dasvh212/rO/rP/4HJd1HAyHHovDW75/jBg4ET06cAqV/Pms8BzuPu6FEJ/hmGwSLV
2vbU2Z9L69Qk/fg+Xfmh3LSyO9G0/tYYNX9E2FT5YqNRAwsMxnqb0V2wB/vsLlbljK8TH2kwJK/e
JK70qTvMaCuO+V86/DsbGKqBeWa8t+rmj6L1wvbGPy0L4yYSArxokeIMmWcdLSVT/rUkp7mEzscn
grGwRlqMXRdzdlvPmDdTneaJ+98uSImIesa6lhDcfdjSVGANvX1ApB5uxkZR5V7z7Bst6U+ctOTS
kQa3KujOmDaJNWLYzFzzpKLOXhMdkK5nI0EaTPWZLhzNzRNhAf1hci0qJ3NsKyn9uo+JQqtdC8vY
EELbbFF8ITEqKrmzK8IIPNHTBMnpu41TEWyqDiWULJpozfRrrywXE1IukIz5LtdWR1Y4OjC33EML
gSRWlrepkVatJwPQrWgFvRXuZN9FRNdoYWa36Yps2PYOzZ1WP8lbghDig9EO1WEicP8h8gzjT564
Jgmknf1hcpED3Yjoj0vVypYisJLjahJbAzr1nC+iAdJP2mEdFqjSaC7KTry9wa6MmfCLxcZobuXi
oCyzdlZgy/K3Q5OlzvaCSUv9KMFrDTSxDhkdeMmq5CXCDPIewIVskIpGt2WcRhAaudnMryZauPB9
iRB235O5NYsvoMX+OCIyvQ16O9gEreifIZooBZn64dhaZB8xp86bTIzXP4he58wGy8LA5K15hcFV
MYbWFnpat/g9EHxr8KjMXsXYCldj5Y04du1E2gKT5DvZSprOHL1d6Q2gXEXmPWN+KKmnqQV1F5it
P8p+zE5OE/KTh2jaMtrGzsmQFr+J7lNPyGqth6DvAdKamUtnJFxuR4+TdSbyLHygk0BtM4TzL11Z
xJ9NK3EBVH30pzIN1HOGOyU7G4f1DpE9i89geMUmsApz3zhhf0QFMtxRAObRZBZimUpJ570H4h9/
UZwOOAbY5eyl3aTlji47p8YHkbiPmlh4sZOu3lUht0dZpv0FJxIfd8sZWY5i5T2KvHIvlpHAHJkJ
uVU0xEL8CKmQZSTxhY8on1aELgRJV2YGSs8o2+yw9mDcCAZM1hA0yGfNCY3siJs7Ytl5MokiwU7n
UtKQUR1DqRycUpYFOOjHdMrOHbPd19TH4fewtDSgJx7uiTgOcOqh2OHOikxhfM7K63Zz3jsXe8gA
6SGGX2JZepDhmOjvLK71c+qRzrwK86gKibVTJE4kVfjajKGzyyLeSRi2MJ09SS+gnE+80stnTB+8
u/Z05NR66jq8/Vjmk52iI4G2BOwYqKzbsvyx+9n+M03YfNnPfAGIWfR3HcbAA9W4BnzBELZrH/L3
JmqcCSmdtPkGnSf41LqoX7UYlZRDFmOZg+0FhmZmEcI2U1Gua6ekRKiBVq3xWnWt2WLs1Ta7qguf
/DoVp2pU1AL2Ktk3pdnsEMI6RGjWr3GSGh/KFvWKiOlonSDNG7um2GNewcNeO3pPNXeFlUnSJZd6
Tex1uBbGBNpVdS0ZKLQolswWWxdGeOdEDsAsyAUvRWysG6CGjS2qcO/R8XFnk5l54OEGb2QCZCmY
1C4rmSFajKFrFTv1scxQXibKI0yMv3LlabSNPaTbuyDRmPqa5eCaSbkP4Sc+6yxGUzrFxqXNMygH
v0++8sEvDuggFk6CwNkVtcO6gwLoo7Dd+GD1s7uRHRguJwiGK8tW1Es69o/jBxGbIhnLC+rFtU8Y
1FpbonZGLsZtUSYhdFQ/H5SqPRYhOzmmOR+2mh++isd6XQZ2fmzs1N8lvktmlVdXWyy06tT2brp2
URjf1jhitqwtw8YcFaGb9mJ/OQPer4AVbUddCNBqh/NkFY+KQAJf90+QzBDvwYzBqyPZvU4kpP60
lkg3JErQGzc2klQJnGOS+VdPYtWW64VkmjgezlPTewcAbXefFdkp07n0sVMGRB0QApH3w2stKmMT
JeNCLGi4cH0P7iswFLF8bl21BwRRC27VlvxK+iIUkZKGCo1b084hdzOrafdRvUiNDNP3ZNmSvXiG
kn0ZOzWwJ+KUTdZ51xY3rgzb1zGtk5vZ6CUvM6wsUjG36Hdd11EDjdEmeYsnkR0JE/0Y/ElIvlVc
3gUoWu6SqkW1Ena/m6yIdy36eoL+nRCyV1EDZWNxgCcs6IJ27JslQ9Q7dCq4GYuI5Fn6vQ7Z0Lar
UkQwT24dfgAsRMSjNOAUKUmkU4tGAz/seGvLXpFA3yebWCblTtHpuoM+hEZF/XufIhUnhYb3Ee7c
/R5k5K+dcWJTmnBXrWTttRviPbrHpnPsU7N4xV7MvbNFrpGjBDTZpL2x3CIj9N97RMePCLVgr9WU
KX+VK4PiMcyg8b7h6JZ4ywr3bLp192HbTbeLGgkTWqGXhJZ3XZuuMSedghdQ5/o4Gq5xS0czWbVN
ri4yNKG0bQJk3Dx07tCO5xfSBdoT2fvehacooiiBJGPySKQaeI0KnyFCGEq9NDweW8+vy/s2WMKz
40OPUO8irIfJinMCFhfjkoXRz8ILspu9wX0Mp9B8xVuqkGnk4Q+iH/ViBG72xgQm7iseh8usUnnC
yUDdSiusAyk500s6h+4DxUU8U+lQt7CRS3k0uxYHx+xQacRVubWNyIf1Sx0CNAEi7Y3hJZBtfkMJ
QxV6hFSK5qHCkvdSFVKevdAIHICIdCHvVA5UIMyARPgI8uY8y9LY5UFi//TBQHnV2MbbJcuMQ4J3
/mamgnJNviNgDkmtGSH9iXeP9Kja0JFbIZ+ZebiU45wb7K/vxIsYb1TitQ/42eiIM5JieHQgn6kj
KLm0EDdjTJuNpzS37SefqFJWVgIuL11uLc/5VTWBsv9QaiWF0TXZU1Bl6j3ROgvnqri4ii+gycI7
A8RErAL69qDDMEs+O1rBMUPW7pRdF+teazzK2KhfQmspP1utAIF8j385MuluSasZLlgR4mcfRPIZ
C9JyVFpHQhIrkpJQq0uk1pnQre7fMuIw0xpzeB60HgVQQXfwapWKvApWZJ+O27l1sPxqk87G1NqW
UbbiD7H3CF4YAzIKuPv4WAZLiyBGa2MMrZLxHRm/ZsXQPuVaQ9Nc5TQl1/w+ow7EWMm/C26u4ptJ
l+2Fiw/LH6XxNtAqHUx9y53Hfw7bxCmreju4XvdHUOZwaEY22B3eyuyA4bL+lAlNZmkSJ0/IucSB
hEz5bGvRUNI2CXZ7LSVqUj0gjQUhPyjPIJpR2Ne/RrxUP1hkmtusHTnPUPLMH0zudUUi0Vi6Kyh5
uPNWi5uUQiw0XAVPHKF7F67psyIb5ymRCb+gTqwmnFKrphayNkjWRkkVzLG3Tzk1h9U8586psz0k
BP1VgDXNg7NtOz7+K0D24qvVWq3RMrJbKrDDW5eMTkTReY7iviIu+xBHFMIGtjkdGu10L3BU7tOu
pvjVUoDoih9obfZW/5ZeVWOZFpAlWkpGig3QsW3F1pOF197YGJZpnN0IAVo4ZMmrZRnFG2yT02x6
Myq+PK0nA9HA3QyJF+4ymfYtToFhuWWdwSCStAT5UhPA8ADy/4MzHlUc2B8k3eI2R/RKGZxtNoYI
vEPanjZks/t7A1/Bxa85N4GCYvvb0KqNbdb7iIC1OK+kQ37c5jP61lW9GO6zq3V82FgQnGS0Un2V
Wuc3acVfcxX/BeYCXq0VgUU+qkMBAkFA1JiAYebT+P4/BowABPjvNbDrLyru+n//t3+igeXr/pPJ
InZPAESgMnX/7iv4C41w/4ZmkJYBrGkSn4DWuf6HBlb8jVojC8sAUlfhmeZfrkqILM904bICaCfP
Rt4PM/UvEFmu+L99lZAySHDR2zqmtEz8C6Ymuv4BjQBpyzyrMolHyKN+eMsQkxDGnZIZhFO5uVdF
Et6n9lQ/eDX6ELrBrKzYdnYyzaRgjNOtuorHGjJVg1VNJgCisqo01S4fXf6XZe5SihTJ9voYSjc/
JKHpjLv+KlJTIbTwjm0w91dU7rm3gRi/nVTL2nLHnRDg52PIJ4kIWqRvnSJuIRpGVjsjbdx2pXq9
1cSeLDx2c9lXjPfU+4B0Os+dgcGP9ZmMJ2DH4AF0wnii6Q8c+Xrp6OtHJfP8OtZ2/GuJJKpKu6uf
g6qPH4krFO9OlfufdNt498ZAAAeOIsvf91mWrpto9m/MQhgPS7wQlZ8s9s+iL8xCX52GVXOLYoan
sRKlyaGNRP1WLWZ6GdvQJBFJX8DUuuJWdUFLQBJoG/ftBMOPvrPJ6tL3t77KzRIrhz054amZe/Ms
6xbJVJ8yAlhRIt5U08T3E5KVg+tHBVg82EXhVcNejWl1Sa2ov+9Qcb7zWFrnNFgIYUgEw7CePQrR
Wq/krLmPIrbG9dSUvIR6WIkEtsVADzAepx5aQdUYx6Sbmp0qK50HbdqfxnX+GbQDdzWOgwo2pEIj
MEr1uBTrwanSIxSlDPbLUPKiTsWskEIzb0168prmvj6CfhaXHnPZJZntDj0+yXCStPyz7VYj5TvG
eCumLtrbreQuSxvkHWQxBJ9sHfOfNCFIsqDfbT0l4/gtrVq84ZB3t5UMokvvd82P78WBuQ7Don2M
ctN9aGu6TWFFGYDNInjzxKzeSmEEezJtlvscF8U3dZvNS1JMHtIVZSF3jJ3HHu0DHsVpOLGCR7c5
AWgp2XF2eBxsNKEran883lhFfCGamwglsF0ckUHGwUo6Yf4kvDB+mJZa3U6diVCRTb7PdpXqvE3U
zBG4EwvmjTAsWBHsbTOWBctkIcWNiXCkmts5Wfmhuxxdb0pvEaN5+2TOjAe0MnLfB0bxudR+sGuW
xd74Gfta1eNIhJRMXzovL36yHMIOCVB6b5a9s09QSWx7aRR3YvLUF0xVSVR8YRw8psRVYwSKDI1m
fANO6N/LKM8ey4DIgK6z8gdAQHWh+S4/qXmiUqMn07z0wCl6bnvWF6c17/ApLtgXe+RdIxWGNWfc
vVllyYUDTWzHxJrvgwRVUo0vezXazqLnRH6vWbW3hjdZDxkH5dE2lP17QKJ148QCarEK40NX4Gi0
cgW2N+r+h5qmAydfiKineWJD7+r8hWpM3LtVNR4jsy7f8ghMcyAXLl2V+YQ2jHYIdGBhFB3TsoEz
bhDHPI0wTNtmUs2xL4v5veoHmpXCrL0x/YYGjKQUW9+NqFSqMxrAy8Rb53DyDy6/xmM5WOob/R3D
TM1IjWe509FIrZf5GwJPIEFDP2SymGT7XQRVpPb8it6X0YxEC/Z8Vg+5bfXnTs2CwzUv3tHD8qRW
DXnOWH/br6DzIM4o/KQ0UvaejqrEAE+xtMrwAMfVHFMs0kFZGdlQkxzumsalxtTCiNvPz2k4ZmcR
ieqHU7m6k0PTf2MSKj5Qyw5nl0gnfx2Wk/ooaTpJmJdnY2SFr8pbQkral8yBNgF7DJGD9mGt2SzC
VV0EalP1EJvDcOd0BYFIVY9ySKdAASHlFPaB4o7U3qO9m+eCh5p+D6MkCt+nNCFaCXOUF0+51rAN
q246qoWk/oxeyR0Zi8BPE7s6vVmA2yxsztAcOfWpyZV9R7u12RrjmwOlWTEjZpDt4ArQRmzWvXki
hBIWDOlVvxpMO3PWBkVnd2VNxQVpm8n4EEApwflwoLymUbg8+0ld6nJK07mE2FgjImq7iZzDeKZY
VCTAvlnWAJ8YSzI26NXnOtz14CsIgkdFnycxp/2F9gv7WBeB8VSa0UK/KJ6WM/x190XQVS0OiVd0
nDHEDa6U7XW//BHJBuwpoi4alD1AkiBC0m3ElvNAjzDbFLQByePcyEW0TbLJhjMzq+S+R5Z1IomA
r0aG2XZHi6mVyHh+qztPSR8KdkDES9dmNK6V4BTds3wPA7Zjo/gWfSVfvbbhpZx7ajhWzqjTdoeQ
xXQdQ+2iVMVYDiBf2oquFGxXxVZOGCbXWK2NpywEY0DYYiDmXIQGMBOCl6CKUSfUKkAaF5ut9+jo
mC9ee0i0cGH6VqoM950XgqvNTki+LD/4HzJSyWdymTPIl0woh/EFKaRRmyQbaVX2e22Y1npALfja
6hAyH7HchMZwjEnTb9x+X3Zt8upnfUR6AboJk3Cd50bnmg3liJsQZJcGv8F+Mhzyz6bFV5S+hryZ
PP8w3zQyAFeaNcgWgoYaNuQuu6oczKSZbzItfSiaZGYCMunogU6Wh0CLJLxUtZ9RZJdniNZjnf5a
SpKx/aw6Fn05PQmtskCzROwNVcveGSTY+aiUNz4ApZYXzA00bKg6MVcmuUPAB0jzAaBI64Q0VIMM
V+gnKTQShhyewmVUOT1CtvnuDQ36YOQBr9R/LAdSRMVrqtUj6VVIgjMFCBjGJnroY7P5jrXmhHXD
P3H+uPeslNG9pQVvSitUbNxL7Cdat5JeJSwsHUhseP+dW4BU9ZCQAbaZU9TcvO0xRnVLOjsJznWT
aXWMfRXKzDOZF2s+3e5WXZU0mW/fodHgqTKV9KBMYCCimwUlKY7rqzwn1kqdNEOzIzJnoXU7sJvb
QHbFK05qEpOo06Xwpku17CdItQTI9BTZQfUQNdG2IwDuTzMHIdQ/za3kSKEiKmI0O9Q/mHcKhcVr
ptVGqKObp7mU3Z2ntUh9Twhd6fsBtSJaqzRo1VI1FZwCzGvxVnJ5eyuSJZA4DdKHRBuv0icv0fZ/
KjwwG8wHcqDJ3CoqtUVrkAGNptkPWQnW3Th6CKoSEMn3jGS/naf1Vp5WXnWDaErYqiZDItPE5DRb
WqdFPBvbZlZNw0+mdVzEchjvmdfnj2XZjvZOoKk9GISk3nllhQxMC8JqLQ0rtUis1nKxqWiMT4em
gq/yqiZrYjqYwIURmXElwr+Dqtny0l11aIbyyF6wrJISnkAmMYOjWNQ9PedEDEuj7M6yMdWvTjsb
4r6yX2LtdrBpD8f4EOGBiK92CGdR/lNOa8izc7VLSO2cKPEGD5vpaqgwEtKo0Wc7za2vHRfcsdBO
RGtgxOjEEDHCwE4i2g+JhV1ZYQYdwBoxbsOrm6MgUu1epu6ob5vSOabV2D3ye6SPFoY64rTS2n0J
bEk7OWSPAIq4Okbw89kU+JJjeCsamT/6UkSnFvX0uPK05WQAVluQbgnAUKXtKNHVmZJeXSr/YzZc
tr3/fsPdD19j8tX+/icbLl/3F99OmhixnCyPJJd7/j8EcNp/c1lQsce7EDRarPmPG66QPrJKzcIH
KD3+j2/e/JvryAAVJ98KtoM2EPmvLLjXbwXHtRCtoNORyN9EAOcRDip5IogbNf9LUcUIou53eR4x
NhEmXDRd0W8COFVJbWlt1rc2ZBKpNXEmICDs7qOZJvccGeDkq2QIs7OsgoALLM/JEWzygauSg6R/
ZCoM3jsNURu5E6x5GsmnsZWznb282leVtZxbDW+PGZN8T6i2QXMtPwD6LvsXGeIcjg6a+lM9JMUr
x52xC4q63PkaT5caWV80xp6RmHMgHM3Z4iair6zN6C8K7fBjyofwhhHOXjmdsvd+BnpfR9V0mjWi
72psv9Iof6zxfj647kpqDkCn7axcENPtGHS/Qz+gB14O3Z1ltnwVp+alBld7I0k5XPVLmB0rTTWw
n9JMNKGZ6XfYGtIbCyF7xMcRioKwQ/k8xdLn8iybRC/qsBlBni4v4B5wHGY2QaxxtkxbalBgQdqE
iKEtoUrIzYwCFS2XiZFu4jZO6OCWTvYmIpqhJDvbShnMu66FtrsLyvJgLgrPF61BvkGnMS+ydyg0
dYN0ztgEEEBbOy6QRGqxXLso0uLGCfOngACq2JV/ojTvX31ND0VijPcjkziXiqaPVFRPuq4HUomh
Pd550I9wHUJ9L8NoPTqakOo0NVX1rbihX2omdc80dkDB+R4CD4rxSmtpgosHHEMpfpfDKHMPBhse
rNSMmJfTaTY7sGSe5stqZZprjxHkJugmiApp2lheu5Tq1VDhO9A0SY/d39QkHBn38WGYTPNdO1WP
JTrfvYp6CjlURWMj4MInoVILGk0rJuiIrj1nojwXoWOzT3GxHDrXT2ggt1LMurW/lzMqTiJ91K62
8J2UQJlHM+OnQgpmrBI+1vxuY6FtWFSCWXj/XE1JtvkU7rnYsC5pwlKnQqPdgFGrU+XtoinKt97Q
89IOhC5Zmvb06Kdax5oKnZfSWtODvauylsy6cS43VlXU+xgONfZwlfFGN2xGs/EBb8SdnrnMzpCv
LHDN0RGDt8XYFZ1pSQifPD5nIEEVAUja/eg2E5OswSVHYBD8LrYlNIBoWjad5n+Rvk1kPsQe8LXy
q900LtVOEIG6nSPkB0qOGLvcWazRwHFVcbWMuw5G4tajBOnGNtx5VzMxX5a4nDfsajWhBRCbjRfF
G28Iw30UOM23qiiwj+FqmHfL6uAnKSF3WePddqMjbmxmimNEjAG7WxNb+6kTkIhBFh3cVPS/3NoO
tigns8NgWOmO0J8Or0MS3y2NET0krV8el8KpoUj8ifeRGM1YFNMJGdSytaa8fiBpP9rWTeUcAAbi
FRieu5/JcUIG1BcBY2Y4YqakHwSfCiJWi+3yN/QB6kez7actuqjosyhoE8RWkj8jls2fWhE0N1FM
ixuJwCoHGeE98Gnd24uU5sSE7Kw3UrqmO1VLHxyop986LyyNllWf+GjpMmdzQ3rn033uxtauHbP6
c+5U9dTJQuw5s1E2wtoMP95M79eRVCMKrQOzfZ/jPLwJoZ5/DLtHTcjLui3wDb3ZuLz3VY2YHpPl
QG0peP665pB+Nkoy7kmOKh+SmbzgVTUxKHpznp5RWVvNiiGLUTCpMf8c5r7oTv3oRL9inDn6Qc7K
Y8imdQsuUW9KfLU3U+0v5AfP6bFKUvUlCMl/pt6QM7AWHOeWonoCgMt4FVgE78elpRZZGqD2TZYb
tyHy7N+KBA1UTgqDG0kWfrsuu8BD31FnN/BgJbxn4r24WgMexv5LnXAHQFv22T7DA0FDcBI+YMZ1
bsKG8i52dF6OSY3dOXGN/KMJUZqotmjebdssEVT2SCIDExKb+tg7O6/NPYM1p+zgttjUZzwE63AJ
5IFQSx325RSMV0vXMpU5UWpzHHhx/8ufTRoM6Wgk09Nv87tMC6yohvZ+1ciE7yRZUhgFBMqftqTa
rfYc+6AKz87QQKb5qSthFI1sNO+QoCNP52fhvq3K8im1SPKc+EnXZt64B0wR1lMZGKzqnZroYSXa
LmKYzXOC1ke22Lb0+amhyaJLIJz0xpuEjmNwyLW3bSkeo7lv145RsNEZ9LmjqSzc7AlolYoZpDsV
OEbHSVCayWuL4G8rYIPvo9if+m3VOJTz4bKL4Z1CK4Led8JtZ3YBngdHgjFDsy8P9hwkj7aNusij
4QCxqpz8V3h4954AVoHS3qz3aDImkKmueS6CiYzaMHbrj6lK3Vc7NhIH/6QRPHXDLH9M1q9sVUSN
BTzbkfbCTgXPM0r/GJDKeuqKUB4WkJ+DFNJ5CmVGkE1qKfkUcGMe4zBvt2afRfdh1I3nGJHHsBpn
nhJ+94rg6xp7In/xzP4PMfqnHN1gD52T3+R5XvxCkRQ94qfKPvIiXN5nA9a84QNyZOLIX9qgFI/w
is3HElnxtpVpczcMlbgLuIWfwrhNTyYBiKTANclmpisNRMrQl6cwqWF3ndHDUzfIg+Xr/OJAYTUt
yezaG3lAMj+Pyy9ZZs6XYxoY5fucLBgPtdARl1tNwaDAqYXKzM2RGhrpEUKZ+WAo/HujtcvDnCXW
uXSm6gl95nwHIlU+l3bbnIPQSUoiGaf4sTPn4lTU6XROY0O4264qqo95ItVl8sJkn6HKQBySo3Zf
LYY/X7J0lCtB4d4DmlznvvY8groNHZpDBLv7Jr1p2nDJgQrVWQXIb/f2rqwI/fYMWxtf0fTRUoPu
N6jgkGPXX+47o7dv44ig7IXIIolzWQpclVXlrWug2fvJzMdXW+LTnuM6/U6KRZ5Ks+3YrRf3jU8A
WoZ6ytC+zdb9Ejf9TdgN/ckrs/Y+YNzdWhDUv5UThj/4oe2dpeBoQejJXUYrmGyaKU6f2POjNwzI
1W7opE3ZOnG0DiAUVfIOhcObmRbbnbICccEeQXQEDj5yWvFA4hIcrJdW1NVXTtDQN5GT9OhAfJ9m
pMziZRF4efxtXSEACK8IpqvBTPz54JrlJCd6Skg0JmPcSN/CIJtpTYYZSbadkkOyHhG5fvI3qG+X
ffNxtiIqeHRtoY/EdeNpiDXRYKu6wq4agC01FItWb36vNTybshhzuQHZMkTrjkUN5KorpltoeLcO
J/vL4gJYOcIU65aql4fKqpKtgjbdqIV4l1SjxBTIxBupkWODEW/diMH+GPNs0n1PaB401iw16txr
/FkxeP5ONSbdJr71oDROHQxpdjto7DrXl8Cs5AwNAbJNgpW9NcMxuRB/GNxPGgGvyB+8o9512aUa
HyfUDag8zSKTVBUui5GMrLWvMfVAo+u9xtkZr6djdcXem7B/x2wzvrUamUcYGa5oFzEOQuP2lkbw
57gp71KN6psKF6qrkX5uvXIPqBZ9LZoHKDUjQABocmjwLmOVgS8gTKD4BMaXaIAN91aMuLcdzTB4
mmsAXoF2kH+nIK50BAQz1AQUCDRFrhmLKiwp7SyvPMaV0gBkgC6ilLi8tzTnAQ40P/sF4CFyBTgR
p0KLR4ESTEkHUnjpr/QJPpqQOgJNqphNn50LUQc3VCrPxOxX1UNeT/7BpT12U4JevxBG2mNMxS7T
ztG0d7q+fzcUbA5mda4EHp11rLke5AbDxeV6BUY0u+G71KyQM4BXRbkt3miIKn9NWVnfmOS9/gaZ
Cz6xzLg2UckBFqxBRXtLE1AVRPzJnSf3Fovf/2bvPJZkR7Ik+0V4AmoAtg7AuQenvoG8FwScEwPw
T73qT6gfm4OcyurMkuoSye1M7V9kRjiBXdOretT4+f+LZrDWo/xbzSAp//ZfvBpfMPf+SChef+53
zUD8gCOMaxPFYCXj/ZEMRf+GqeGzNw3HtP8vh+/vW3Hzh2ra4Cr592RDHWvl8P0O2/uB/VxFTkBe
J8r/V5fiv7XW/EEzIEBqqtD7kNqBDqNE/BNseOwRJljbq16i9qOhbuy5suJAZ7N4ypQQDQoWgnGC
qU3IxpAup4brJjdJKsrrzEppwtOhKiYqedvj7GwH5V7po2ib9oZxHa0syiFctkuP12tEi+P5tVzS
olYM31RSB4N81843aQIMiAuSreq0bnC/RlZVfZPd6ovdL5A6yA/h+nCwlAzGQtHAiJD5Ki0lvCEc
HT4DLsiumRl1ZgDbRqfmulLIZ1MwUOXboXWzt0k49mup4d9WMiN8cVeXKu54tp1p2xhwipZ2a4xx
iq20FtXFMnL3cWwcfuOQeiy/CZ30wdFjTNqak+J8448uXjHJzVxrTPdubnNM+c5qAccOu1U5WFe6
HfNeAo//kFFKfUw4U1NPz4rkER2n/NXyOgYzBGg/ds0GP+NSnJRJh0da9JiKrUMXmk18xElNrEDy
lGBSYxVUBklhal+G3XANgiR3Q1uUAA2VqWvLOaSGzsfPo46BW2rLcRoy/SFUC+1q4Pa7yUWOm1mz
khdyQnSz5TiX35fJje51o1y+LLCw3A+KmX7yCPIMDgArMulrc9VI8QS7pBSWgTXv+ymps50a9onD
dneoYi+ShB42nAlsYps2T/ystBcsfDDoHjJ3Ga5qXhs+b3S2TTnrD1yfm3Ov2E21XSbMDUIPYbtA
C8mPVCpWbIHT+HOah36PQmwH1GIIblRT9ExOQPAL9XYgFSYJWA6G+BmlaneLxg1EVSszMgMDnQfs
LGoSUmYqF1ICCRGpqcQhiAVk+J67tMVdIeP8dUpm9YRNraM2CuViO/LmbUtFYQugFR2Vs1omD5rm
Zl+sJcR2SnT7cYziEXcrBBuPLnPnftAtaiAZRXdAXaZ3Th8gFHOoLoFR9nTWpGyKNyhuvLgT2j5J
LYpnUBGyuzCJmhsT+yCe//Ufxf0wXLtFMXcJ39xdqA/W9xK1C/yPdt64zlg8mU4MN6PskWc2ACra
EzzWrNiMSVdifevavdqpbCidsaMXpe2Xg9O6MTUoNX88B4KjUZyCUR8PRriD+tC0K5ukOYsOGQif
fXYCpcy4i3MClk4piCVCq11/KFSem6RNflXGaDJDWgosH1gR4jTCOHxxoAbvuO/qr7lR5A+jmHIC
PvRUbGIuDx64TkrKwXtFvojz5Al8Qd55ShWJxJuKXDuwHqjXQhZFvGR1I8O9OyPRTNUgDi4oS4zS
ln5F6c636VK2nT+banh2gVHznVQn7Rk+brhJlBpCpRpZByV3cHrojvJKhw56IgmLcQtDsrjHFjJe
AbnPry3ZpXMdpzaMICKH1YYPd+zR7xhfcenQaY0wNTJt1iryGgTMbz3MS0LKLepJC/t6r8tReTIz
4WLm0DqSLG1yb4qWljY+NJSnV9PEQrw0891QG+EvTYeLsphWvUOt0S92ajugJxo8ecRk5Pukarru
p42pHWtH6045Wx7Fy2JHf5i5PF+wlBu8msOSvoWqEsGncFvQ4k6sfPK9iQKCMtqBZwcOCauz4iOW
on5P9Hp4E/WQvdvjTJDZNLlv6rOzPnY6J2CPl36aUxYRWYm14ZnYIY+lqLeWo63K6XtK+mm1oosL
Ax3TbJov+ILbyWDCc6e9QUHfWdqq9U7uujzxhWTqWNz0MoOd++oJFB+S0CGGgZJysFwn3g25WlJQ
OAjNp7MovIQ2EafCCG3Cq/X4gsAW89ipqvTWGWDYwxdiSxiF4lhNAm8OJaVP3Yy5elPVk8CL0uvf
oWJbb1y5Fy0YpyQhy552ToEKZKGxuQrgjQJ3IkX0sWoYQTWFL6GAyYz+abC+8zNFl7s8Sx292Qvo
TgiaypCey1VSQYCyoa+uQgt0UfOhWsWXuAXZaa6CjIk/gca9VabJV8GGZV8YhKuIw8oP/WIVdtiT
t2+aIfpT45TGizF1VRPEqw4EpRFJyM7zfmeEXfxW09/xPpDDD6go7P181ZMGMPv+smpMEEW1VTCR
dwpvn6/gML9hyy1eDXatOx6s4b5aNasut6hJUZScvT3FWMEEKwDIi25C7Efsoj1zflpoor8uqxQ2
zZwcpNYcJPV2/HKKpvipSQR5Ntgpe98RIW7rAJ09ZCZw9qISxc7VyyjAR22fS6yhO9WVwFobpzqa
bSUPYZPPT2nqmPtlVfNEOVe3S6SxAu6cdKuvqp+YXTco+yL+zkv8suOqDmpLpe1MgXsGlh/qYadJ
/ehoc3wXF8O4la5S7qNVb1TiaDkRUWl+iVWNbFddUg7u8hBXQwnvFelyYojZisFwjwRMtEu3lpyn
KvLMpmyIwRV9aAZRDEKOBqzxCHBneEgzHZUUgzvioFsS0K1GteEESRVYwrVF6MZd8zd0brVepUWE
chaiLbsoKjss9DxQNyIxay7eMhu2hVCma5+E7CTn37I+mk0f0GwVUm4SfYHBH/2WDFKcNr1q2jD4
GHjTHRq54ZdytPdKkc/kJuJol89oFPHSuS9dSvAoGonJxzULQrgA7jmbJnOLs3/0lDFSdvbCX7lx
sX5fzK4TQDZnKlH5gu3Q26PjNDXNXuuoEpWznA5cU/SdPWCLYEOKll8X2Pn0xSo9NsewEBVh3/EA
S+/DyJY+WPDkQDCK3FGe8NdznO9amU8buGv6PdQDvOxE3E+i16pTL+iKMspM9VWpyV1D4dS2J6rM
WoCJTIepvCGA0CKtcnNp2q7ZSptUcheQVe9ldUozuzogbLsXAOTd1lhhlvj1zAPBr/AmCtUoyDW9
vDVHVIQOI80+yhZjry3EWugfZQ+bazGtv8OifmmhW/mpxaQ6ariRJpr6DstAe5MIkYA9hes/rptw
WRNlrkUhAUVlvHFGzNm1aRpTfDZt2L8UpFJ8HPSLQ0MdobgNsIcJ+W6ZLAuEnyLeu3KpXidwBrmf
m2UEWWlarLOJe+85F0L5HGuFeGfUJxEOv6jSDrNSZ/dyCOtkj+MppEA0n8uvYR4qzqMilDiQ3Lp+
jhYcijQbi/ahHEzljomUj2PCl/LbjCPnsBiR/dA14fhLqhluyT7sdmPTd9sxTzGVkvwet24F6RVh
28CRSTD42bYVoppGoj26qrtQDyygpQWp7mAxz0DcbsZGHe87iskghbD6+84JFLFi68fmoTSn9GcV
18aABoehfdOPKjJiIhZXY/6SuDoplu1AwHfLwzTrPcA17DHXEmPJM41PQO/p3jJOjmkp2BGk2rz/
9Qvn/8vYoTVm/b9fS++HpPz823/9C+zQ+nO/m7WtH+A2hWpx41u31X9Ijls/nBXkznb7D8ChFRmv
ARXCpc1t0QE99I8LKXdV22BQImWuqdSUCvFXlti/Ee3/vMQmmy5Mm+22auuurv/ThXQwtY6CD2Xx
Me5kZ201kS1Sv1sKYuQSJh9+GPSkRk+P5RR/jMjRmHFYp4p84vnYcCWIwpxw88y8r8lfdQg8T0R6
vg6Y7uu4LrSsFML3QtUbRlzOb3vNCA3K52w0u1DTmMyZgnw1KuXGAJSN8AjZjscSBseJ7iwlwWRU
2Z9tMc9BMS6fmHlQVFjIeaww343avJgLxieG36eGAXAT6/YIjqh65tEQEh+BjY4dEhCyW14Ml7y1
JSjQojRDBrmhvrci7oF76vRXCLLlidl816aL6XGK4O/VK+bEyZ+UxqJ32UEA5IH33GQD30N6tD2r
Q4MMZXzto7A86Et9TsyB4y5drAvHJGD6yKLw0cZ4JC19K52iIJppN3tO4tJPbBHfjHT+bTETuQej
ph6mc8Y3LeqivaYXxi6aoFGkFW05VpjJfa/q2WdkcuntQhbOGJbkW9FlX+wnsDkpxpeqSsMba+tN
GYtyx10rXgk6K8tMv8MyUR9UDV+XlSPWjqVe37GdupsMou99VVZHW6n7OytHWE6HKbpd4y5YnWkn
4r1nrWhXZ2spLi2+Kidm71+ZNtey1seGcZYm/UWEXz/GLMadY1marzOjy3D0HZVacBeYVUmSaDMn
BE4NhklwyjCty/yKFY0Xuept2KnmPfbfdNPr6XnJxRGQzUsIetLT2uZY6f0bCn9OQjcDU2+BT94g
yR9E2soArp55IVh8NUv9J4cQvD1i+UXYPaXF8OTSwg0ixPolFTYjnTbhskN9SdbNRV6eckyQflpQ
LD862n28kBqG3/mB8+yUQqHZJE26beMM+DVFz5vBYrAYaGn22Q3sQc7cGOw0tzJPoYRCf2ud9WYJ
CmAIzdPottt6koCj4vgLnkigDBQMYBt76hYC+mV/CnXlfu6bG1pOPyjA1jGOTcexF66noEdjOZhO
GLLzN5Wr3zwC6xvietevyoVwmbFIdOyVcXkzq+WKTYQ6uIWNkVVal1qLzlkMYlAhZqD1NBZwtGxY
zHJbFcapiZV9zqpUbd2tGbkP7ki8FKPUyaqmYKGpMpfpw4TJzCs6GiHc0X2LUvMjIuMVGE1pBl3Y
71NGd3yLNjcw7hnFFFeknopXOZUZo+l4H5n1XeNSsZDAEvZMw3xvJ+sUJ/qlhRPM/VPP6I5yDnwi
9yyisXtWXRdAqiTCSnJ3C0TowVXq18R2nubEes9dXlt+KQNDb0o+WW33HQrwTQwbezcjoQdpKb/1
Phz57Mx4NZrMOsDVLS99Eym+lRuI/aRSfTtKuns1TgegETQ35kt3Did0OcyO/ZtdRVhy+ibF3lZ3
GLXn/5TG/VmS5YT7389MDx08KX8y3Hz8KzmXn/393DR+qPDwSCrpwgAD4pB/+h25YnJwruXM6xf7
z3IuR6qxUlVcQekc9DewKr/LuQYHqyU0VdXAtAgqfYy/cnpiGiDD9Ac518JIBtJFF7qJ7mjBFPtz
xmlCkaix/ow+2MfZM6y2u1+mcnyiGQyome7ML2PfsPPIixg4ECOYXPy4tJzcy4XVvSZ6pAJitYaf
yxTKD/Ac3V60Np4lNVTXQbcOtdvY7CxC2kkEz0rrm+3YzM5KQwYtyWPwEuEQfqDyZwrMsAKnEa8c
Ykc2j3G4xBdKqmcKojFRVGT7EyBDhtTMzp+ElR6McrWMVwQEQO0vl35C9AJ80Khn2Mzg3xrzPYHE
cXEFZF609HiX1Mq0Av5crBXhd98BztiEul4/VOzpd3QcOH43Eaeizoo1PdM89pVYfyzGXm4N+lt/
EvhVHnsWMSA6kjmYUp37djjPuxqbqR+6IbUpYI93i4isQKhj61OqTIB/bXGpcYAcXdKfJ7WujRtt
ibVjJCk905kGPpJF9ru6VnG02BRYrnhh623orIEaMb2K76fZMj2Jce5QTb14XBaHAK+UoOTBLr9q
iUsRLdo8VrghjgB4NPETS2GsP+k4HXSOSGrWFOIs9LtoTdDFtbwQWh63dTIm9T1sCzikhEnOi1Hm
vslNNdBanPbKPIfzplG14hd0rfRCWLrALDMt82eUgA3zuVqH50jv86DikXZrIx9XvP1afmuZc0sp
SWue2fpGt7xqDuAyy5DnaM7B99gsk6NNwl0ET05p8t4ZZJDwiXf9fLc06Y0IjcyfVMht5jBluDU6
jil6WtqnJlJbTAgxpmrMl9jZzHahZ9Ok8OurXnSAu3lIzV3EnwbCnx6LC1pcGzhpg15DY0H83KLS
sJ2YTQqaucniqGvC1H0WFWgAdOhRuyP93j1g90DjRhNZKMXjMKKFe1Snr2KxOJCZcZPGV+KwWIK5
nAwXwXIZW5wYmCFv2CHIaY+feq8xO3p2bF2MSoegJnC327dqbOr1u1KoffNax6p1VPGd3cUYUPKA
dWfB2rQa3/JeYxKJ2dHtuiU2bnCOcKfO1AbhIx1s8dEaQ31f6219VhL0mrQA5QIx3BZ36L4azQ7J
rFz7BnkBgC/iABOvPJExlrZXNaG7xchf7HvdTl7LKmwf27RM9zgoaectl4XFZF6v9RqJowvSAgjc
HhJgiNAzCMWz6jA8yHmIbtwlybZuaYe3YxmSm3Ui99zTDux1QvQReINJewujRGNJ1IOTKcfyM4t0
cuqFINRFgfLwYM1q6cslNvkdtaT6GUaOe5CNBhRkNEfEg8mFnCLVI/bp8invp+ImheN/nt22vepx
anQbQ2krhhVb2S1x119Net6vsRO6qT8Q/mXdXGYeHRtDhRxA8mzsI/0mMfAHpkvf3ohkZuNbqOVV
kw6TFhjTE22MypMUgtSYmqLwcn+IJDDMzNwBSxhUDERZ+hZrk9iycCVNXyaZtbeLLHqSTiy9caDc
vC65tHpcfe2HhX9f88a52S8p5/kNCGb9JCKHHdGSldpdjN4n0c4lDBEH8CRmiYIaBZwCIug7dEh8
LTqlH2gn431mRCDTYVdWJPnD4mgjDQA+15rbOdP1bUs14mYAk7M3kklSr51md7rRw00CfwAvyGz4
8o9VGYxWGV2dhoJEbibkxyfYQRh61e4GR3zxIrED3BclHsmwK7pXIBgI4FzcNRwxHcFG2LPXNb+C
42qwoQbHuf1OrCNi9nALzWsHY4CS4RQPTq7xiUqlHRMEmNPnmXBqQLByOBuaMpyp1o0t7IrD8Dlk
pjliBxADU69rOjuhRuotIjhu3a5O2tPqqX9dAzvGHitt56dTKhoGWycMhFX2u6XS7Ws95GQAzKpg
II9nyhcK3AjAOdzkZBu0Sm+IWFCBrSj0Kxl6W/4apCyfotmdL0XuZteE5FDAEiu/8LxWP0MDB0sJ
LpH2pkQ3bmuSO9s+btxTJWr60+tWeaspr2jYhWjlVvQqIldT6+NbKOe83YSuU53tWnVuTV6H5zRu
cOIVBh9Z/pfdtaBM6oVsVGPSo1fBaYa5xenR5+GLo4TxESAl5WAVKUxjaCTaeV+eiI8MO47fueHb
at3yazVfFLqLn0o3aFtsAEEvmnsD9uJbrLBBo6skuS+LhuthLEhV8PXM+yDHp3g35NlyoN99OfVF
rtxVsRqZnoWNyDq0LYBXLFTFLSWqyq7NhurWaMnnDRWn9FhVIKZwCWGe/u0SWpsTRHJL3OVWYuy5
0dJDWZvyJemj6j5EzbvUIubgjpcmfyTzYP0HI/2n2dT8tzaDx+HjX+US1h/6fSg1f+C5p5l4nfhU
i/j9/wyl1g/CCvRaa4CwcA2oEKv/7jHQ1B+a6TBxErNTHRsXwD+GUucHFMD1B2xbX4nPNPD9leC9
za/2p6HUJqrJ6sohO8FEqol/GkobPkydjXTrFxJfLiX3hcfuP97lpL0DIn0awxb2aZW60n3sRuDW
dHlbLoZ7SADyeyyS31udZQiIDNMzDKbRtF5qfwZqxsoZ1qaSa9890Rdsfhpeo1keSOoagUvlQRA1
zegniqKRgVian+oCLqucCp0JQ1F4JAH07yAtLVh/A4tXctsRmB4X/NuVkt4uZtHClQvzfQZ7jQNq
UKCumFyhtd8Kq0YaQPtK7pzKBfGqZ34TGxj8e/a7S92h9Joskzaq7V5VvdnR0LOnqufcLhy2FfnV
M16km3QEU6opDJQcyofBMVDg4UN5WUlPhAq75uiyJdvwWMOeQKHPhjHBwMvPuKMp+JTs1H3Ri54K
AlX0F1r8XgrQo/t5LnBsEzUIzLxGdwI5+GnpWLnbWFeCepn2jV79LMIC9mG0GgMpQiRZFIHB7yg/
SVtBpYjo/EHlMSi721HglnezFr6OkTdeSORuW6ccRBhNXYifteHpbaVRnce7VDAl3PQQVP2mVqIH
LO/T4wxgyBdTSdUiwKENobVZbmaqNzalZcqTXqQgazJ38PKwfR7wzWxMm71EQuUHcQBey9jN66/c
NeBUu9XkUSYae6ZFdfSoqTcGssGO+oXJSxd5Ic5Cg26pPpuSDscqDwP4P99k0HXsU+vzLJvoueej
poyoSQp4nA3u1m984yQR2vlnXOQgB3Lcl86y1xXhgDNWoq1Stfhes3IGANTnHxwoj7FGDjcn7xGw
2SOIP9HfkNUAIKvRuTOy2YQHM7mrkrTg/rCWc9473xTPfvSLTVHRCOMbDN+IvRTquaSfyUuJ8hJb
XXlsLWYLWxGjb9jmeEzr1vU1omHMjyuym0z63iGE6Q8h3Rb6WN1YOsZo3KgvUVyJC97jV4sCxINS
K2B93UkQ2Eg/COK+Rn03BDErTjDj1RyEGIMYMvMaQdDusKXb1Wls1QvPD0ovZ+eZt+U4otuSmVxr
4Vpoc8lqw6uM+KYmsb0vU8P0nDwyfRUXylGpGR8iLJdbS63ywxJiX+W4oBN7qh+aUV2wQ2gGDD+H
u0lnvva9S6Um83DFwOQp6dzAOoMpTVNUxgWVXAP7RoZhl61Wi9MTLh5/kTnR2Zw1D85sP2YFXwUT
7htXyfnYu8tRl0oZFA333FTm27omnejo+Pn7OMblYdYeV7eU1qsCuoOZP1hurK2uX9enueMnkUIt
qO3lg8bTGNZe+KRVpuO5KoXiokve+ViP26ruv0D8sS0adJKjGrsyLmtsk7Rhg/8l9mDn3MpJlbg7
CtvXzWneCQ0S0iabskfy5LcQNg4xLtaNGID+LLP5kiw5XyklyT1FGNSLq/V5wRvjm+pyW8EG9pIu
SnczuLR7EoAw7amfC0xl1HcdjjIaR5TuCUMx95q5DA9Ml/V2bSc/wKVM9osikfM4DJj65wvWgmUD
G3v2eczdcXHIvYI18FfInhVrRttu2e1KLxOy2+B25gVv2nKfsyzE5RgDNWtZl9oJ3exmOTzqtXPQ
Q/teTOkF4mn1Qe0YX6suWwNVVX+VkXYrVPkysw09EsYQPpGnM0IuTaQGGmo7F5dm1gYfsyzpgjGj
7llWu2JO6iCOEOtGYUX4GWCoJCmOmN7OIsoshNziNcHTMFLjZsA1B4WgoJPZ0T2WBDwgMQO42/X4
qpxeO0iDhT7bfno6p8bEPqXriKtDl3Qbu6W7APtEAIMPP1xHPG6T2V11LCIDKKozYGC2jHSPE2Um
2NM3Owo74KyManSmNwdolL3UO6k6bCcJ+xz1UYitwdm87RzWu+5iDxtqGo1drmBI0Ral2+WFgzWm
LtzDhE9vbxlz/xBnKu6Wqn2nfVA5xXrTE5Bupee2Q+3nNtZyJep8kQnQSlLFGIG1cEN2o93ya887
/KfJuW710nPnLg4AAuT+qCchuXWu5VKLsOPXY/iTIzkCwlnqB71WIY1EonlRZzIJXqi78AuAa+vn
pWqovYm0aDnX8O92VkJ0auTmNVtEfRaj3WpzjoO9104j8YyNPQHrZ7nzFYdhtDUddRVlFSq8cUWf
s4w1edRpd0lRfzUIZT7NRdULfeQcXWG7gIgZF1+bKKTVNHwBtQjFruoQh2rd5OiZaPFhs2jwVeba
QEymg0kpKVUnqHKcaL89ETtfqWwh6YEhlttqTn/lq599nOtdPYfPC59/XyVG6KXC/Bq7nPgfy1Yi
Ffz3rOFqZToBBYGjv63IasADw0vSV55kiRmY+qT7eaw+gibr1j8SB4shnuK4YInKX6aDqgx0WTXQ
A7rBT1IaXUL8ALe5zF9rlkwc2ekc1I17Sd0RjnamCa7wzbPjZF+K0dzIvsuQSPJ7ghAh3dlTubGA
0XiLwjapFuUd2AP8wkqPhZ0kR4CuRy3urHLaAYqH/lnPXhrpl6TUznNNm4OVsTiO2jnz2yE3/LZt
P1mSDR4r5pdkhdpYccZiIRpmapdmUBPaON0ofGs2zejeEmh+MIVs/EarvjOs176c+2tfLR95jJ2d
Lw9VW7kCO81q3QeKDrwqyVgXjS2c046jtaZ9OnD0ipjDwAMsK+xs19f9Mw2MN0hqNIU7Y7ids6jZ
8fIAVskZDHlV8i2kV8QtAS9PjhqR7UK/dlP1Sk98ysDg3NPumNDFTKuDVH5lbbuAS9LpkqIKfS+z
JsPtZVJh1zeBk8TOsVKM8ljyxz5D+ntPUiOmWRzIijpEAeNzRMGv8ZErperzzhU7upHBrQ72FQXY
3hHOjD3gKvw9XeceqB1hlopEiMuTJEBFVRZJCY6Iqe1IBa5XPKVLbu1sEHfcZymuhgtyqO0+9vKV
6ElRLy+vLl+quHpbHHM82MVoeiM4ube2JVOoYgLdqBAyUT9WpL8Y5/0wJMbObuLRo+mB00boYO6T
ZGfrdee1BRwVn8YnfqxWPjWm6ACZo3u3oS2/OnJkaVJHb1YGR7ImsfogrKb8nkSufVlERSW3/DS9
hqpNREpTlbuBIomTXRGdZC7S48DuHNVvOUuP3PzvpS4Bzeol/3YE86M48TpMuVuC8M6trHBEhtLR
PZG0TwpuqxbgAgCHrecRz+OhXISBLIyr2S0v0SJ5TcOEU3tihq9wK3mjgjg8V0QUlYQkqyq7QyjK
6iT0mAYpVxzC1uV0LIq7PHFelLZ/VamESNbW7YS+iQ2/ROzNac2ITzDwlNh8PKkHZwIwadFjXNj8
x2rwRye78W+tBl5cffztv7mH/pP/ff2p3++m4gf3TnIjWAfsP7gMbJYlhmlhNLAMW+OS+Y97qfND
kDujZ97WDAOjwXpl/bv33fhBwp40INdcEy+jZf+1TmRrtRL8z7LEMQ1bNYWG/V5XCe47LtH8PwLh
WqlacZw0OrN9R2uaoyhUz1Wm9aEXLhti/OeExqPKsO6LlAuVMSXNibJj9w6ZKls8ijko0uoqo3yT
bQfT1MY3zaLCcT097VKeb0UfPVcqAUPPJjMGz6ZTGm/pYouscZbb9La1Ez6hNGmvYQn5GgfyEB0Y
NELLT8M2fjWzpPk1u0q1o3o5/sbL2Id+ZmEaZm1ShfStLgOkNTsLA5Vodr2RqTne46c1oDllSdcG
dtFUQEu4hNkM4FTebjjGwAcXmJ3zwKLTpT7kUz7fxCTUPssMEAbnFO5Eq7Dcr36Y9J7pt+IMdidq
xybdDoiIGoj6PCeQZfMq8aNM9pJHYW8fOtPqzb1R4bzd0E2TXzoFYG5hi45d/shv2ffyQWpiiC86
CyU8ioScfmLyJUYEtpK2Y/h7qqJaT1wJjWubGG6Kr1Gx8DobGM3szFSDWVOLM85fRhc1g6JZx+bF
6Kif1mWxlUZWfDesHe6axh1eix7z+q7DrL0z3RjAfQyGFcEgqXfQ49Kg05eBBbnRHhyo6zthOG0w
12Lc6qPV7ahaZsQW1OHy+JH1C4bdJfeqMnNuSq2rH5d24EKo5hpm+nks6NVonXFdePOoFqUNP6Ux
kiMftPQbY2l/ToWdBy54mK+cr8wvGn6KXa2X4SP5M+zypNvcK62x0W7iE3s23Urddm7RHDkj20cr
Zt2kq126V3vJ45V8nt+aMf1CRICPwGyYJ5dex0vPv4OHpvB/Eu204SObHLj55NtlINrsWW1lfCuW
U/2qVodaAYSZY1VozQ1LBOeZx3/yFBPePMRDpR6YXa1zLrLWU+uqOwLts75caOPkEOz+ruAL7Nds
CANnzpengf35Vi/76F2Lh/Kikohih4YN16mZlzah0bGyU0KbLUrVrO2R3JGsynD3UUNtEXjn8peZ
YPbfhKQg77Sw674yor93hkwwBFLX90AcNaGsdq5xW+Oc3LCk0W8K9nenKo/4uoZ2xujStuI4t073
0PFBJEkiG5Imy+QVKZcgWs+l9tw3cpqRTFzxs29A3zKxcE5jUmSXMClHC/5FwLxll1CpDO1jJOX2
4tCmFO5CyrvPNY2FHFINOdd2HOBE4wVGxTezk5Gzl/HJ1VMKmWJQfMXCvGos0mnQ0jFs7PUl5DFg
YGLHKgA6NqnbRL6G2Ay3yBUiZ+83LB0lFrmsIW1gLM4T7M97UTlqhPG0jYjPSyv7njS1+7UA6Xtv
YQHdDT0KO/StlkcLZsThJldSDfsMsAHISXr9mbja/BbmzN5MGBprFFAGKducNiVAYFoDtlawixKl
H/rt7STDpsY9IfhaVpJ2Npa/CVh31p8IedlPqMlEi53BfY5QlG8mY1YPsb2MzpbKDHm0KAL6FfX6
fNEXqpm5QfaJ7tOkk903kaNf2HV20ONV/WiXqHz9WKmXmUUYwPQk+zDHUfOgLcxvDnWfB2tp6ECu
KHg6cyu2YZC18KyreaEHlFq2uBP0spmhMzwqyaAdVCBmfLDV9iOxihIaVrP6plzyKdtwUKd3FrfR
vumd/uQSP3lvW7P92aGFfgLlqHatLMLDPEvFG+xInEK+QPAehuHCFtvedxNBwnFI5m8FreSB3Hs3
ciMt43PlrlUUszGnj/whsaepVn0GTUEgCZ/HrUvWYZuWqvwcSpzZvtPK6HURznJfde6whYA+P3e2
S6V91Jb1s4t0c2yLdjzMdASeYs2l10TUzUvfKy1FJoC2DV68aWbBEKM6PRch5hMLwTIY6KinvInt
UeO+Rloe7xazK88u3a9XlVZyz4Jn+H/YO68kx7EsTW8lrZ+HNhCEGptus4YGqEmnqxcaXUEQILQg
dzTrmI3Nx8jMrnCP7PRq69d5yaoIDydAiHvP+c8v3ErKlfeiSs5zXe5EsxuxnsgiKd7J5ZDgLnXt
Q0WaYGaR5mg+1WuumG05ld7Vw3VKI6qnq2hSKGSY1irdUgGrJjygjUQ4JUVLsZsUs4aITNJFQIQS
IIYqe8/rmF5mIBb1xagBvdDAis6lj4lUQCm9VrNY8c5NJzlynkf3oCDyvNXjmCAWvPF8NR9LElDE
Rl2SL9oyii6m62sLKjUM1/iERPXEOpxko8CzAOaDxQWnJ8nXCpWlGjtZrONlIulMw4qk7TbSiIUI
AtqqLTddLGslwDALBIykixiMCYmnVYWQIB+N9KM2Em1+kc/yvJKb8xYw9TwnzVML5eIi+QYy0w9p
kKMZ/Uq1OYj4BJlxcqIBz8TztFxckBVxb2L97qRHY3DCoCcw5HgIiYFVMDg2hD07tMzcm6H7o3zq
BCsrcbWgkzwvW9z4YSb2g3+Qi8YTpzXOo7y+qG/OmG4TP8sqW5Yq++wlXbM2JhS8Siu1Vl15qlpk
+1wu5Hu1xSKz0UuuaS93Xny+thhNTZRk2Q/lNJAZiTupMSYz0uAFd2DIHTPO6ktXv+riHlQiDZRB
bFU8PajNe5zLAQG1E4Oi8pAFhwkasQkM4sESomGK30Msf+RKVEjmJWvl3Jq2xgnXj2gA+FFQU2+x
ErgIZqRFEloNyJYaOKMoniSdtNcheRZ7Ib4vlPbk0BmQ5IIaDoDhNFzfIghkdldl8uaM24WXixH5
0Sc5pUGsCh75VEBjODbORIdSkVLQraRUG9Y1cN/VZv6dqlRLbe1e4BQ6p0apHRZnZTucwXWSrI/d
iW7SYINVHCpPy8VyfcJxYKYbqLORMQ2h1N7okGPrnw/Z9WTyIh/mdFtq2Mg3CLhl62Uvi20j1ui5
UHuNZtNlI4gDBt9Um9d4d2qAwqZ4anxgDqz5V/HQw0lTs+4lNozDvs5yYCr+1r6eL5nT5RgUGXgT
WicRouNwAQiOQL0eKyVm3JCe4ZQa5wuO6bJ6QHynFu80lLlzOrVjkDNw8SMCDFFTpaU7SeFg6rJi
vHUTlJp4UdaWNDaM7fExIO4QPQQEG2N4op1uXRFzTUq7abXCtaV9i1VMVIhXlIntvky6cGLIEeo/
QW3u5XRQ9jJsmFuuWHr1ijZtPYy5NV6BYQjQDOEDlQ114pKrI9GQnwVxVusnbTPNx5ex4Mr14rlY
xHnaeEXVnk92CVMFBX8yq3stQfEFSRBH4GZW9VPSf5tBOLKaS08nfTqsZQHL1C4ZYFKWLKyW1tTy
PJ7cBIVdfFkydS8soz90x1ihGgbobNJ8lmFMJFvZRagCPanrhyni9A3V/ySMcY1jSpUiBThLvJOE
HZD3iY91cX8xErJVYhCwXETo2ePPv5DBMl+1WoSUWiqXt0MW43maCiDuV5k5sNl17cRHHu8riZRg
IxRlixz+BNurpuuPUaJlq5o1RbcyOZZE4pDZ2cFHzvVM0U/0InWUC+ClMd2/LhyK97QXsS5MkZfe
62Oc+lfot4t20ogPdYXRfEcJg0eQFjtjDgEpvSBYNYVChw2GFyE6vPYMHkVNMOzPSTGJzJYc2hU7
znWuVazOZjXCP7iCu631yRQj5mGkMbO0SlKelf6ShE03yE+YKSRvxCYIH8Qxd7eJQJnuqqvYar9P
gF/H/xW9F+vfW7Lfzl2+LpJz22Bl9kujJokSrt0Ioafw5xT4c58atdG4SpWAf3TO4GBMnsh6wcNU
/r2Z/0+PIt4+5nM/+PkwzFF/PoyUns+ny2BkzsRX91dXcFBy4NPVWIOruie33yS2bv3EM/yLb3Yz
hvt8TJ0+F4U13w80VBS+fDWlGTQDw8vMAeW1oExb2U61X4sAs7V16n1zsF+uIweD6MzIgoGwKupf
uPWkq2JQm5fwkRzRlRwY0XucBGxxK4ejp75kIVli/+UvSAevkp2mKLoqwYP88gUzprSj1sqpM77S
GfmNl3iT/WjJVm6jg7T/Px7zMx6j/C0e8+81Bsdl8n//T3aMit/e3n/bHc+//fv5rSZJ8H/8hp9y
n7y9n1+T42+X24/a42/WsT1mMF9/xXBuR/oTwwGSmTLb+0P5Iaj86A/Sqy5ib4AmDwOjH3TYG8Tz
J78A1ivOBdASeNoY/t8+8E8PAwkTAwHbXv4zxabwv8R5/SEI+cdbC4R0Q4L4HP32mPFQf3nAZLnH
fqoc4bvXJmZBpSn3FgsrQRvd4vB0eEuww3rBwXzioNaObRlnwEW5QHhWMJwczGr2zUt2Q43+cT44
PIBRSShhRMZtSGuEGxvip5gBWVPKLo/GxE1qF9NxO3HYbRSrbZGi4bBu6aurU9iJrSkWtvSC8c3x
v8QcQNnV6UfxujdUUdXxnPiCaqWymhTU0BMH3UggOZRPXmqTJ41Br2NYWOcH4sd5Kx6bXfwMnb/+
Zq2efl1kfhwf0Z9M+DWbs3r7+U/fnyDpoUrry8SBUgfs4OIL0NchbjOopgViOjBkzB7heSkPUkV2
ioVpWuqoxN91dH6oO7zpS7NTz6bups6kteU1s8zyffowPFxug0CLYqpcMGRX1iOjFevwLA8bpss7
3fn7Gyl/zou4XUhRA7SElk1ABZnqXy6kQgizOETnyNXx5iJ+zrra14B6O5vg7zcvkZNrZvYgIl58
iuaaBVdfW/SO7JTewbAJcRQHS0rcZjI7LPVl/iB9tyve9FifnrQfJwgnBCxUZpby1bsDvUpRY5BD
kLnV21P2DrnFgNZUB4tx6s1kdj61Lzh2mdEd3O2LYTLLE28rr3twRs0bz0RA+39/0b4Q0P+4aD+d
0xeuTz9tW/rNImJIt6F9calO7e4Jt+/sg3PQTdlKnbP13S5z25l/fue+Xokvz1xRpi1mZBy1d/VQ
9DGA9m479ncb6E0x98txCH6SJI1VR4UN9PnZrsERx6EtI1fYxEGV28hc27cDFOyped71M826uAcC
4xDYu0ROXWzZOYexc3O+Ln7f6f7zYuV2Ib9+5Z9ORbs9vT+9Zmc5wjG9qJiyLmi+vByLauKnzfMD
KdHewZTfNbqB7d/f3b944tjCUQ4KUyJdcbv98koczomcXNpTyhM3ODCWqyU9xvNkVWzz+zporMjJ
F/K2t0aHPER4OlM3t4UXSNaJ+8dW/59fgNu6/vkCcC5MFthAGAvAYPt8AS7Qh8Zp8eNcdA/RmzbT
p6DmdnzBGNO+mWJ62E+SK8KA3QIab0qn+Gat1cXP1Lbb4/75JL5ckFqG2BJpnETj9PbVrkLJkj4E
Du9od1J4JlKjdft1sT1tJ4aJXjAzVhjREQJt5hfM/MQPsbLLV2gYaWaBoTctRpgW5iZ5jm+WmRpm
dn6aYH+bWVdpnpEOG4yKkyzVjbwidhSbjkIOCcBk/iV9UCNbDLLHuRASzYzoeZ4sD167Rl9XLWsm
wT4CJQIxwp78gqCd12uyLryJaJbBdW7MCALBLhPHfoeA2KknWdixwkz3+7lULhsswyUTOsfhvlnS
lTFAPjt06pBTXiW6mNq/rnqbczDM04X0duhqqq+segTPUlgMDPRBatf9a3xBlowLog8TdjDZftWl
6lzQNs4kxSwn7nk+2owBsaZh7rw9zYge1xX3kvk6qACDmtF+Ho6CvBFjSnMyUxakmUIXNI1XKG6Y
WhTJo6i9ER810b18eV6fkW9GqzieK/1yGBdlFSKURKF9I3QRdUlAx8Gt4YJUs1S21WoZ+YcNWfei
G7Ocjr4E1+m5bqzKkxlvL/BUSN248biY8Vsc25jNGeNsRHJ6dtIWb1vum43HZJ5a8krmDI6niqbW
JkcCcDNm6gIouFbWxlzZUa1cH0H6Y8UhSSSBXG1pvYVSp3U0CPrG4/Re6ue55rK2TDsyTddKYZ+s
bAaupd8B6NdBm3/ANYknTj6fHA9zHvw8AEUQOXdX28IWLE4mFpkmUOTgHDxsy6rRyZ3UPUCgP5mc
mo/vYu8z316S3XC1T+Hk4QynwE9PVv3SYI7rvHTwCPzRb/1xe910j+/M2mtTealMIVRDguHDK41L
9XE6xk+QLUMNjAYi49vV7O86DwOjwuv2N2djxWa+XnhEyObW1YTjlVuyn3sMbRM2+c0UBNi8KzLv
aniDJd81DqkJZzym582eQB9kSPfdAupmQkTuVnqTF9kpLKyX7E08IP3lMQXiwAUgkHj7m6BXtkwE
rsaeNMACR0CUnOq2aV5zYpcOJog0dchM9isghhL9QRBt2ocOnr7qnMuHw50Ku55ggPVkT9B6Zd8i
6n10UVMHTULN1X2SOOVmXUU+llTxacV1xixAKf3bUwsJ24yRhzwomLWCxYT0kClsnAdMA4hWwRCH
Zfqqu2gB9MHv9VB/r1dd7MsHCxUTzdF0eKgeZcGRdp1LWsuSJdSf+okMwwM0xDo81tthpVDVet0M
kY59MA8rGEStI8mmRISJ03Re7kGCWLS5rVmnRe0T2MdnzfEkRuGq+6MlbjQPW7vwMkudahVX1mC3
Fm4OB0sODBqzfJW8DoFKQEZlMZKXTltxuiHIl2dKosxwR5nzx2oHh41FsdYfNfluLN/lYpYLyxg7
qXF2yVwkQX2/j6R7Jd3xfVpmMHzF1imX2FS8XuSl0AVEYJXTFclAe20Ge6lDcUHoJUS8h9hVnEGa
j6Fy4dLbIBFPwGEMmubXZRKQFrhGAnPpLGmYRaTMnPzT1DlDhPiQduKydvK7iDFatyVsQ7HE/Xmb
MB9xxokjtWGs21xLeJpNAJqWThzMpVUUmKYQXNxOYtuaMqzd6a4qrqN6lSfOeD8BVB3mQo5/FbkP
fnnMVJdIO1kIcD/EKjl6ykT/Mld4aiGLDbaDO222bNblTW9sZyhvcO7w5X27PCUYY221GhWOKWF3
YpaWvkXcvMnd0+PJ8CHEifga2vU7k1Rn6mqb7rV3+AyH1F8ZYykfQR0uPIoj6zNxceva8UqHetx4
UomLoCXm675l0hB2wO6gTQVUKrcyAiPM/GZFRsbpdcBppJ9DeS5aB0umdCAT1+odxSLIZXIrsetw
6hbBuMSf4zG/kyNXJLK5N8VFvcyOqhtr1vXq4Mi4HNgWNopHzfEIzyKeDbuTjRy/V5luW1fsGutZ
U+2qc5BGvvZEyYk3kI19ljwuGn1xeEC2bN7k0ooN89sclECbmmjP2umsEXYk38CR9jq3YJnAsW1Z
oSLxo9c4LN/Tjf5CLmJ3p+VhfXba7HY9sZ+8x8jDOtmT4AI/aV5bk9Ej17QvcTV2pcJX8JxcwS0e
eYHgr0xt5FdSSpUc6LMmwLbYu3hcKp/pAS0iTtpLQjogm9em/AZGelgKL5lnzK9vBUm1D8ZafgIm
V/f1YP59rfUXlbQsqETmabjeyCI46ef6JsVKK49hd7oMx1Qe0Z34EnHaG2DU8ggBrtshrPK71tTm
3xz51yqXIwP26YQcoCa4de4/l5Z6miUYoP+orJKl7J4cpmHrzIRe7TJRevjmaF9ZGHh9fDoafI+f
j5b2MpY4hzp1o2P6pvl6KOOW4OlBNOd+5sI/U8arvxbPn4/55drifF6ivEFEz548rtP5aJjREiuF
OcEahYkdUYkz1Z6HYAwbgq1fxVd8eg3Rps4Z17AcHjpl0cwMCHqVLT/ehm2+PB+eiakUH9WQcLt9
zoarbqr7dG24z8JHHRzCIkx5xk3Sd0N1WVEvHjxGss7orw4s8ffJtphdsJ/5yGkq7Fv5SEb1przD
RtUury9MMbFKX4w88W7v9Ed2ho+e5pnSc9MtEwdLOL9z5Q86jz0LqtfOEphZCxGCsyk1LmsODOsD
Zdybfqyeo+foPYfYiEoSNHAJbet21SnYj2j8CL3pg36FIJKiiiKPSFhIEhK8L15BUq+Srapb41y2
i4WxVO2WMbur2iOz1TG8ELv9dHDz+fl4etMl+9q4GRvwzniewhAm/4aIdiYktrSO8R2uA/Z91rtk
Xd93j+IzGyDIvXMN+6MYYgFnZSs8FZrFZKk5nY1xDFsTLmCO7JW33Q5Kon2917Huh1Nu9pp9KlZs
BBqOtUeWezuap4UPBdiptyjRBt3st/mTER4eERPgWIzjGwvMFS3DI8uk0JsTOdSO4mheR0p0U2My
TjbkRw4jx5Rcrj/G3w8U1pM3mIl9Z8MGrAkyhyNqIZZguGs8dXiQDSbz9uEBM9r45I3T3ajYZYi4
otlBTv4nENbbw/q5Efr8MH8FwHTy+yIIRzSlAnuUAxLgwaVjDqPNbpAP4mr8UGAiYlcEnPJffn0V
oDeIddCMIXvcnGF+fn0buSdHLC5y19gl4gLlBE0g26vTynfQBq1/4vv+2vh9OqLxpfNNSviPh9sR
R7eprGwOUn91EBbhgumnLoJv+3JdjryKzuHh+75Tua1Hny+3oqCJAhMyRBGE8yuIDmcsxjaLvC6o
H1iaItg7YtH+ggsmPEoGWqZweRb6PeURjBq2TDNdydtk4mI4h38qSBfz55xMg/u+tqL5gP4jvQGE
BVAJxlpsmqUT8aRJs3EWvaORXpGQ8XG1GNjvLv16oqzFk5NtBIQe1GkED2f3ic0jSIv797f2L7p9
VQDIw55eR1gmfEUyz3CRmWwOCagK+XJeat26/sSwCMTzE6frnWhBwe0iXHaI0oPh+5TyhCEpcZrv
YKVfF2xOhVQWHQ8FKIPil4ueQ07AkFJO6FGjZbwmTJUCFznURnIF+2SfrcN3c4tf0T+8cQ08iATo
XVND+vJcE2eCMpRwlx9QBwEQIdwKQKU4/A5U+osHilwBmfnZlOgeLCS+bEZojXOVcMDEPT+i5T0D
HVS2lH/Uh0VdBynaED3/MOgqsxrKvXMF28lxIjLxl4wK8mDtsURL5qqJgwTLVIXZFL8/Vjt6dZOK
LR+8pHNEcVFIeOPM46tDvauk/qW7yxts8BxZcdurM/RWBBPJhhRkzOtX9QBL34PxwQrHrFeDkQV8
8vLNA/YXd1WcArAqqiyD40+/XGNBqlMUT5Q4NwBTsjQXjCFSXAQT24IGY0GzC31kjofSJLbgWIWS
S6G3P+3y2vtuIZN+fa8NCcRevllogOLrX24DCle55seRe9jHGLmwOy115tv+eX3aEnbSbYpnrk3p
TBXr8kaIa6m4pwOWAbPzZTE5efV+QmXANP7vr9EPlPnzcvP5tL6s7vFFveRNwmlNvcjvtozMnzov
demzK3Ygqw3J3WlAmmmSc0DWy2O8vR5xn6s3jHHPHuuDra3g3mUTlzJYWPb42gZGIG1r+7t35i8W
DN4TxrS8OTJvq/Rl9DEk5zJD7Rm5LX0bcBjOptOqQwd2lwsQBJ+5sXADKFloMW5GmR/RFfPbTVU+
iQ6Cj6iykUWzNxNe/s1aJgJB/7JuG5wRYLkE80xkNfm8UV26A2n0sB1czDI+jAiILi4XfeSkgU7M
89k71CbaQ0OG2mfh0H6JF5A4J+UqbQMII4noD3gvo7I6JoSxBRFaurAOILWf8abttsLVaqdWNNoY
QU1DLYa7gFbfgjRjYtQV4bD0xNz9cp8mTgu1b7QF3UKgb9RBRwFDYqKVO8rLdA8wlRTOcMwjF61i
Li6mH4bh9bkLhVDL3Ivg9zGWTVbOlXxr7zBgRipBcRf5aJnml7CcG4/oCaItvzJ47dm8Sbl0ii6v
WY603uu+h7BopgegBM94BVYbYEjksDDN7K5mFpyYkxVRtFACYPETuUxq4ukJKGPq8D06AMVJYRZL
GHGDNtOuuyL3K2we9FmOBE+1ld4iiitiY0LX9w6sVSwLg689Vc364KV4QQrWufJxkTkI/jWb39Sp
hQfKV9MLUvfGHnxNrK7rt0nslRCtLRF+M/bHfWiYRNsTQ6WY040UTsGeMkBd+iBAOMMEeEMZGwco
RLpQCGnZDqZwbBJLysJaMofYmuzGwjwlFp+pSh7AkWROXtUb2PQmm4dNSTFdWopbVUvS9EAQYTO2
yArOZCiYuB7SgF5BPwWHMuP+4shz0T/wD0yASPeWvUSN2j2RFO6q96zPNWtv+Fj52LjelbwLRAsD
zi4BijLyGPACsIXMIhDEqRa6auHwccYJonNawydpR7o/OZNtuZru++C0TPzMHV8gozyhxq+WTBtQ
lZRudzXJUA40lxCexXkVP6mWgJHo0+Fe9s/2LVLSCBA6lbhgJTCGNFtsHo0b5IxdF0IM3Ef8tAHc
5Z7Er3y7dlc/yQfTgIINFRB+uKPMgoivN4bZLg/7XeoST6C4sh0r+wmsv+duk9k41JLBC8ooWckM
JW+5w+ggu5OOgnPrW1RPsOT51c6dcZa5xqwNDpt+buhIZqzTDP8tq14JR57lPmjfrpJF6uRccyn5
axXkD3i75QvGa56wYmm4ox0HQkgBMnnAu+Lp8h6/XoAS38ud5k7IU3ex7Usi8+qSYNKym3SGJdyj
C8IfHVRO2hdwUs3hmXyHDsGNlUIL3Eebq8m8zAIIaAClB+d6lzuVV+xheMEbdy/uxe6XXv5On+PQ
DTGKjM354a6HmVuaWoMO7Yb24LkrLpEdKkuQqt0rnhFEBeEBMsG+yBIW3AP650duoo1rkjl5GZbl
6uQ3x2hGt9c56oJRbZjcE30CA8vN72UW6WZW+OzcaMNfr0+Sd30UtoJijis8NA5Wtpef2sguRBAc
Zri6o80Z5rYuinHmfTR75nmeBmpIZGeoB/kjzOjFZcMGRV9jl3bnnHvz4rU2y/S85Y329WUJ2A3f
y1Q5neh43V1drpRg6xs1BPP0Bu/wQYG9VtxxNywgtiWbEoe1pWifHGSaNEABvd6SbmlHlzusx3Cd
6kCcZuL1Yfsw7Wc1qkKgr9Kurh6X2Du7hdn4nQXSe7kXFtGz9NTPgmqDN2uANeuVQLkgCQxPdtTX
ag7uAS3PrJfJWwFG/bE+eQpmvAvdFv1xV6+7e5YtXzTvmv1I0xff0yDWzFNGkybV6u6l+yrUHk4A
rNTYmdsSIQz+rDjUFZYQwPK3y49oMXXYtlzQ3HFXAXHjFtyYVdjP6aKb+/NahdB1pz0CZgJRmkjV
F+d98tA9fNRg7wjgqaAaH2aoqYrW5WUEPvAv24458UJm3B8yiniPXhBzfiR2t5p4o3UBnRwXIkdv
G0ufd65Rm6f9bU7fzOnE7dY83eWLZN4tTvvEiW26dPdkxa4QKNvWMTzvEOh256Ig8M6OMLvMJncq
a1SKVZIb7UicPszOr4yVMu57UPjRsraZp3OX0dLGKtoT87z4GMC3Zt2smEmL5l7B0IgxxSPcVAr/
0b4oT7KLb8r9Ya9uGDox+PTLKlC9G7cAE4HNlKtKTpYpPpS7yRLdGv/Gglc0JNtpWCypP31jxvCB
/S+5Orpiyrsbb5zS1UzvoiWKrekGQUnvioFO5z6CF5I97vaP0dXq2CVJdnk02JOaJbru+dSquCvi
K9ELtRvve7e77zbRTKzt070RqAvBujDAOJxCLJpOOiFoqPF5Ofhfdo56YmaNU8/5GlnQfAgX3IfZ
7+I7wdOXqZXkLABDZmsBeQ22GGQeXgz8Znqn2NddvDAUy2B8A37JXGvHe3gBfUu9mykiPD9Ws2FZ
B4VqXizhWXxtnIOVrCLetqlX81hTZ8/H1ehilrYctmy0PNBWvNFhRjX3bdCu+iC9awOVh7OhzyKp
07p6SJxj/7LXYI6zzGLzb2neun+QZ9PBSkKI5xZi7Pk4M5zucdyULwP7VLqkGkx7lJ2hNkUTYscM
OUqnej+FqEY3yRheO/fKXOAl/egQBZ8iP5P2U/lBTylOWLHgos8aFTqG25VzTbTO5GS8Dj92ckcP
Lx+Km0HiNG8Ak8eLUbJeJ0994kpTO1ERP9njTFgPvT+BjdvxeuJselvZARLXcmPd9o32pYCJ6lQG
rzjraMJUIFoD5uM/VtauUqPANbHzHl7xsDjlFiZiU9NwXgc79gW31C19d3APb7jcuNM6kJh3sL+w
kDIHuCctHOYskfRLoDCvt4rgGmZUYp2VLgFCutiOKcTsdslUEq03/7+2iRSFJqF26FPX4EBjuRzm
xfq8nL4qcGU4gQavVSsTfIMnGzj2dSTSO7duCCW/11OOdFa8BPjP5xXmtPLtaG2FLag/fSR9/IzL
UZAyomYuh6s5BqWELtA2L1XsTDsMLxEwoLpCZ2xeKGK2h1W5xE97pktmwQufUybC0JzlQezrbrPL
sllH5BNmHPYp26IVztentfyRgDVYEecxBGlYW9PV7U89gnArcisfvJt3fSk7Wb+SHU68CVrrMms9
I6zcYk2tKTnSw/IE3A5HxCmPEadvqsAqi8p9QHVmjRaaLqtwRSdZ8za79bJ3WINZQPGHm9VWu2yP
jE4r88hdcYmOEQ52GkISuGM0u0IVUpkhlHTmWSiwTvbtB9HjDaCBFbsm7exJCWvdkp8jydTvZG+8
T/3qYJ4TrAlNiLTq42md+loo2ZqHVlz0pFclhLTKHKUjJcFmIHobwwjE+G0lPGcrS9J9+YgyGnUS
EWr7hHLCYbJyVVzJIBEEMe1y4vXL2yNwXUZv6LW5UdwJ6P1ME9GL3F/m6ZbIAIplR/7gwVDCai3z
cikjPHLkKa8Syc99tlYhmFnynnGEzpYHJV8ANzXPDpXzMXnlUnmRnT9UTuqnjFvMyr/MyueD4pFN
aKyTh3ShOsZTGvYbPHjlPXrm6W2qcsO/aYgltoAn/ZFnl0kIUewAl+6IAn3GJVZdwSXpPF5my1uR
a0ayiSHjolunm+FFnXUH70wlFuFDbwkMXLXZhDkmug7O//CoDy7pDQzRjOC05kEbKZbM5g4jLS4C
UWJYbXCU6Vx6KGxpPmHqP5fm/TFa15ELaHul8NatpjcPkafwybAB+u2ETav3qrX2EWeBMprtnlTq
AmzyRRcto7OnjNA3zIeyffVwjmi07HHfbpC82DHj8pKeFNcfe/oQ7yc+5WrmxRvaVmCRQPL6JxJd
F9FKowb1aws426nBJtYc2KbzsU8t45kYBbV1cC7bkfaY5O1lLngFs6zrorTr+cU7LArNVILD86y0
MAE6WVC5jvjBamy5LBPaYlgLq/b2gmgfF8NrAoCUeAlhNTfVu3hFhIs3zLMQ4cIqsVNz4qW3G348
3Q1Bbke2YmceYJhfMiOSd6kX8Ric+FadFRrhZcdNvKGil5n6kts18eUuvdlidHi+ucYP7SZ1Yj+H
HYgNrFWG8Ybh7PtZt8ujYDOau2OOF2BhsLpaDOErs1+UOA08tVvpJXL3g909Mn+cvubryxxa2jyX
EcAjTLSEu1Ox6IJ2a7xfHe04dQ8PRoiy6ZHQg1lhT2fy/WXXod1u7k7ax/VqThR7eJtED9p9czNX
NrGeKPdQ2lalp7u9dx4t0ijI2zR4o8/PJQ4DvP4sjJ2VPBVP6YZzm3xoxy4QMNwJwZwU3qo67L1i
VbnMCfVZv+TlBnuPt6cetw+eJkeJUXOZl7vqTmOrXsqVVdNNyOGko6R9uj7zV2evSo6CWxgv+uX2
OSya1ZvEa60CgJnMyK8sAYbJYHbitbwSpxW8CQvkf/QkHvCTyfoXYlg4Qi+8zHvDOq35TxWIziBQ
kR2QJOHM9CT5ZXiDTxxOjKiQs3na9WieQtZE58qO0C7JVOPfTOfjkfkhlTPP9fjOmtwuWNwEnyM/
6Q9IY2Omu6p/3uc71SdhyG7C/IG3x1GB6cxJcHhp32GvfJS8roXLgKFb8biXG8jfRMy7bOYuDtVg
nFxuqI9Hift6qIBbxYlZtMuL6CiTWwkyRmFUObXudJVjNYzZv5kJEkX+FfUG+2IkCGMXAEX7inrL
EwHcB7MDN50Xfgrh7BpAbHXysHm/CT64wD6aHNYMDFi52b3D3yzrBVt4/h2U85enAqkYhq2Mt5n8
heynx3ksouSC8Ps77RF3GUjsQA0BQeSsCtlC+WbI8YMY/wWEk7FYgm0m39At4XZKP5HtDnWhafgn
4BvkTl6nFu0oZVdyvHGVmn3hMXOgmKEaDhQ6aoJTw3GXOKcFIoybXYNf7FP77EpWfpQ+8u3UyXaF
R24oMSMOsbsdXU1jt/7BP9yVjLlGh0Bqu1yQJR1kPFzWdYH44Lm1ojfcMD3UmFtp8XGbxgp+94BH
BPmBPBH5THuKN9mysNv9t/j7r0Nabv9PF+DLNe9UlaRSBFkuWR/erUIdZ3iB2vk6skrrez6n+Nf3
+B8X/AtYh89wIki4hrhp0IKBTGk0pjTgIjwDcir+mTnWd0f8Av8qh/4Sty1HROdSBrCkbLyVvME9
LaJAuA3/Nt8B/79oP5hmcFE1XZElkH8u7+en6prhvpyerjFNO8oPSFUx7Z5KEdetS+87riKs+r94
gw2FjCN8/5iifAHbexzaI+iMsZt8XOgLHJKsxCZkk34EbQ8PJ+YCNn0vJC7NxPMozM4mjeeCoe1l
VQBg3FXBeBRpNu8GYtfYLLfjx2UeveVvXdDt6n2yMohOWMSLIfrujf914odZBA6ChCFCyRa+cl01
kTi3XOHe0Fdv8AppdAssnNa3nKGhtqXHsrK0ULAhjP8pYPmfn4imzQ9/w9eiJKEritsvf/y3Vfl+
3rX1+3u7OJb/+/ar//FP/+3zH/nNPz7ZRlrx6Q/OD5eMTfdeX7bvyP3av//p7+eAPooGM3v78cvJ
O6P8//j1b//Bn56Nv37AT44divgf3o4//t3dpXz//ZPff5zv7c//dnzDhsFOmrZOXtsfX/CnH/75
hX/+9T+uwa9H/stz+vMv/eS9xoI9vvx+qf44y+Uxf//Xf7GO2dux+Vmnoigaq9A/TuRf/+XTaf40
Zvm7z90mzbG+ffafHxW8/eu/EPSk8Hr8dz8bumKSf/pgttCbJft/94Pvj1n2jsAnQ8DTfbasl2/G
7//9IyyLur0d4Xed0Pntvf7zM2/Xx/h/1F1BbsIwEPwKXyhUVblUClHVHkpVqRL3JURtpJAATZDo
bzj20EPVJ+RjHSd2YifGIOwi5YrM2rPrnbGtrI1yIBCJ+InNkfO8/0ybqPhR3qphtqGy9ran9Lag
OFSLm2AdN5A6mDd+8btZpHMlunjO9fZmPLQfeieqsIwrqxwMe5LGxfeWWtFEpc4tFNZ2WnpZXOzB
GkEroEOUf7kwv6TPNFFJAE8O4eMxFwHF15/5knbK0Ll1B2OfUb5CFZ7wMUsibhzrDFu/+7TOw6zY
C0uSdSiprfWHnLYR6e4gvnJANI95FCtJVLll6IAAMHDTA821vJ1HXUfe2bK07tMqQmnmQIiuCGMT
WlYHaRvaaZjpfO9AoU54UcXSQ7MoeCdVtvnUcZJRH5Ro5/zQQUZ5m7Zq85E7yKdJuqNARwUuJNV4
4ZtlPD38P13nkWZCjhxM9bLeub2Oqdw+csDvplvaLR3jh1ihilxv8p99D26b/080AEniejmN07Ex
sLYv1Z8PKFnIJejCeAOorDg3+kq3q6g3Ud29RmuXdahBvY96QcIn2T0bwoGd1sEWYgejacCd2OBk
R2v1U1RlbzveptrpyKRsXllLvQkTrBsWOXTAvSU1UlEZxiw8x/fIXb90QYEWTaB8Ugm1P8DAySZg
Kpf3BhZTAxOsloz0BxekwoSrozL9QQaVMiHrCFxvkHG+qshGQ4hdleoBNHyiPj4SMW9ZfOFAjcqD
nNe81vgKXZBCiBIIkhR2ictlwse7LuxIFLPjQpzfdHgwaELfKzCrmJKwQnKhIR6bVH6KO/jnzWpT
OD1PMnY+i4sakxMcXwf5QqjG1/yoxsQE7TOe/82WY8ixvGJNgjikzd0fAAAA//8=</cx:binary>
              </cx:geoCache>
            </cx:geography>
          </cx:layoutPr>
          <cx:valueColors>
            <cx:minColor>
              <a:srgbClr val="FFFF00"/>
            </cx:minColor>
            <cx:midColor>
              <a:srgbClr val="FF9933"/>
            </cx:midColor>
            <cx:maxColor>
              <a:srgbClr val="FF0000"/>
            </cx:maxColor>
          </cx:valueColors>
          <cx:valueColorPositions count="3">
            <cx:minPosition>
              <cx:number val="1"/>
            </cx:minPosition>
            <cx:midPosition>
              <cx:number val="250"/>
            </cx:midPosition>
            <cx:maxPosition>
              <cx:number val="1593"/>
            </cx:maxPosition>
          </cx:valueColorPositions>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olorStr">
        <cx:f>_xlchart.v6.7</cx:f>
        <cx:nf>_xlchart.v6.6</cx:nf>
      </cx:strDim>
      <cx:strDim type="entityId">
        <cx:lvl ptCount="8">
          <cx:pt idx="0">10106924</cx:pt>
          <cx:pt idx="1">10106936</cx:pt>
          <cx:pt idx="2">10106929</cx:pt>
          <cx:pt idx="3">9421486</cx:pt>
          <cx:pt idx="4">10106933</cx:pt>
          <cx:pt idx="5">10106930</cx:pt>
          <cx:pt idx="6">10106928</cx:pt>
          <cx:pt idx="7">10106951</cx:pt>
        </cx:lvl>
      </cx:strDim>
      <cx:strDim type="cat">
        <cx:f>_xlchart.v6.5</cx:f>
        <cx:nf>_xlchart.v6.4</cx:nf>
      </cx:strDim>
    </cx:data>
  </cx:chartData>
  <cx:chart>
    <cx:title pos="t" align="ctr" overlay="0">
      <cx:tx>
        <cx:txData>
          <cx:v>Oil production STB/d</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Oil production STB/d</a:t>
          </a:r>
        </a:p>
      </cx:txPr>
    </cx:title>
    <cx:plotArea>
      <cx:plotAreaRegion>
        <cx:series layoutId="regionMap" uniqueId="{4E3DC997-3E87-41FC-ACE6-F30E991338C0}" formatIdx="0">
          <cx:tx>
            <cx:txData>
              <cx:f>_xlchart.v6.6</cx:f>
              <cx:v>Oil production STB/d</cx:v>
            </cx:txData>
          </cx:tx>
          <cx:spPr>
            <a:solidFill>
              <a:schemeClr val="bg1">
                <a:lumMod val="95000"/>
              </a:schemeClr>
            </a:solidFill>
          </cx:spPr>
          <cx:dataPt idx="0">
            <cx:spPr>
              <a:solidFill>
                <a:srgbClr val="002060"/>
              </a:solidFill>
            </cx:spPr>
          </cx:dataPt>
          <cx:dataPt idx="4">
            <cx:spPr>
              <a:solidFill>
                <a:srgbClr val="7030A0"/>
              </a:solidFill>
            </cx:spPr>
          </cx:dataPt>
          <cx:dataPt idx="6">
            <cx:spPr>
              <a:solidFill>
                <a:srgbClr val="5B9BD5">
                  <a:lumMod val="60000"/>
                  <a:lumOff val="40000"/>
                </a:srgbClr>
              </a:solidFill>
            </cx:spPr>
          </cx:dataPt>
          <cx:dataLabels>
            <cx:spPr>
              <a:noFill/>
            </cx:spPr>
            <cx:txPr>
              <a:bodyPr spcFirstLastPara="1" vertOverflow="ellipsis" horzOverflow="overflow" wrap="square" lIns="0" tIns="0" rIns="0" bIns="0" anchor="ctr" anchorCtr="1"/>
              <a:lstStyle/>
              <a:p>
                <a:pPr algn="ctr" rtl="0">
                  <a:defRPr sz="400">
                    <a:solidFill>
                      <a:sysClr val="windowText" lastClr="000000"/>
                    </a:solidFill>
                  </a:defRPr>
                </a:pPr>
                <a:endParaRPr lang="es-ES" sz="400" b="0" i="0" u="none" strike="noStrike" baseline="0">
                  <a:solidFill>
                    <a:sysClr val="windowText" lastClr="000000"/>
                  </a:solidFill>
                  <a:latin typeface="Calibri" panose="020F0502020204030204"/>
                </a:endParaRPr>
              </a:p>
            </cx:txPr>
            <cx:visibility seriesName="0" categoryName="1" value="0"/>
            <cx:separator>, </cx:separator>
          </cx:dataLabels>
          <cx:dataId val="0"/>
          <cx:layoutPr>
            <cx:regionLabelLayout val="showAll"/>
            <cx:geography viewedRegionType="countryRegion" cultureLanguage="es-ES" cultureRegion="CO" attribution="Con tecnología de Bing">
              <cx:geoCache provider="{E9337A44-BEBE-4D9F-B70C-5C5E7DAFC167}">
                <cx:binary>lHpZk+QotuZfKcvnURUghKS22/cBSb7GnhG5vWCRmREIBEgCtP76OdlV09M9y7UZs3hxl7scwTnn
2+I/fqx/+2HeXv1vqzUu/O3H+vcPbYzD3/74I/xo3+xr+N2qH74P/Xv8/Udv/+jf39WPtz9++tdF
OfkHQZj+8aN99fFt/fCf/wF3k299/RpfGxdV3B6nN789vYXJxPBfXv2/XPzt7R+3ed6Gt79/eP1p
latViF79iB/+unT++fcPGGHESpJ/+O2Pf73PX5+4e7Xw5U8KVvnz9f/8tbfXEP/+IWH57xSVBSlw
wVCa4Yx9+G15+8elHP+O8jwvyhQxRhEj2YffXO9j+/cP7PeUUILLHKUspylm9MNvoZ9+XSK/57/e
K4sip/C1FOX/3KOH3myyd//clb9e/+Ym+9ArF8PfP9Bfvz/8+blfj5llBSyK5YhmZc4QLAMWMfx4
fYKDgI/j/9amYnVRdqqmKne11tqYaiIzvd/MPp6skOLeDEQlnM0Tu5JS2Fun9P46xj7yLih0mxCc
cMdKczvNm7r1MrqzdLRLqhCS7mTWFD5JPVv44BStmMZZI3B4EFbc7zuul4LQtJkyNdG6dZI++D3T
Ix9hDyzPU6wmvqeUJVymidkrpCJ570nGznGbl5QnRtDnYWXjQRQ2v+yy9Ee7x+SGdln5pUiXKa/y
LSlui24bT6Id5WdUJLiWiA7HMRT7ZejDdrBabsd8Et1njzp1WMcOP9AsGy9MJu3bGDtyTqPt6qSd
2xPpPXrItUEnveTsRgY7T3wSbH9kk2a3JcrXV4aW9Z0ahS7ZNJeqMS2eXnqZy4Rn1O3PqZLFZSRk
uhFt1LrOdRE/hzhkRyqWeJxWsl1pyNoL0ql2B5WEeCrX0G2clF1x8rNY+0qppX8Qol2O+aDSZ7p1
5NIJlz5Zu4WkMjIJVzVSfFkQJqQOOixf49yaqtB50TezzshtksvxiMiIGjH24rtx1BzpKMP3wbSu
4ynzTPNu8+rRhyTcZB0rb9JlTp5T4/2p8yupsDBOcSVa9FYMWTvXzk5zLeOeKD7hvP3my7Kt+jjT
nm9hxY9iSUrNU5xun/uyXb6xaO1jtkzzYTdemKplwrymrt+/92IVnKAVv6zCphNfKRI3anc+1Em0
+5n00/JciIFWSz+xc1Z6X8mpXFWddDNW3CV5eTu6drSVJEN3LTs73cxE6J/eWxOqrDXqedCFrGPS
5aqKAx2qeWyV4xNbzWGQefdU5jL9vMupPWorzScvC3ZNBjfqo0tnGqoxy9T31IvkZY6K8JAYO5+m
ZEPHpJxmxYe57K4s7mvj0nS8wTAGPJ+FEMe+xOh2WYh9p7IwRzVo7GqB0vkmpTNqiNW654szRe2L
3L0vIuksL3AbrhYa0HPZsqyvimK2z7idN46k3w8Wp2bh81y446xDz904hOeWbvCjKMunn6WS4928
W/MwOes1J6uAc9KzmXjqJX5Ubb43FK/rLc1tFiqFWF63lrkmmbv2ZfalaKBokpTvdF8sN2nGDjDO
urelDMsZ2UCPNklQwn1q88PaDeLgEdRuvakNXXU+mc9r0D7weaXTe8xnUXdq95+XTCHPXTFMJSfF
PCAusOtctaVdd201CvesTdnrMrt15m0Z88Yoz64z6+TLUCzswFwP7w0knja9tz+9jv3ZTZm5sGFC
Ld9WbOtEhjZrZCynK8Nuvphp9dfdDGldGDV/UwSbJ+3y3XI9eqPqkAj7Y0YTHR6nDhF8zlG7n5AR
bjwtLrik0ilGkhcsS5/mEYm7ss+E5QytG4YBlmx3aghCwoFnyamLMf4I+SZbTmZGFe+lpV/9lvWP
s0VWcEEo/Ybl6hhPFjRLnvvcLrwPvkybcs8L3JgehjnfGS3hBJCPSzWNeBSV9UR9dmmMb6XL3FkH
P9xkfp6nZsejxo3fSP8Z9j355PvReo6dnL/iUSb4sCMSilNcsiD5uGboxazI4WPscvY+IsI27tt+
eGM0KVuehx5/zmNH8cExg9pji8pJVDlZYOXTWpCqUIVSVVsQ93ML/fwyON/3Ncu69owMgkuon4qR
qyRxP5NUOFWzBbHHhW1EVFNO0ksIC/HVtpSlqoYCzbeimNIf/d5ne1VkKXNHtCZx4VnWT3ntkr1N
eRR7m93Peu5ivRaivfpyxJ8KuyTXUbXyTRWLHfgEc0DwQNu0OGbMrk8tHYXjJHfrm50mHBooUKhd
Knp/p6gJbS3s2j0kLs++iaDWnRfS6zOc/1jUQRXDwNGipndTTq7nPYYJCog1hJ9hTYvnbqR7W/nF
ym/TWiZPQrggq7im7Tdpx3jJAUwe0LLb41R2eOQ6KdpbPeEU8dGlC+Kxx+NH0avW8r6ledtEgjdW
u2KKscpnNpzZNHnGMxSWm4yxnnBRZuRrr50U52LVmNUhL7PhJLJ+645DoNlciUmLN0Cr4m3ZAhEc
9a1ar27bhg4WX5DrkG5aw2aZdeIbKtLndirtR68oeRvGsJEL2sr2xy5bwJV8K7ICxh5yL4krCeMW
+vAj2XfJKsW2DV3Gsc9QJYtNyirXIbsZwlwklZzT6VsOPf2tFbL7OmSDb7ZiH263VKOe70MvymoN
zq48zp0gn0VaCtRgkw/6Io1HY9M5pE8BUPqeyS5vK1JMg6o2Kld9GDdHDklEvh0uWeb6LNxrU3pV
1lEOxcAj1uVX6i19jsxnHcdFzyLPN20eURLyk+6W8qXEsJ6AmDoSIDWKp1OSnnJl35aM+E/liEbD
IzW+YR1G8FxFaAqPyqPzsTua0k2vGBdWcaL2ahjm5BSpIo9u7eZvWLupKmJR+MoAGOpKrV4fKU2K
n2OXr4d/sNM//mTI/8b+fvQDALJs/6LI/3z5n/fDm/sY/dtbvH0d/uPXV//ntX9/CTTyrzv/4t7/
9uJ/I+L/SpH/Xy/+Gw//0U8u/qL1UvXuXwl1hv8rBl71prff1b9R8F/f+B/km/1eZBhnBaYEFWVB
gUb/Rb4LDDyaUIZgYJc5Yb948V/kG6e/p0VWFiWGP5qXtPwn+U7o7wTYeFGWpCwZgTuT/x/2DYsg
/wv9zrOS4l+/RtKUYFSC4PhX+h2AQWsrVFcjv5B7ZWfA3otuU2XsYwtTUySA6ThZXVOgMeQfwzAv
9ERE4rM73CUrVKuc7/Ewvu/7fE7z+V3HVSaPa1ZKVdlBzEsdZ6bebbpjnq1ASg5bj/PtiZYYujMV
ArlzJ50jHXeKEHPYMRoyngTZbUBXYpyfXavlXhODxvWTLRYTfCU0XsnrXPS9qcaujH2VacSWalhN
VvIxG4y5TrsqE64clv7Jt7MM53Un7c6Jm0X6fe7RNLzPwan5mKWqo3xpf9V8TOZt4nk5D6YRU5K7
p3nQO62c0/EJdbALlYnlaKq+tUt2QGmSB25NbkMje9QNfNn1TI64nJDh7c5YXvXj1FPedcC1au1H
1le002tyEYtsywqWxsy5pS63vJ0HMTTCyB5gaB3bnncynzzs5OyQz/madMo227CToQ7RRHnRZtH6
Tsdy2z/1bYeU/IGCLb/lzjvN9cx8CfzLJo/ZmElA+7UvEp50LrwOIjPwztQ7gNS0RXPLfWLy4pts
9UL5SOZFfPODUA7xNdB1O0zBCf2FbliZ29FnrTxHSru+dnO/DxUNqbInQ9tA6rakia9Fsfb7Z89S
wP6NTSUgsIsJNrxMxn53vERhfzKix/JYkoj252lB41eF4gzgk2991jaOzjZtWmp92wTck7Ea25jG
U1/sEp+s3qgOIMFg9XcmFHa+WoyEuVJWjF1lt31Cxyndk64pEtnOl47KQJtdWtWd6bpreplZOy6P
lI5rcSVbik29xzxtbye6bxsUlSsVB73GzjRYPJ5k6Qyt0yGbEFAft70vsejW2kYgV9k5CDq2FygU
nfElqD7wsdiX/cllgcGHOuR9Ewwr8cNgJzE1U2IKdtOtNNnOqYW+qEPWZX3PW78t28zVPKH8Jm4x
p5Ue6Koqvw9zdykHrfpDV7CtbZbW++01z5EYvuPBj32N51mN1z8p1z4nU34NYRDiVSZ92T8nYtf6
EEvlZfMPIjUlYpm+tAETIHsKCmB+zHZU6B8bgF3R/CsRchLh4ryEfcmufxKfLSl7lfF9G4GWBJQt
sWGp2c1jV7SmPbvoRPaQ7Guibv6kLiMTpT4iNgJO14lFauDDZHVXF4XLgcn8SS6I8FPfoH0t0VlP
k+2HyMNUsHBSQmzLTZxm0T11MmxpbQzK2GUKYlwO1CSa1qRfR/1Zttt2Dd0Ae2fpbD7JYSO4WYXT
S5W6fFLngPNo4HQLv10Zm9f5dbeFTqt9Mm5sShySvC5Jsb4XBTTwTautg/IYjBWew7l7dyqmTUAP
gSK2+bHFUI4NaKc0O8w9rPkrAdk6VFaBb3IBTV6g85i30XxdVz3gerajVVeZgXq90E5CtfRuGMZG
5RSN3yeUrvLZRl+AHlxpEcYatI5bDDcrnvyT3Ych/Mh9UTwjTcxQ7Y7Jq8QrTqFsh+yzMPOEKzlQ
K8/BsbDVeDTlzhfjl7mZGEryJvS0gFk7DMnXrqWl48DmWbWQKFaObK6Pc5eNTyWMGgelJ3SsMirB
TjHAaWYu2Uyutk3M0sDc8qrGXeiuk5Nt4MA0imtKiLsRcSUO2GFqG5Mb/LOldPuerR4pDuRxvqGx
XX2tk7B89FSSZgNn4SGUaTHxdhl6SXhctAj1QAVL6n3qUnE7mjbkdUKHuDW4I50A8iNjeDUzLVyV
gV7fa09pEFyRPnSnHO1ld9pBK4Nw8QRty1FLpiV4ANMGHe6FSDeYEfkwX9iijDsJkbFviyVE3tis
LY08Qd358T2OKtleAhRBtFXMAq48KL3GxvhSgHaQpHyQqH2KGl/Xko0Vcsslh07ie0+e17F4GnO6
AG2G8ZdjErmmC7g9WZJXXbCMszCgE6KJOsmejRdh59igSWI+9NmX6LKHMBRHF+KjhlnIVQ9Fk6B9
rhexMziP1HDt4m1C8U1n1QhDNF3OhXT3eY8/+a79mOGt4Hgzb4taH8c9zPWeEZCGLLzJNXmVjN3r
FJDJbkvVbmm84BAyoJekuEGLp59T4lLeOTxfvOlObm7ba5Hu6JiNKcCKKewBdDl0RxjbKk26j8tQ
XgtNZ47BweIeCrzJ1ii/oEwC84QzGaSLx6wT+cUMtjxi0svHCC0qa+2GLuPT4uz9glmLDlhEekTt
8FNm1lVtsrbcQHc0c8deVdLJm3YNfZND88Ody65uJws4hnZa8GKI91vbtgDU7m5bt5X7TqqnXil2
KEx2Z4yIr0BnviQbZpXW6WWx3XOiWtMscNZHaNiWi6x9LfsR37d2jUfRL4GXilru8748oMyTt6jX
7n5Xy3u+re2hRJuuJpNfEts+kd2Wt2ydH2cCRkDXu/TYTet29P0gwPQZXk3f0aetXdpPiZ3sJbbZ
UPdrl33ZwBi6OhCex8RFegJXKqkUdt/BTgk8H6abPRnzOmDr6j3FogoxkdyBi/g9zOjWGHNTYHsX
dxibbuz1YRbDWCV9xppyK17bTo6cuRlcmN2X4HTYay533QCa12Oq+iqWpj+tdDuQST3A1i03FGqq
X+LGp3F4s9AJfMHDyTvQ7x7MqZ1879vxpEe6cBLMrcr2CxjKWV124WYfW111BORrzNxBG/fQteg8
yfwHjeEc0Hxo01LyUqyHZV0PLWmPpG3tq046f1pa+bPLNeZutdlxWYM96q38MpdrAjWNj/mys0qm
/XGd9bHIZdVOiFTdUiw1jIEn4N8fO5xeQeTdBCk23gvf8a0I11XLykwwQ4mWSRPBSKliO3cHcLvQ
KUlSaOF5YDuX1LIjdmg8DKUsn+mu+o99q8NnRMn8UaYRgfPRio9qc5Ou1tSz86z7VnIstgio7XD3
Mg0RWFLOyoPtdbHxkOL2WqYrvREbUNTZT9PrNA/rS66K7gk+Yh5AocXagbF520af8taswwFod/E2
5EidUiBZJ7eVw91kd/lljmK767YuVuBdsXdGi+4huinWbAMRfAdctKPwsBgLvvs5VnGfwpe+LZP2
1BtSZLfrPGyaSyO2X5bl3odq0dvuD2CMltPZAY/+bhNgpRUtuzjWBUukaajf5o/Z1iqY/HPMtzO0
4RzreTKgW7NZOX1J2bRm33qj8nijIwZTdwm0/6q2hE1vBbgy+XHsjcO0Hjfp5FCVvU9YFXApCw62
k3xUJsBJ9yPQN066rli52lYVarRM6HFCk791uUefNuUjIMFAwSIY3ca70RcTPETcWT3lQRDQ9VgB
uzKgiOoduGU45mGKc+X9BNtApRkNMCQSy9MKvIbwYhL4e5+wz7rArqFkzTlm5aRBpUz3S7I1CYst
2BZTrMCoG2po2fXFrr67msUNJx1igLnYAQIvQ3Kw0rIqYwDFfZeW50X0iGda4wsMhGeT0/ZpXf34
4OSWXpXcMhjESJ/9jM79hL44zFC9jkRVSgfDe5p+ij77Rs3A7knef7R9gb+1ZPCX3iKA5+j7GnKE
5YST5K0cV3a/4/m13/PvyxzWxi7ddtFKteB5I3efRRuvdpjtMUDL3rakAIuatKoqF7O8DNtW1HHv
1QEYhn3fS7MdYIjvlbaqPUBdml9KYsKPw64z8BmmttHUJ0+gKFCzlLOpFegnoI62qGk5gJUMzg0L
IHtQcgkSKCVHKbEAESE5szVFt0DkwtGNLq+opLdm1AMf83y+Ibnw4DcWuOMUrKPn0qH+mk2DACre
mSNxg7ktmBgBd5afYywXsHVWfVROrOfS2aLq0/gJJkMLD1YczC+4EOt0Z2n2Mx/LiqblKRNZNW8G
8xGrJ5mmb3ijX102f5zwAtNS9boC2rdyMZdfo6COq0EZgPmpbMyYUe4s+UrSDHA+KTEEUP2F5TBn
lnbeK8dAV++CnRLF7tYhvfNJ/ATcb+MW7D6/yhc9hJMIc8enyG4T1r1OJHyB3MZxjfC9oOSmhDcj
ns8OFccF9wt41Vt/YqU0F8gBq3EwACyEJjwYnR2Kbrlbt+7ZzdPPDQXM92W4BeZ16zcUb3MFJCAV
XcpZR9/LHmwmsLMXQEl0Swg7dzlYvbbb02ZO/chjAVNUpsehDSNfVHb2Aj1HqY4Tg3UwCva5K2M8
+kRQDqHLjxbv42GKqq8FwEiVM9CIUsEM1EylXHWZ4VjCopOVpHyL67d0ZbXPN0BKyGwrNPgXJdlL
DEHzflOmiv30LCJ4ll058xTF4ejWfD7Htpy4hxF7HhbzCIFH7btoqg7QocFeHAZNYGgk+q6cwSrF
W7lWftZlAy66rAa7fdJ6ukHRk2YsEyilBFTeQjRX3jz7OD4iFtCx7yXi2+JIk6HxR5niwJcifdzl
WuEVPVNdPsxGX0gb7iH2rFqn13pxSj4OPh0OenHxRDqYP5okYFuEsQCHxXQPI3UUIkvfQURJpoUb
O+U3RgcGdwLHWiK23fSKQdyRuZ2jqUWVMOpmthBTggDeqylBd3uW39MtnNPVwWoKT6tsGwCgUXGF
VOBA0UaPZlP27BMocwISTRi71TvOP2Vj2VcuTSZIEsqnPl9uZmlut85iDpripFP5KaNbgxLScrd3
38A2uA3Z9tnM4WXrxqVp96SvNSIGSr84wcwbToVXqIFU09RAjZYquD2p8AIsdYPxwlfYC8hZhYRx
Ghd3O2xgGnRGPM/9aprBuhecDDdWpuUjxb04bxPccjRkO/Tgd9aTLPsbhJLhDDxuPI54oQA4+fQJ
2GoKMYLXFohg4c8+zEOo8EgzC57Dmh6yfe4GsHFssJUuByGrffHi+7gN87ntIpaHbNggN4vg1L/G
qVunppDDnp0gYgdUzFwH2VjZjuvK5w6rQ6nE/JRoQa50DxgoTAL/RgBu1bMqoImE2t4TOLTjhua1
kSnd7i2j4jAlcyjBadpsB7ODTgdJTTzl/RxOGQSS7wYn2SWCk3GOaATNxfB0bMkE/QdW7uZ4lEwV
8CUQanwCcVoNMxxzsi/tsUTFTPlkBIIxg4TNLuVe6vTa2S7cUpJMXyxmvj/qDsPIJjl4G+cSl/io
SlVewbxZyluDjTw7s3TQUWUn/NlZESu2p+EeBYLudyLKh7Zlm3oa9BrWs4l7erMr2hrYYOcvK+RB
x1Gu6E5jYDTHZFHS8RTyXVx34HSBUwABFQNBdwUKsTZexfW9FblrQFbhU7f3GMzDdCd1kcUExkFO
eJLoxyzZtxuF7fOYkv06kEx+MnZhtaBa3UuPwkfs5WO/z9dNFS/EB3/uCdDVjXl6cEo8t3o/wHmD
kmbp66YXchgTpjhd5czXAr9Yqx8FRJRTTFWVTuGBTljzNSvOqyZ3dLWHrk+bPkfjkYXsp9HDBYM2
mH3yza6Z5HH1l701qNGs/+ytvh8gcW2KQm0VBsesZja4iox2Arm3dlBlDHCPsYNM28aAEq0JBEAH
IKe3kyqA4zP91c/qpgMSWYHPCIFsN53Y1t+yrrwkedYkfi34XMzbwRtwFK0o+0eatRHMvbmrsUQI
ULKUTdGLpUkK0A0aglMefZ5eOoLVfQnK4D5zBBIXsBV6HrdfebqnsDrK8AC+XR/rsZzMzdKCK2ct
QncJoroi3XwL4TJ4COAWw7bYjHdtcmSmv5loeyr2+WPa6UbK4dETSLmmJOkgQzcncN26KqrkSkR4
SYdIK7x3XSNYXjYsiTAEKVXngaUWyLM4L2ygfGXJQxn3z2EZS4huxbNOAX8piV8Sn9xriDb5AC5L
FSgEbA6Ro1ZuAZoX7yaXA7IJ+0tU3IM1+72foZ5zcZe39lGvpMEkO8ptezILzSA9GmZuc5jrU5ec
8US+Jwm5glUsIfRMXnFZfMOK7GetdF/7BLRw3z2ILb/Z2HYbJTrvbfF5XbYG0quXYMgJDNPak3Cm
7X50+yLhHwpcowt/2kMPQZ7ApMrz5Xaj7TuR4WL39dbo8TFk2SOMncc8kS8yH98zCJJ78ABkCgSk
s9v9SDp31Dsoky3373NXxKpM509wtnXpC4D2oiFigmeZ3eet0I/jJgZOXXKmELVDWPkwx/7n0M9N
sqbQfuGQ/Xd2zqzJTmTL0v+l30nDJ3AeGzhTnJgjpAjpBVNocCYHHBwH/NfXOpn31pV0s5R227q7
ysrqMU0WeRgc973X+tZezHHqe0izeLeCsbzude5WWmaTUKg4xkcaGHSQdudXdqIQ8Hnd3y+UP7WV
GFMuJpv6JrpfuuAWSt1NrF2dEa4/N0H42kbl3YWBmacEB7V4hz1/yqd+MplfYSUOi3wZ5jFtpVUZ
1S6E2BpHdwTtHbqRrU+LAo7/VDT0YIvwpFzAs6bEATuQeHg/WcjtBC51OowoFs3wDk/wTtbuavZz
ZuV6rPvwnDhUVKZYr+qo3Us+nBtpdpxDO/FEVrk3TZmtW6hTfPkvOkxEqrpB7RPF57QfyxPUxXQR
/aepWg4oKt8pyQ6+7t/abbyFJHat2vlztVmBRdk+N/W4Gz3fjetwV4/szrQVEIBpzSEQ5k1QX6M+
/VhH9UNbF1nrob5o+yleRABKIsGHR8tLATcd2OKrVKOPap25s2X5AtbmuW/GKl07o45lP37tnYLE
jUYQ5QzJB12dZNdq2HnJ2zoVb7YRe6PKZzYln3Cj9TlS6201YWFeKiUALWUxX0M5z1YdDBlrwUPR
Mih3gg7PHU0Obu36T1yL5GrW1ZhOl5qFLgSfZt09rM1U5Ek14K/FWu6cn+/jAvIHpf19tWz7LggS
UFPtnhbDcxNN73m/iB3tjd/HcfQlHqLgME+aZ8Mo+j0P1CPUn88diKklIAH6tvhScPpzVZCbUZoy
XdzwIKAWZZuZj5YseKhifpjLFaujV892ca/4VMtjNSQHaeizrNrT7Ns+Hddg2YMtcXK/dtNyJcKk
flOWbjfUW9jbsgE9kxsqG7wSzW7mYpgAs4T0Cm4KJAFYRqiHQpPBFGg+c+dI5tAmv0oViNM2EBT9
rPD8OoK8/AS/xj/yfvM3rJ2nvJwiiA0cFMFTUM3kBB1rvdZROH6uoGbZbDEAf1CdFG5fzOH6wbZa
HQ0a/3PiV/JhHPn4CbLKmzMbZJX4Irq4soAzInCKl1WI/9RFVmzV/djSKi2n4Fk61h06nMZ9LNos
ZtVOLfN8IxcTH9GI3okhhGY/bzTzIfFpooXZmWrJSRBDGa7jKlUUXylooLwGXpeGCT4TqB0uRUvw
wBt+Rdj4BN8PyzSWG+CXht1XjNkUumgI18m0OR5XifcUrWkDTT3VJm5SKLKPQT/ItG9Nnnj5sulo
xMNvPkZ1/NajPs7mshEZG5yB1Vi8qLHMW9lPIGLC9S2q4tetlMGrmPoDjKRxF3J/1DZ8LAh5Gw37
UsZrlkQ+yFkMpYC75mVb1zAbYJfktaF9OhQotQlcjpO4NKEAOab9WOH1rY6d2tk/x2UAiKC1r7YJ
rmNF7yZHbq2hW670FB3V1CZZp8iURzjUgaboNg2qqUojdFqkG85xUh37oMZGb/wrtIs7HY+f2jB8
qoTxKZn7Nx9t4S0Z3ZFw/lSsXkFLgHK/svYEHOHEsOjWzfC0XFHD6CIcjwJCxW7mluaVGKq8cQ7A
IMflQyu551tvsm0dIJ3BQfoYjheJoYv53lAtvvam6q4lm0k6r4s5tYqWT2xYqqe18+5KUHz0VC7r
nbRFC7V3AGMRYSHnMIPqO9hGArzKGPUCTmbSQRwu6ydnqLolc9Cfp2RCvzeFNMAGyk37FV5d2KVL
UIRvydi6VJoE/h9WayZbs9xHbSkgYc90x7RW71VQsWsry/JEPMOaBxEzkD0O3+hWQJU9BXHP772N
eL4svmyCdG00em3wQfic6qWFwo7Lo8wbsDARCqhSrjsIWVBn+srOD3SdV4j03ljwUyWLB6iH0DvS
NtzIaa1GyJwGHZRek/rbmFQ4xFnHrg2busd27bpr5vr4ivUbPSZJoL/RhamzI5t5KEgSibSsmgk/
SjoOaARICV5TCehGqvXU+M6cElYuV6QwYtfYJHwH4YzZHDsgeWXNHGbtMEYX8am7tbQPDgVxy7Fg
/XQgfBzPPYFXNqkutumWaJYXwxDtNfiQ+2AbsBHXwlKb4SnN7zTr2fvo0nNNcsADBdhyKDtvISAE
orp1y8BPfLbzbpFRdYZ4Fe4XAjcq1cwNe+lR9jbhVJ/EQmyUlobWueslzvQqbqYsGor2VAQqyAIK
nikL1cLPZivZNy0UgJ+ttUxn3CbNjliFWtyLNukfSTttYQrmlKbGoxSD2vOOwK+RmVNL9ZG4sHzf
C9vsNIyHIYd5CkWoWfwXBcc1n03LHrqLsKuJUrlsWP1StjA4TVKHN7VeJ9SyUqJG4eKO1vFyP0a+
9nk79HW0C6F87bd5VbtmEiO2Piket/EukNBJALVRwGnpksitgRseL1fUTupIVnvsitY3adFBr0tB
LtR5CS+yfRTGCL0vbFOXu0C57ispGPlSTMlytQHR/MpZVFS564rpYwEl4r1jTR+BnQJ9lTpfyZuh
ZSVJW+Prj2AK149dGfZih3LGinO0JcG05zoZV51ONb5lXACahtQt0eSgFoH/SrdhXBTqu5HgnIgd
K3bEQN6ECOm3NrpXcYm9ICrUuBx9X6LQAwpI4tNGl6OoLnLhwBuHp1jS6iyKPnkn0av3+cZbBp6i
w4Gzm/tiCg5EbUm0j0Fhww/uFlRSi72gRPO8sd3AEtvmbQIBMJ1Ex/WuGjvY9U2yoAwdNzh8qQZN
qDJlYqmOgm7tFVllafeWO/sGARYcpiYTXJrZJjaBhkvNK8gVnDCVAOycFUO7jntLFZNXrRzK24rg
+Mur2B2gAMfkCJy69o8AUS6rqRzokmvGfNdAz+jIl74L4FDKoMNOGwFNW/dKz1BRheJoZfGPYDcA
FV9kqMKjopwL1vAd4Tig86mbebSrQ9npc4kjV8JmEtrcRE7J6qZfoQN/EqJpxQ1oX/CpUyO6D1M9
LyuumrbwRshMti1VRgBxA6qhzWp7GC1F8pV2m/hWRKgpUg+VcDon1aofZOkCnU0Qi7J6BAORBbL3
0ExAi4CGnawcDiK0nctBcDb9ji7QkE5zEtqvPKCwOEIfbmHelv5dsSRbKuQAGzXhHjuGbarPGoDr
sBsAmyZQEDoGGkQnyfZILArqsLd6Ps+Uyc8wObY1A/wzr/lcFABwwiiQIbDZorlRifPfbLOi6Y/C
ITR5UCBdcQh1EMtdubbjkAchfI7UVnNV5j0ox2u+bHS9dhdk5IDKG5QvWrMSzWgtJ3ae+wlqGdaQ
2PbLxmMgD1FS+PWaBzPIPQC5cZAva6XvBugZahcpIBUZ2Gc13s0VU2y3JQxkZjxD4Dk4B+rkerRB
Is5zo4f7eC08yzQlZ4tjdkGHNa/NU42ab7yhs3IoaHxAge1EBZYhjLclQFnfSfBIazgYPM7aDylY
KIAjC0+wE5MIhcKOuI7pvYsDssKrNzrZdfUUfC6HMGTXA+AcKB/EQU7qC1N/WX1cFqmNegZitMaN
ml4+uKAHQAJSJ3JAbJqSZVjBkCGbKoGtpMMiKbJhW9YnoEHgNCGw1e+kX6l82NTSvtXCT/60xGVp
njXAB7K3UYB2PpzUUKY1irbifRvRVd+A0a5s6vB/WWGYlTPO6LVgE8og1+kPcXApgXhQqhpV+CQh
UNMp2l7EKELQsXIpYyjV9RhlcVuW71HrMpmaAOmFh6ij/sti5sLnGhz7lNqg8q9NHcE53YpO8hRx
l/mNGK+brNIlNEO7xHy8G1TrvsH+rJsLSOrcbkj8tKaExOy9p1qj/IoNDtMBakaTgcsK1q8hXCSz
V6Br4kOYOFVmYSmjGB9Y6TTq8LpWVy2tt28cEQhyYmPL5a4fWpek7bb67hyHfQe6cRnAUnWi5u3e
JbaM0krX9L3jC98Ohsdi28VUFJ9KiLzzRwFIY7oagpqOuaqFwT4ej0uSWZQ7EIwDHVyjLQehH2HN
sDRx8fTYuTG83foCEY1KBZ3Ip23sQa7OLTgbbOZoqYGrtMcVMNQeuyHA1NC5IWsaWsMJ39AXotbT
TFxHZjVjXpVhO121TCUc2+KI7RPmBlwK28YEdj88/S6faw43XpSer/vCGTO/wMOUnwoYjdBVSUs/
U50EL0UjBpcnW8vR6GNxwBEYEq73vVtH8QDFgzVZKDaw0aaYYn5dL8F4x+uhAw9aTZ7Cw+YjzWyw
rOKEndays03QQOQLELMpt50SBmdc74u8JdG8Zfh4bXnds4IBKVtFc9Mq/MNZj0RXWWO2Bv60lCs+
i2Fa7lDTrdWeTQygV9UF7Xi2g4dKRgbQ1qg7WVNeT5BHfFrIyH7Wm+n1vjOFmrKp3ZjINhgp5rAx
w6tDiRrF4m788tli/SQQ10IhD7RqAEyVSq3DgRRN8ZZwFfgDGCgtD8HMx2QfuRC2r69LA2prXDvU
YXPZV9lS6QhKYenGG5NUrNmZWgiHE3Dxd0gO0DVrpzau0xH5BoAmA0AUdNB9WF2NVNt1B2oGOwer
LZ9Ovre/R0jGZNpFxRxvmcbfih2HKjhl8YKEymEyYMXQcbcwBMse4lzGqR4qvqYGvMC7pt8uulGw
8S2L+4lsV21NRVCmkrcKH5OONn9LYo5sCE8WMV+2FKqxy+DEjtLvYNc/SW9d4NB/ZLckSpo4CUnE
YkElmhgK8vUHeLTDBtnpkqKpKkZ8DXYi2JrYuOdzMKR4ks1xM4df/ybg1x9/M0ZEBPgrwf4eg4O9
AK3f5cUI4xWk+YbliIaEj7GE6siMAZLa9NMesnSxR4Rryxs8iGwRo5//4p4vebQf7jkOI0YFzE/G
KfJxP90zVLzSbwK/b03n96Qq3TGmG3iJsFy//vpW/+yneAgyXsbggOOf2Vy/oPAcSuRCCB3bWxqi
IQ8AzOWNauTjr3+KXC77x9uigIl5BDAyAt4g2I+PVVX4uhEH4SgzNpC2MxRFZVBgirwwQXhdzxOE
r2ZECbRh8x0gwadzGIXZry/jxzAgFlRMJZeQokMcFhARfroKVOt6xq7BEN3S9K1BYeqytQnadDBt
9zChHfN/8Yv/tIRj3GuUxJKCgiZx9NNyQnNcVPgmcZt9VKZ97RDB0GEOCPi1HMMHowAI/voe//mt
MsG5YIhRQj+U9PIMvlvAo16R93CLyGHLdDlKUp+yFpBQGDv7F9/KPz1OyWOJxEXCIsEZ4/LHn2IO
vNsyW3DMpDav5SrrKz9zgvgIlIS+TYLjr28NOPuPiwg/xqOYcg7anfHkp1szrBxqoTq0BNKweheY
CgDcCm1R/sVb+5MfigkWi0B1h83n52eYrDOOm7UHKDCG7glMbHm7chfvfn075J9/Rkqoe1QAGORx
xC+L57tXNW+A41fF612nBdt3fU0PDeENjoSpzkZIR5kapU9xEe83ZF12IDm6tOFdmcWyvHQEKwzq
GMmrX1/X5bX98K2iqf3+sn56rV1T4GadqHdbVwL+aAAi+FkrfJZBkwkv7E2jVH3fFgn9iwX1Tw8E
+y1eKz4ZRghhvz+w7x7IgOgr1lnTQmRh3XVfbMn9VoXxX/zKz18Il9jYJUU0AqsWlfNP9xdCr2hh
shF49yAkRlmtdz3qvFTWRZn/+lH+fEP4/iTjBGcKRZaZsZ9W7MhAt6N7ryE7EzhlPmpGQPvrEC9/
sZZ+viesVOQrcHLEFGiXiMIfl9IUgn6ZzFzuybrR8Ub0rn7k0RoC7gFz4v64rX8paXPz94z7j7Ga
36My/8jc/BfN4/xFLp7hYPiPc/H/GwF7YGw/xnL+CNRf/vBv4ZyY/YZ1JiTefIS1jIT8v4dz4vg3
grM9QSqd4+/E5VT4WzhH/iZlQkXCmGSIziM1/+/hHPEbkjQRTbAFspBQvOV/JZvz0+aDYDzKzSQU
uAJcAK4EV/6fsfkk9LJUf9h+IlQ+TMYRAvsoOthPu6IVeib9MNN8GLUurkGsQOwx22aHVC/J8FmG
G1UZ+Nr5ZsWnlKMjljdoIcRZdnI56m7ybx79x9l1JSgo5SPUxBeJIGv8amDzaSfed4VBg5zMkMXU
6gykOk2Gb2qpp+O6lckuuLh8YVhFH+euHsCmMvdItiD8SBLIDvBSmkcROrmD/aH2cizW27JZ1X0V
YGZEaqqweh1BWQNyZ+HwjjoLxgcKpoHrHpXjPVOiv3YoZc+9b3iE5CyR5cUMho+yLRI1wTzaye8Q
Z1K70FYTpgxsNNz3WycdErSuCHDIuvqbhZEeZlM1DGuGlHByKqpCo7ooEHDusMtBvC9iARWn2ZAl
jVra3o4UkxQyHlbLS6dWtPBBCDA0m4lqZlQpSJfmFq44u0nWPo7yYS6j8arWrQhOqqDTksdirm9s
tS7HGiIhbBsrgFRAb9Afeme7F5zH6oG4ErKBivz4GXEUoMIFLjTYe4j4QxaSxr9NpYqAjo/NqQ9C
9l5FfbcHR9PegtKAAsEQT0udDrtPBhA/DF9D6LFkjm2noLH1M2yc5Tp2oXmNmrlGbOOS4Y23pX2x
Uwnma2r69tvaBfWzG6rpFunD6RqqGRytuW++omiZMDMg6B4jbI8xbLWqOQe13vjeT/IWGY7kC0DS
8AwHtLwlGqHc0ortYYm7+nkDIfe4OV/cW4E2M19CPeC3l6LkadHz4o2wsgfmHoffxrVtP00amGuG
PA75IsdkzFg1bTdSFgqAX2K3NqNF2Z9QiQN8krWfAHm6pHhU7vJYmYJbXHsWwFKUTQ3RdS3PiEvp
Hl1gTGeQTcl42sZOYfSAMurKIQDzHIHSvdfdCL9/CaJb6VRkUsx8gMi1yb4D+DCGC6jX3hUbMiPK
AuCo48uYCDGyr7REjxWHY9Ps0UMGNxFYF7+r0AFfT6TVEGqWZfgKxZu9oO0M1otJD4gGZ/rb3AYB
9FBGPsw1VHQU8R0sbzDlsJxA1H+0yNa/JkjafGaBdTcBSVymSxMdoZTXJ4RuBqTrxg6mdOUASqzb
cC4KjHFIFwSmvtV0409mMQJRFlV09xYJF4hxw3zj7bA8J3Hn3+FwTE6EFTHq0IZNN2uQNDf1woZ3
gbaty9QUDPUBqsT0yBH8b+AlNNX0ISgkArIK/uq5bBnMra1CVBbkSXUSAoMFQOiACtyEAzzdbXkk
vDlA60ZchvpGzIjaxhE2KIfRDZlK2uahc4D7mIEPUjXOZBSIyi4oIIuldTKKHUIroBSIIBkSXP3B
hkRlXZk08Pi6vnvXrCP+dy0d1L3vVnIEUSwekQ374jwpd2XhbZ3GMHxuWwRlrvCphzkAzhZNlJ+S
8xrxFR7K1F4ls/Hw2tmWzckskMUF6bcGUEVjjZ2kEwHhMI0JMjCu3LJ2AzRjiqHClgYlN0z6pcxa
iHWfpoav51nG4yswGnrHtuoFStN9AfUC5opowWYskwLhXIIGyuoy8p8rXtPrpqr0k6tpFKaD4tUj
NjOEYjZkY15k51pY9Mgn9VlfeZaPE9reljKg2W3tCMT5MY4+imoK7C2F1fQ3WExMk6wA7IQ8GyGA
nJqwKc4+kOSZkjmu7/0MOeoKdCq5ZePUJXuJ2SunCEA7wiBmul284rmtomXvZFyQ4x/Y2NAhTgOB
2SRXf8aOeSXij+MaPlBV9KlolE9rxcL95mjzqkxEv5ULOJdfgWSBb+yzFyVBHX9BJBrEeRgm05yC
OdJ54Td5+CuMbDQTS4dKErCu/9fRMeDwMxJW6N8oxnCkOAj0VdlhxkfdOZdCyq0Ov9NfjQrkXS2L
j5j8ge8SOzoIZELzLVhOc7ncRXUL2LmuwBzMaCIkEnlwXrxJjhuydZglUC34sOqL245I2R4jDeiX
n/gv6B/4ZiGnnf8H+/pPx77oiihVZO1/L+wrQnwzLRq4VMNFY/8T7Avh3uG9d4CJ/79jX6QVB83M
/yH2NVBMawmr+bpdkzyOjM7/CvpqRgAVwlT28c9hr8CChlpl9GvYS/P5REd1Q/zyDE4eZEACSTgI
EZsfYwwxEXTaYTIPKDfkYuN0SbrgqNre7KKkMve15uyhnq0H+ocBF0V/qVIjT149mfkTJPzwPFwy
ibVukrRPUDUbZFZT5Tg2z65lX2QStdla1+Ut1ZHK46JKdory56ZtVN7MLTwEtjRxNntlX1SlAGhO
cOJZawJUvO51gSX6gElEH5S8JFDJyq9YjOlESooBZiccsBRed52b2r0vCjmGWYBJVqCcBvkIMk69
8qotHktmwT46MZCdDcAnl7ZbTo2s6KFbRtBmFvwnxWA2D7J8sSE4IvCJPccclFo1Ousj+NnpClA9
uKpKWOlZV4BiLOL4K5LQl1FEy/0aTm+Oxy6nhTRPc7hAMm1Bl6BYqbOF+CmzcEZuUC8C0a7lp4rM
mO3BpjY3DWqasEa2vHJL85LYOnqPTXnNSk5uewxvISgLMfnGuAxuM5JNk38/TT3oQIE4rqO9S22X
SPAm/M6g8AD3H77vMFMN8AnAK2ZgtJQ4n4+sKXyqR/YxEgQMVkxIBrChPUdtVeUiqOqsDaBsBfGM
EwQvHVlzZu4J2PnUiOolaurnOAnAeiIPn7Z1iLINVsinqbeAvKJ2rnYI6IPL9xY28VbL02x6dTfI
VuMXfYm8k1t88DQhxHWbSLZmbAF52lSgOXDn06MG0XbWTCLvOWGhdq1KJvwOWc+29/R2GKoZ6WBA
MNdywYAoEHT1Y7NofVx7oGkCVfxXeHDLvTI0XlIlQvqEqnTcwULTeWMiNBNbj7E4KHzNXYl27Jiw
qcRIH1C/qaaIRNK2Hw8w27pDBCftI+IJdA+hHyIx0DADSDUJMU1qsfeSq3GHkQSAkDDUgeSVXfTn
AVDTTVnNcMpU1R2SWkz31TggzDDAK07refPXIzodJPY5+4Zcg8dItB7DL2SlqlMoOJYS5tv0+VIH
7rbxgL4I1tmBGmbOFj0GxgFs5rPrTHSO27m+jzGw6cmOCxDUrgLaE/Lkmk9q3g2qaF6BrIYZam4L
NiWxL0JrxHSQA9c7FWDt9ZFfj3JR6x6xbHsdtg5UCYmn5gSEDKAjqyuXBUbCRCTeHia7LGhmxnlU
GUCO4Wnhs7yV8RYj2gk++WWrAwxGI6qUWROH7UPLmydawBzHMC94JnqY4Y35+RBHtt5pjLfZQ4Nr
kFyd9XDAcI1QHQbA5i9DqAEXj/XyBYJLcjBzPd9SDOfKN0/pacS7Pivug92I2SYPfQzMJw3GSWIc
T009KqSlF1/UNi7nbo6SO6imwye9aAFXHDZleYMBOctjV3u7h0nQz9nsyvqt1Tr+1OpK3pJeTX1m
WgvSJXT1mmLSR79ThoQfdSvHD/PIhzzuSuCpXeGn0yCbYF9LaW/ksJobhK3GBvyvXqu0ie16Kwwd
AFg39as3GGQw8rLZG10Pu3LaRJVDrQ3v3bIiME8QiU8jWcAnHQfx++RBF/Z5P03s81gm7FhqGNm5
JcU0Z51WwaP3i72hyxC+ICvuzqCs42Mny/ABmyz5EuKabwUe66kZJ0xS8A0bc9YAbgAdUB042ezH
rooR3CkSjszVVpX8ZabUvnwnw93/oRF9P+3xT4RruB5REkFTSzBA6uLtfScf/78UriGZw21hMLdA
8jPy0y/XaDobY8BIrwSpg/Gt3m5+v7X/UVz/1x/CKYVy/h8rrjdf7afvpyb942/+Lrb+PmsUZqaE
2Ub477Lp38eQ8t+gpsLR5RDgIazGkM7/JrbiX2BJwufFVBHOaEQgNU5/jCElv2ERwYvAn1L4sLCC
/xWxlcc/ippQWwl03QRTUmAry4un/ePSXC2OnRiHWY54Fg9zZmMgy65uEB+WUzy3WYRP/pPpzYLt
ZqPRfULK8FvZY3wL4myYYuEKOQx2D/zOnqOJqfu1r9YXbDb1F4x5KD5Rt/rnTdNZA+cAxRnyYdmP
cktuZ+DN22X8qUYu1Joti1xcXwHwsU+UUMyZQ1DraIir8j6EL4GYvoERjE5zv4mi+DwA9P+KuWb9
jhXzeKdXZs++tOFV0EXr3TAsDTLbiNGHSsUv0xzH+6qS3Z01UfUWoWYBLLHaV8Ka6i7q+zhzMQc/
XjFkB1Ollg1ZB85uqkhud0UvMIGGJxVCNRzBiUqPCBzU3mV2aduTU6I+br2cvi5cqUttV78DkQeC
sh3Lj6uYMfCmLACTwme+weTH6LGukVJj7TZ90MUSfSJtD3qwH8BYeRgpJ4yri943W8X8TtOyv7Y4
Lc81rdqnGkwnZIohGhDLMerQYOTSqbJjdBU0kb9SHPJQOixh9xWzDyaExRAD3GEUFwZptAjGPpJw
jHE+xz5JZxqs99WsHYYfYLjIDSbEkfs57pCtVhjbleNhsavENfoM5Xf+Imck1QHQtMUZkXl9aOEf
IQK7IqCbbPSWVbO5jSg45GAezIfOefoQY3zKu6qwEjBwiDlQGpGBgWzNB4zPUg+6bfWXZnHtlU/K
4oAog8TY1sZhCJBPVgyQaGqw6F1XvcRBlISQs4i7BiqC0Q5FE57WOWGninj+5AKs3wxSYXeuoiQ5
celmkKDOPeFBBFCabbgcYYOQR28FeFJMUBKfMaU1eULWA0oBQn0DRMtkdmEG9sg8Yyjgsjd1PGAc
a4O0D0V2XPBFvu/UvDQ5Zdo/YYpr/YDhR9s9LGgoyk0XyzYF01rs4K/AB/BjADAQsfcZ2KzEeCCD
SXcvKLPYLt6G7uxWpY8mSEDwdxuyYRgDZF7w9kHhYHzBMKO8X0fksTl9MGAH02ih3mAaStVcBapR
j6a76IKYsgp0YSMYzMMxbUhf6XIh+xUzCN4lUyLvoKl2WDRAhiCp9hdcXIg7jqF6R9fV7XnTMQOU
Fgt2lILXGmk5uuZsKcsj6Up7q6mVX+QKXadRYXz2m2IIJXMVn5cCS5CrmrEUhjByOnEI0g53rObf
p/75ph33iwvc9bAhTRvQlpwLLGty1RPkQH3LPd/LNayrjPJB3C+BZOi3SvKFdDIG6t/j+95j8E/0
SC9UVbapWtaZxdgefQWEfcJjQnj+tURgosyQa0C0iRr3gbeYzgCiqJsKoD/EdshwtqtJJ78hB+il
xQwb3eN6FXiqLxj6g2gSEPj5ZXOtWffYDWKatmu1ftRI/IG0ty1/34UQ6cOpKCVqccZOKFuWT3EU
6K+8F8MzXrc6YgpTBbJ1Kq43pMSB6VSGPGBGY0+wnofurQjMclaIgFxHImZ7EqjoQzeKzqbMkWED
3wxqKsUZDmbJ+bXYFY7zrGpbcZ1YbQ+YRqJPiIOiQwGonw/A+pEGmJsFpve/kXdmy3Ub2bb9lfMD
UACJBBJ4vLtv2G02IqUXBClS6JtED3z9GWDZVbJvuW748dzz5ghbprgb5Mq55hxzIojiDi+9sKKH
EcLWhpRseT3ifDv3MnG+j4my1+Uk++9E1PNmNWWjK16Sqagwu2sJXy2dnMWrXgzWdxETAxzWuJsr
45GYuu5XatQAVT01jIfa6eLkBufznK28Ms+iDYuybN56xGz0JmzEsucwIKB0aUQoI8MueYEoVpwb
ZsN4w2ekue8917rTpM1wyQWJ/1QUIyFH7miWtzJw8I48V8roqRms2CIECeHRj53ketBN6fM9aHkO
lYWHyFtL48OuZ+JmcY9XbBMx68DhCM36DiIHyK/acvbY9gTwpyrocDCGzyqJvYtC/S35tQJOnaTR
AfQGE5M537kJDi47SYCeDZdjzG1teBuommwTNrejV9XZrUUGa95M3BPOMlDpxunq/H7qbHufzYPa
witxt8GMWU0irO6DZEyugHXiy3Xw0p6MBEMmOdVxHwtlHwljeMcUNne1MkAG7zo8lPzBkEEYgoZG
LejdE343YzNyd7kCEE4YpYbsM0Zteus3Wb93ubdiPQ14ZlgV+xgenuoUon2TwGdDR0Qh3eu40ofS
yirrvsiAo6/8airTVd3mRJEKKfyrYpgKY59mI3JClDWsSBzS16w6TPa0bHfMDnm5CpsrnKZVtfV8
0GIr0mHZbUh881sxcJdbVY0nRpJwTfbg2WV21zIC8P0aTL6jQ2HraWekkfXs2CIasClrbpkaQB4s
CYih+1Kl3psKmvSNl7DwN9zJO56xE2tSJ4dIt/L1NG+wGPOxDbKmvAl8j8VR7zdcbSJug5ea7d8O
0Iu5MLWHuTg4qTYPRe6Tq60C3s8mGPvnYbYzmEyJdpYYS5X3+4A1R7oBDcSxY0DvAOecMWZgsFzj
Ph+O7uxa3dYye3nfd+DOVm7YqCsAELW1sjs9PeNAsfJ1Cs0Mpz3A4JLlhQq7DXCj7ibNgIUnpFlc
fn6F/drPgyrc4vBcciVVy0EydcFd4RZ4bdOxhcWnjaHy1jCouqvWzfwXwF7pWxjzO1tRNHNx/nzU
t2BT5DTsG5hm97OstLFWBjGDVViyjAtnwK3/sOD8rXH/f6Z14j8DTa9e/2vfvSZx/W/G+V/Apsr6
wqfdMjF7OYhhvst96vdx3v7CHQuwKQYB7ITewjz9bZy3xBd2tbbwlWNi8IOV8K9x3vxi+y7Tt5TC
4pam/hbX9I9mG8fBxqc81+N/gxGN+8afHApEdrNiYGm+Lev7IO3WJqZyh4PwlyvOv7nNWn+8M/Cb
WSaRR6W4MfguP/JPd4ZM8e2YfX7M0IZbi8dmUNo7Tw/rJMwQ4+x9EE74sv2btrj6zz/6z8a+P//k
xdb0y0W69EMSPhbRptG6atoNm3gEVUgB//mn/Pm6/uefsrzMv/wUi3fMhCzA7ydXK5KP63Tjb4zd
f/4hf3yvlheRmBz2ViZSTINYP//4Q+o6Aa48MpM0WwURjAD3Nvr4zz+CiyL/k18tK9ISXOyw5/DR
Etwcln//y2+SQoeeCBMGG7Bz5AgUaehedwP8lNrocJg2mEcSC1o/8K3a3LYgKr+LtMvhZUj9I5ya
ud2YY5w81gYHH8gideWMtvgpefjv4iiIro0xRXxNimk+zE6TbN0hQI1KVRPeuu4EidWNg/l6mZW+
Vbo2Xkbg3lddIOKT4AxGe5ojyRxkq3WdDdZ1Aw7x3SUAN62yIZKwtoLUuh0y3e6156Z3hQidfSs8
Nne/AgyhYU/E27OMsZ3c0f8DZbjoPs2WJ/44OoApgsxbgrvW2s6zcWf6kHnXn3TCKuDg2rUdIzEZ
FOu2bN3w0GR8qvF+m6d6LuVWI2yum8pdoGLcPlf2HHf9MbG0oQ8kYDCVVBrYCNJTODqP2uAAPyBl
maepMWW5lSDY1dq1ou44lCn6KrxGJgXRyuJt5HQ/K10jwXd2RdtDXTry6ZOnN+gFqQHg+zklcWxv
SDEBzh1l6f8kSsEIJFv7EEY2CcYZXGBEOLbvwbiVLsyMNg0eyFHbu5y/6hqvDED4rnC4gY4warH5
l9HDBDb4e9Zm5bWuLJKMfq/3UK70VV8Y6TUA5OHGC4J8P4iy2nDhK3eln5ob0i75GtzrtCbmDzum
VzBvldns2yGd0dffHV3whbW03BiNy53ab4dHI7Snx34QA5SfyNiRJxdXn4S5LG+mZyVD/WCYTnom
EA/1sRhmnSymF3mcmzp7T82wPRsSEO+jwKhySAlB7tukV2D63Nw/8aGDZCnFdPTMsn6ti0Iehtod
NtILxH2ajvkPLAXBsSvc+CaKQvk2RC17ZBb/t7brWfeCC/su7SO58G+a6m60+3qjCRNVN2MXSvs3
phz3hHYNhDl8naSZuft/MOXyyR2tk5mjC6y8KXJWlu6b+06a5n3t2O1DVdvFttSpmW/NkpT+EeVB
/qDVYGTJ9ImZQ3rQhOCANb39FWZuIKkqWHhPtsCi6xv9a9MDlvgVNkeBi91s9DjZtwEbkfS6bWmY
ATRrhumutJNUrfLYqJM1biYcHESYPO6WtujXA+P9g28R5OyHxR1vNf7GJFGzjpUfnUKVTGtbNsFN
J2VUrDAu2M+VDv0DM3904zTx+JW4jbhjmQKyJ4Db0opO3wp/GliAhQzlVQk+bmUJ3kx4VTFgE+Te
KlkFNeEuYrcErxs7djaFq+yG/Gw7XRSU0Y/Ka8SHcgPnvWgFt64+a7fDINtgVXag3XqKEE6WGFOI
ymbu7yJSJGpVmqLdhSBbgB1G6Vcoy6AA6kAs+ywjfrTcuax3YRs7V2lUTkfXE82pNpL4GOnIP+Sy
naJ1S+yHYFtgAvITvXhIKIf4sAyaFdY4xoqPPNTvnw/y/wVT12Is/mv59OG1aF+L94/6/9ZQlz/4
u4bK+LSY0BmSPoHxS1/T70OX/LLYWB3FSCZ9ogwc5f80rFqLOLJg5n8brf45dDlflLnMXFwzlUMg
gVDI7yD938af/1TlBLv3D6csYxeWUCEd1yMc43nY5v94ynaJYXOK5TzgPJUdQ7OIKsL6boiOl3XX
ZU9mxK5MrztYae9dBuxr2IJmhDpTd/mjJyMT21hMQ8aAdrbNehfzlrarqVpHVDQMu0woB9KPcBcS
c7w3q5wfwAffBDrCE3c3YEXnmy/Zdmxt7WXXtKtkElhMn5ymwknXftfmwyEEjYLnL0niA3fU9ElM
ObQVEGvwzbhd/UgMs3uH8+VdT6URnr0G4JGOwMShSrQUX8CCJuJVp17+lZahYkusm9R4NMEhyfx4
RjX1e9KTkoYRg2dC512XZuTee12fPc1qKn4KEl7E/ybPfo1U0pwIBnubMTIAPPdlCx5Cq5rr5cL3
cfX8UOsB8Bgv11XkFNOecB32SfLymr8QQ/gHaz33I2M/y2020DaMh6QchxUHcMsNexBcuHkefIdC
KEkM9t3dbBjWiaNafeTSAoUVzEUGHqgiIewMbqKJkmm9Me25v4SUaanVpC2g7Spok2+kFVP4Hio1
b8vI6x/UshweG9d6H+qu/dF2TnldDE5+tDL+Bf4CwGUkEkCYscF68kYy1vBZyuupqwwfxwF9RluH
YPBt448kxPvRfNVND6AK+lPDmTKW4RbCrAcTePSeQPm3LwSC9G5gb/2dPZl38Xgrm7UZGMv2j4zx
G0p9SigOJDx5ZiO/8fOoeJWOkAowVz9+dwvDvZDcdFAslP/W6Bi+UwlFDrR+cYjLVl/z+J1AEQPz
9T0YHNNgdpfMTroTea/w2m/D7I6eqJmpzirUe5mBUXVoIWDqcdpjB/GkkGOwi8esO7AdgPFdWvOh
ZDVJ/0REk5DsDWA+ccWltpyvOXycF5fA3yHt6m6PYh/c2smo+Qsl7U+z8NO9nVQGxJWmutYBymlo
GqhRfamfHQ2lAVEz7eVmIix6oEAFLjF8+PYga9vYFFDxoUrmNsF6svMoUpldGavEKosUkAKTEGHc
hJBZQ3HLRVZJJ+n9cYd3BCIaYkCpYi6e0zfDp9AGjbKBdTYval41AhtGFknENcBs/WOAsM0APZLx
BM7a4YJEDwrQxqsUZo92FSzhTM1MtLEreK3qDgDoqq9d48WLHHllRoE1rIvOd78z4lrtKujKKTkC
yPLv7FJX3y0nGK6DNg4uYir7F8KQYb4irJWKdWDS6LBS4CX48vAdX/X01O112snn3kx7EPOhWb10
dsl4HKKmAZr0RTqvyPPrM7QGJPykDpRcYXLOsD1E+XwzZmG4wPOM6K4q8/AxtswsBS6V0IWl8sT8
GdtlCv5WG/OHjV5+pZ2xsEA5yhrFv8keW0Tlr5WCwrrFnwCW0bSTp9ntgqfSqVGhajdy1pVZcfyq
aNSnLM3654YAcrkRYeG8FotZO1ls2+j1WI3jf7i53Qg6emjkA/gUyzaOGRyE+uT0jgYyVJFkviHs
HmM+wcWBAuoXmMfnkI63Fcnu4bn1Z1T51BvEA1TbZljxHmFAV90MaQ1oR80lAHX1bFGqAUNZmbvE
jCZv7XQyN1nvG1R5JI5vgBVJvGeiQtNOerWGI4wQiHWmqOkQKjx6qXiHTf7ZK50SzBCfexZBXWQ8
Rp40nkAgJQZkO98+22UBviRxgmdG7h6JWkZdvU4mr30Li3m+I723EBuZ6Ba6nemyMFKdu9ORKYBB
5j7TDLFhf+MmZXGJCSm6G0S56HYcs/gn/XQ/ZVIM0PwBhAcGPlzafKKtXPrpVl4/Gm+RMeAaYjAb
D208xS+i43/5v2VwEUwSfz24rF+b1+K15j7+8Vlq+UtzJX/u9xYc/wspR5Qgl8WqctSvQRubCkoE
IYe977LeXfbyv80tVFCaCpuAj1Tkki+2mTZ+2/1SguPxL9jWUjAmeBbYf2tu+dzt/ksdYPcrSLJZ
pF99ZiFUqT/NLfHSKwHcs95gEGEPIT73EAm+KrxYy3oCwqWERM7Kgt3fcG5rLqXh50YDrZ+2OjLz
dLctK4+YrqfzDGdiN4hMP0L2ir8Z0MFCrEHsS3LJgwU9uQHhZ07ya26RJF6ly5YF5DwLFx4ZBhEx
kBrfDBvOg+BieMbjXb97LldBHmMdCjzlGWprA2fUq0gUXQEAKmmDdQl5Il1jGO+/kc4fT+HnSiii
pulbWvd8u10ut+KktcsCKbBFF61ZL7dPaU7vDdeu0IENOeR6ZwlWXjTUSPiFlnNnVhEJDCMhI7Mn
0zLf5jabsNNMXuLst5oqGCfMbvJpVMw0XPpjXJsJxWycIqs2shM6ECR4Rtin9d6p6nqJzSD7nCYy
VJSJ4UBKvjFlcOExP+u2JnQpWG007cGmHN0dXh1WpVixvks7o7Mqrn2D+xnpfsowiZps1Aip4Qho
dAKMn1TWbRoKApomK+MnZ66dJRXvdMVWyzF+6a2uKs8GjKePdqiKBzev5ONQ+5Tv1HXdoTws5WOm
owEurtJaOK+gPKJ7fh39TgSDKbAFCPuSji5+99CzDhCFMWdyrnO1BRMFWoBr7c6AvnlVVjyzSOFb
j+5cSZCN8Oipq6DCNEIL2fJhEnfWGIh12ZbqXOdxjEDQiHUYuMD75rzIj0nuDK/SFc5Dlan2khcg
lIta6gcKe4o3Kd1wbzeGfaqiJPsxSse8K7g23odmMhI1TLkz5mO4oQY0Z6tVOFfw5caTPafdSekk
/ArID/cgWCx/A2KDD3+dGPF2ngMN9WxOj2PJnLUiG6TPHha+UyVVsaY+rD04TeUcalF7W3og/VsH
88RDLM1mm6ZEEchQei4sgBgOjRphyrHbrn5wIwAJmg7je5NRRGDbKtibc0ONkJk391Yop6sGL8VB
DHO360Wj97CCWyicWlYPQcB6JaTtjuMU4WKddMnApn0ihtK0OnmNbGvYo/EYR3Iu8f1s0Y1j1F52
iUoYEX4UuS4kMnbHbub2W9hG3qkuAPtGocetv49tMj9xZe/lNGliAwn4J4edDEuFvCcHoGA4aJHv
4qKxcDWEyYZ0un3oKgASvo7suzr2xsNUGxSkeqPvfNBN5MGj7+U2HZxoE3HxuTYz3oI6cYlqNACC
xiIzRyaPdNimpOb2vdAp2lGer40AmMpg58Ee8Utt2nFYUNlVfa2GJNuXsXZPU9qF27gc8yMg4ux7
QSoOFHlgng3RCWxthPf4fSP6XGeKYvGczmF91yaRcbLUAM6j7nhsbcumALVsFrZPk5Av9U/EBhcG
YuRG3b7L07JeRZUrL+EwhEce1sPiVq24l0nS3myKnOlrm+iJeiziE9sWVyQlCZI+TYM008UeY+4J
YpTXbJWzxwqu7UftENRWpaNf+fby1ndlt/ExUWBcDLpmNYoKP2c2BazJqVFYyyklhAJvZFNFovnA
T5FCVHZ8D/6amSGSBDrahFz/DgzKQMzdwpvWnqnyS8i8d889ENdX26Tq3SLcSwGeY574UJV3Q8fz
vSpd6PWGY5RQDypur6uSD/8uZy6gSTHOvCutjGFbRnNxgUFqykM0B5Dn+9413kKT6lbPAr+xyR2T
gXfUne+sKpGGzrYsO2aZiIf3KQUz/UJnKF1KdUk9LJ1agjxaTSJ5U8+u8zLnE8OPVbvpShWUD+xT
PxO4pOmsZcOVqDW8uuxbNpiBd4UqyC8Y8gR9Hto6rVeYNqJ9k9lALQEQN1eF5eU/WgELdmW3Guoy
ZwY2xkJEwOlnWhvXFotzBNZ4Bs8RstDjNa+xbvYJzQxkPiRr9MqocB0nn9twvn1sxvM6bfw1t4ah
+OZ8bs+LZZFutdwvu2W57nsVRoquxqLrO9bWnVyUYrf8GFykzrhz++vyc1cPFCykmoKaM4GifnBK
o9lHn+v9ZdGf6Bqu2ef2/3/NCMZe6a9HsH+Uh7flf61fid+/Zv9mFOPP/y4h2V/YVdHy5/iOsP6x
nPuXhMTpAMvFsxQnHDSXf45i8svi2uMrZS8rNQviwj9HMfsLxA5qA/kPGOwWb9/fGcWk92cJCZMm
GXnhsgT0WdosK8dfFzUDj1nsO2Dq4nqi2Qjw82Kk37nUwm4cSk2YkNiLVO4S0iRMB0vpulgaADgn
AGB3BlK7bHlQz3cT5HK6E6ZvEqC5U6fffX8496198SVmGLg6hzQdxDrP+m2tgmccopQTQww2a3qn
gsr7Sutatw398Sk08xeOXG+Vy5laBXNECvGGfoMd6yzcuNpKf5nqGsNaD02nN/WY2Fdwky9RAKKS
jf45QzHb+H5+qYeIYvE6JRYRDXT25CJ7MsPAO0Lu5NETamtNxQV1Ir0PYz/HohI0INVl/p7b0Yys
6gzXkQ2BouuHuyjFFzHN5rgp2XivRhPyoahPMooAtrNVWA2hviNoyJ59cWGMHeDwZTdEWAAbQBBF
F2xBX+dwjlb4eLj1Y7bmbem3+NaReHGmVTbu/9l+ZH+QMwD6JZFcn4e8Az6roJmY1zrfK6rUNjC4
vxZjgVIH+jzNkIAFfIdNBz9qE2GmWiufpEbJCYNoDX4xKUS9Ew5/U9PCNQZUaliz+niA85lyAUxe
sKTRQz5dR2l34RloraBJnRNOndVcmWw47EMOjXdDX9ga2NlSyRKsp5p4gup8b8UmwFtNHsMa6AfO
EMv4iqR+hvTP4ZzZz2k+J+eu1q+z8E1mybrZZANTJbbvbwyk1aaIZ5ClFiU3qie1AtPb2AJQ+iHo
u97EY32DmEoFFc+5risOGYjOnxkxi1Uw4qKI5dRtzdhnBJ2Kh6ZMv2LKqc5tHPGRjsOXIcvrvSoV
V9Gle6woCoO/rJVykJv2vVNY0TrWMQ77xTk3Vj1lFRZFt/7RVkt9Qgul3uPQ3VDasQ0j3r7EcS9p
XZw8E+ue8jzampWhbk0vogxbUuVW0U43GnO8dTJgOgWmIgx8Xys/fkqT0NraHQEMEwYWleTtxs5g
bUA2n9c5tpE10Zl7asEd6H4qe3Ia1Z+62nY3bUcStxI/ImlsLK9Jd4ic1bZmf0Wv0sRpXVZ8yCTQ
V+XyCwX1DcQYVnpE+glYdt9tg0/EYhdYGa5zmztQU6IweGNf9uxGFM50ff1jlumPfOb7mgTZ9WCo
Z1XnPwlY9NthmsZ9trB8C4+LkTXG57IanszeeMXods47GkVUTHna3Gd0hpn7gQlCp+WJkMUlDwpS
zbZH5mKIL1j/33geEU4A/AcTfs2N8W6uEtqsNMiwZifm5A5u+HVLt+Mc0SrQRVfaSI4V14cpcc4J
RXsrfvutaWKuB6e4D/LuO35+GmPsH6OeHhWwsxU+0xQEI2Y2NqfwcXiRh+bDnki2zKQq/FwAdFXT
owgE3jGSVKSmzhaI/C0q7b0UdoBZjwx/xJOqVP2bHcVQ4mP/ZmzTa25KtDCQ2kKw5fPaMPJij3yL
hfc4tA2LaqnZdg9orfHJIVJCtuQ2VuUpnFloGQ5kXIjGrsxHOpKpOvOK6crLcJ8mEQGvmelg8tVV
bJLuoeTjPtXp2Wy973XsvkkjuABaazehV9+rWn2bVP+D2M0lr+M73XanYMaJCd5b+d1prqfuJmjL
B6eorzJzng9kS6oTNwrEc6s5T715KqDzse31MEMHP2Zd01cRYrn0b40a5G1fk5AGblbWxX0bdGes
4ynORRGcghEfGAIcsKM15dI/W7fboorhRjWqXV5B+qSLedNofU4ZdVYK1h5zm/29mnhIsde/iUmu
H4sZ+6fw/DPoY2/tx4W68mmsWNUL5hrNnyd0E7+n8AzWfMNdAm3VJbHAPWc6HldFRd660jNAPaNy
2OtGZ/q1HRpuIMFZTn7pCwUiiOnOsac7NcGoFnPzihfb3Lhu8BCI9kjTiWa/5w7bIHJywlkNFFLb
vc+Y+U4FJnGl5x9tNn8LPP+Jh+BRd44DPxLNX48GjgBhpad8atsdnCkwoNj29rJVZyf21MYyydb3
6Zsqw+FgVwFk6gkSt3DM+TZim7xDqX4S1GitBJ8kHJK8bA30QXyQaXozJtYdS9Zx7aU965Q+Y6lI
TnqbKGOCLJtfAgrJzk1i9auM0heGcUWDHx4sg4MHqr2dMqOW8T4dooHzZlrZAiMt5vGfWd3eqpY6
+qpHC7bnhAifek/igcYT4yvESs2TOJivZtFtG4ixK6NU3EH5MtbG82j1u9khmiURanyHO2fn+PlT
mNRoyZN1jfoU3fJq0WpGn/AuTbNvQ0/M3bLc76mfjpQMYmmvAIBTIznHm8oIdhwm278/gf7/DOUR
iHd/Paf+n/q1+/FvXGXLn/qXUAjvSUK+wbvFqnPpxP59OhVfFtjgkuFZmHvLavE3nVB9Yee5BEEc
KYTN8Ijw+JtO6H5Bq+FQcYHKMet6CH9/Y78p1GIb+1UnJGXCfAzUG/KNQwrkT36vnnGV4lAqPywJ
o2Yr50jJI1GHki0kcILGuBlpNsmDY16YI30AsqPcVQ7VNlV2yd6rVDOU/d60aYevRpZEWel8qyo/
vy5Gx96UdjQdhlhzeQcfttZc4Nd8EQAZsFkA2M/skunAZ4qx7fcqFflPwxiaU1B6YMTbhvZHD3NM
M03xOhHlsFTpcpcK5zmxVzYsn/fWbSneKRz9PjcFj7s+WLwjnSqXZGX8xEZEvxaa5p9A+eE1XDmK
42TQvTVGPKxHVkobfuNpn04Cn/6kB2IiqSqyQ2fr6CCg4e8xEOChbvPy0aLalQeKH17FtNWuZ6kC
CoCn9KNg8Xg79i4m7ykrgpsxDGMmGRdhqEzCq55iV4DaibnzU62ghTIU5+zVWiZ6BvebsnTUJk2s
+zr3L7XT9s1xAPlwaZzYWJKolDEJF4I2i6E+pXqNDcLtNBaQaVGhjmkD5aBnJfMe2qM6GGZmXWbh
cfjYjidfZ2ey3yHPDJSQtPioE8t1T5ShJa8Tz0uHUUjrK9a2+TkZ/LnYx0ia3/QcBV9zbO3wd3UN
63w1ljJnNzu4iEQhdoyEKF4BGCJoh5qaY1W6+y42yIqAOn/RoxUO9GkZ3aM/aUbIsXF4UGVGkSgi
G1lDd9GM9zwPAxLLcWacvLQkT4zyeRBl1B+529g8tYn4YK4SMFrMZDI20adKA0jNf45JtZ5xm8hL
+6nnDBY+EtoJxfgBM8UwSPQMebujwdextySM0IaqSBunSNT1nQEBtKFmpdYk3j81JbrK9I3/uQBe
JKeIKq7v0SJDsYkk9BNM7kmHMthovrM3sqtgi89M6tQSyOfW6uHVfrp82G7tfV/bO1ML7iT41KFz
tEN0mReNzJrzHigMuhnseLnNFi3NX1S18VNgK7DbHBC37DsOTG9PnBElDtDNFiCu2IVwhve1Qxft
7IaLwwUBTy5SXjyaqHr2IvCpReoD9jpDtGQrDbWvpkjW8mHC8n4A6F3kQrouik0q7PaSCo4FseiK
k5Tq1BPg2HlKJq/gzREg40WLBMbiro1oESgDF+G/XVTLCOgbAuaiZeap27HBQt/EsTBfNYvm6bH7
PYpFB/XGLtmlwiEM0OHk3k2LYOqSh98ZRSH2GUMIkeBYLtrqIrOGTtp+JW3KWF2N3R4nQLfHAjLt
bGsKd008lyd/kW3hxTNK8mFKjz1q3pVeBF50IsSvfpF9G6+pUIANPs59mZoGuAVef5bW/LREhNge
EZHDikxIvgjLwHOtu5L86ofT1pTw2NFS0IoUrbq0fsgWebpchGrwUM5DvIjXvIbyFOiYR9rUgTB1
jMDdNWOf39IA2z2DIkadLZrkki52dedTKC9733pklvJ32TDSTCMq3lBoYW8GzjTm5k/JPV/U90ZP
7bFZFHk7WcR55GoR72euTuk2HpQx7v/+If4/0/i9cNz++ng+dHH2705n/tDv2pGEb2e5DpFMbDTi
D6ez+8UlhclODnQjJ/hiB//teAayt5y94BzZrgG0W5Zr/4xwOo7Df4sihXNoYfD9neMZROSfjmfP
4vhXAsQigoLCmv1H7cjos4zHI+0aUzzP67Css4OV2C64KEqRrdD9WbfiAUOIu+4j8W2IJR07jnuj
i7i+S4Yyeil8N4EyYcjrxorCrT96w1k7c8hHb84O+PgMbteuPe0IaTRXFIT8xHpn8GFjPK7rIv9a
8S3bKA/NW0VxstUUWF+yeEI8GVOv3OJVCG+4Dcmv5dwVby3ogl3R0Z1muhXKs1vN2Ku9iqQI+YlK
E/HHimkAOv8xZE2zSXgIPTWOo29mtin06BX1DalnNois0r0dXQrBpiP5Ircq8Yh2T6L3VgSzOH1x
U0LJ8vCWzJH92OoxPxSUWNKKklX0XvoliFiKHld8a8U3U8eShjcXYARB8JSRuOYOXMTWcZpUdD8H
mXFVN0O7oUPZejXDONu2yjSutWv0iD2J3o12la1lQVBfNnTkJZZzlJRO33L0lYdSoA4VXvuQtvNN
bI8/QOndA47NHrK5NI69Y0cf2rTFwWfYoIqh7+CK9CwGUmM8DK40AHJpeW3jMHgIVHXbTPZ8Y7hZ
gulDBZhrc7kZ6y7cEV/yv5pUGuzHoAYKNWXBUK4JHXpvQ90oUvgttiNaDgqWOlVJgE/Z4b2aO+sZ
frizzcbcvXTGYF77TqGvcYajY7TI1bvGdwKyTB2vWhu0OyNWHJx2QTtPXsp16XOaChU3a6T86eBo
u7nFNzPt0dO41OKwOWajKg88olieCZEc8oTtbJ058a0VA2+Yady5RNryXnqXsiE4ES+YUtMtRWO3
pU1FhFSjvJ2q7JUikh7EwphdGmkam9LLaupN4QnssZZbW+GXJoGErtzgsZ7XEC2IblFytbIyl6Jc
rF7YnSLuiAFRpuuSe9HOVFR7VUnC/hTdn2Mm8+3bcbDkFuJYdeknT9x8vga1xQ1+bFR8ZDqnA6Xk
Nx+1z9AUBMmFZnGC0ZYNwtGtr2JsI4Qgx7c00F9l5VG/0PssbHlXlVVX68mqE4xKjbmtgMzs/D54
nqVLqngpzTUHhxYkm/enDbsG+pkpN0kblpfeMNwfpMfFJmUptm5F9FzMFGq2VlJBnxDzdkqCs/Ra
yWuLr8oQRrcZqHvEZ94+JEx1vW5PTZTeKEz/b6bDQe3ghHcDyUttvrMYTvcDo20Tgq33K/1YEjZF
X3DmswWcHuoIo9HsxbvQjHaJbC5dglcn4lqreRlhpnUPE1murWr40AZGAwek7F10Ywd3INHNY9ME
52bq7W1Qk4mq2vyqSOOl4Nr5aTXqxq+n+5H2zuVbvdRp+Vd80Fh68z647L3RO8EednzPVy5/+W3Y
iWE3VN0DCddzmDZfY3bda0/yJJLuhCYM9p7I4WGcS1oe28TZWJaMN/lsv4xtMZ2rgu23ZaoTm/5T
FBcoTaStuY6wZ3vxzLRbCUVnTqZRQyqPsrF8qPZNwUPG6q2t6vK9H6JIpa69z8lYr7WovxYU7zEP
J9AumSt5j20w9qn0SY16Z9sfKeUc2mhDY5G96vvoOtTFVrXRHf3G/MZOsh8LQXNO9TGY2Yml7CEu
kBXrYbgaBu8I+eLoOnF6E0hca2bIq5S3kh5NoU1y03a47nE5rJQIMIoVQqxJm6LRQhnaDBkFH0tK
aBGq8V55hbz2Qrd97FVIraCVHnIMTtvEKdcJhn+eZtadoSlKGF3qt2fbfKsF28d0Nri4waOGpWaw
luM5stK5h/Jp/Dd7Z7IbObJt2X95cyaMPVlATZz0Rp2rV4Q0IRQREnvSSBrbv3kfUIP6hvtjtaiM
zKtQZkUgCzWphxo84AIvFXSnk2bHztl7bb88o8T+ZnXc4tp+KuJujRyzWZhNtIEQgBjKdWl7MHAx
bSr2toPeVTauuQWcKtvMiZ7DuLEA9OwIF72DAGRscrJuNvPgAGLxuqvJ1qdgBkW5bZO8PhDs55LM
Zl1YtdeuHKA13C17htb9JLpe3/nlaFJB0n9yu+SY++6zlSFSjMrLAhxpoFUTiTAu6jP4ioRKedZp
n1cozUtyHQQbWhhPJHcsRXzvsggGxuDu7GS4Ijr8otRgKZJ9ZoKBdJ8zZMKBUxXtTR0lV3kXf0Fn
d8VTedLOdFhq/Ua483km3BexuN/aaryVnboECwRnUGDXNNZA6UwPtcigdVM+qETcMeywd7Ym8f0V
50vtnzVUIqBO8/uma66Buh7NiAzUSSdzLlHGWT9Hl8YoW/zlbNEovG6Vs2wZJl8qPzqVJppAm0g4
C5JD2oKKEh0/shPHCVWxYkI+JzvV0EgyjcJY5ceUyCX4HZvGHe3likiYTelPt16E6pcXveSByosQ
67UTOFPkBnbSavtJ+jEDasQMJDETmT6PGyQfSSj7CCySSO49ZJ47R4tOzHH2rnpbXRAFQ2SzU0CS
qCzS6spymySS0E6evQ39QDSukQcWpuMlbHJc/WvoLu2Hid7WaF5Xo5FvTUSzLIceaKz2jiQcRiEL
qbRml7rwfto1nEYERmV5YdOJG+z+a+otAVtlltpbFOgEH/PsF3uX0xOrOyr/PlLkfTM6yFo+XjsX
r4kvp7D0lLkjoPvaFUURZDkzGI8XNuwmLDEtznVmG8lyojDkbEeh3yLMHjadMaO08gTR3hRIW88h
0cBzyhcdVbAvZEPDcrkyJ/ojrWXS711PTUmZWjQf6jHwM2bRCZJQNcSURKSyjBuAtvXeJ0rkEFcD
yuykJ5okxZABrIjVV19ucSoa29S1X1cCZTBUab7PjcYLSvQkCLUzcehtZAWV3X+J5/qJH5Q+Nwau
oBLymzdjmG3wrm4MxRRkoiNiO8i8szGH9ZsMCaEf4wMmahKDmukL1ARzC4C9ubQmBhU4gSyy1D12
ncXGWs5slv6vRWlUiT4oy6XEooHzLIaVyjbNkhEUQ/ItGpZmW/ILXAwVVrPtHGWYvvVyZDASZWLf
0itAdG67u8gjdzD3KNSSysyRlaZIJ4rVAiZzJyAzONoZVj6GCJBMRDP0VDzswwh1UWXKpmc/yirv
TBN5gyWqod2grOWUhm5zF687YpnQD2CjxPxLxNy+n5ZXdK0c1Ax+kkjJeI+0FxUU8LMLR0TFISWo
Ej2uftclzEwrOaVbKyG5vEuboBuZQTodCdac1q+RfbN/eT3tqaz5guVIhtRKEegTTdtWCIpO9bLv
0Vq0YkcTkFDLxTo2tuBtGDOBwgRabIZyIyicbqauzLSd7cGZcLHzYIjs/XAcUsaCTaSuZ62Zn2KZ
VzSyKHRtegSEI5MMlVRkTJf1l5wpw21JIQifA96URk686zfUcA6SoaEwcaPjnN7i438E2ey6e/Qj
VbOzSBKHvGsPZ0ssebNdcITKcSOUHBEY2xmZKZZyELvdON9Ipz5KtF3HohuIChslTTeH3v04RC+N
1l71DasfKrQNUnz3hE4g+mjZAOXrjfRSiYy5JLhnptNgWGbNYAheLATMMMO7kMLM1ztSnLSysK9b
k0mgow+PtMHM40SbiDbVC1t9tq2HBbNlrn+ZWKcv2T2wvzeuRQSRbUKQhQQwTMMciKx7lmbznBpW
EiyVX92iA1LbWUOJDGaCuErg9Xuf8u12GSWxwJ0R4TAqjC3RvXlgzo33aDhwSitm9xvhMZkhBAgK
mbeUe4L9MKLDM7xwE5avyicBvYvZWFlXzYB01fgU/xolAbX0qVm68HcH3zsBfXHTxc21H5eEWU1V
/9nKnPwkdmeL8bpN4ZrMUdjG9Rn0tiZA2NhfFfrYbrvayukNLRH8NZG92kMCucupCeFxq/6uGfLu
gDCq2mvREl8Za1quFpnWBreXQ5WjfR4t6VCNRhAAtLx8IHSUiAcwIxgODdp+puWo21WoFYDcId8U
lwNiv7hrw5HkuxepSI/Ih7dY06XY+UlenBF/4Id1rWdfchKbd61TLodMm4eLYXZ1Go3zjZiybisd
4R4tKUAZA0m0E1SKDDXa88FJr/Mk+VR4Q/GYUb4+FK3/u8n4v7TbysfjRKP/Z50OUmX/9T+G5/a9
UObPP/uj14GuxSJxh4Y+rYvfGxp/TCKc33SCAbBZsWegpXmXDaCL3zxB6wE/Mysgk4o/Wx3Ob8iV
PZ21fW156MQW/ZNWx1+iAZDvoFd2BTMSD0aE9aHTgfLue85KQtGz2vh0ZtaoMzHzqHAqRiK37dhh
opxydjb86aARd/g9jgUUdLUQfG/oNFSX4fcZ19fpv8Uv9d944rnTP45IVls/VaygjY0jbTX/v9fv
mP93E2dsnP66QLJtIR136PiI9fO8M3YvzPmVmqMCSSj7ScqRT3fDd0/H33wlDGx/86UYL3EBgUVd
oHH64SISho8o3cpi7oAkNu9hpXuRFM+xXs2EFvRjDznfpa7xDtasqRf55uyo+6U5aMw97qEn5fd6
NrPa4jjqtpWwjUdvtYh4cKyYYqy+kawcunN/NZMQoQmMhOrUvaPQGc1txgEs3/jzHN+J1Y4yvzlT
MqMb9bCzmtQMcpWwPXZL2dwls4Tgl4z08BATWnDOwdKnocUg6WsmnOzKbiLtc8zSSC8EmirOtzZK
7iTmLiMsVIo2CT2zjZ5omiCDTvo0Ab2XDA8QZtJqkjl/YjYRFNQiwba8yenf6JwrZs3as92CKPLp
oyBfjqPhKc1souhKoalHvZz6VxbieQtqK9lRVJF5TFpKeWX6kTzzod4Xm24u40tHxuYdlBD1KN2q
Oc3YQRAZ90XYO3Nz08DW+cyGkV9BYdK3kWE250ZKemxGxO2jIkjgbgI6dpIjs2Gav0xg1AGc3gBZ
1Y6Adr2tLzUdzYCVjJwIiCQoKTugKmI5M/tvgHcY3sw1DpuwICUeiZDRlSHc3XifDUxOttQw/iMH
YA+AkPK6C2PwZ1BsEvg/X9e6Fb1FLPkcWTcKSdCjLZv51MZ59txJimyaUs5lsSzzCYV3xphIuUR3
9pijJrNzkKylY3XRN1MEytWe8Oe0suGOe7KD42/HpfENDFR2XrPoY2enHow3tWdWdFw6+dCoDhcQ
6taSyHSFEBc5mdY/ojPw9mL0GNzoMNMMzk2xQFDdjJdag1UAdHDcjKHgzNpeCb1Kv0UpnX3OumSa
sTPFnznmLANnaEaNbUpcFYM/WZyWFc4dtyDz2vJXCJzRQ6uXUzzcOMwxTxklTgTcZihMkGdtcevJ
r53O17UWYkJGgJT3iWySG0MMSm1oaqmLrDVUSj3t9ucaYF3iU61+v8TwsXCQZfaN43Wc2kZFbmUw
anNDOghRxkQMTDUhzJbTfjJlJZ9lVNo1NlJVbcGhRifOZJLcbg/dS+O6w7mnWpRtqFEbNyhVXuyV
20dQuCjDE2O097M3ZfuK4R/gntS5yEAW7DW6FWCNdXfbepN9kkqeVryPndqMyUBLDsZdWM8cIu3Z
iu8HrWsRKM/1wfHj4tRfhBeSnUTy4nq38mVEsMEqsCUxovhi+KgbJCr0s7irvbPeAc46Qau9iqhu
mOQtzQ4Fd3Ubg3XbYU6FA8Shq0IfrsariHxTxqSDYuZpgCzY8n860aC6dbGMpJrg4NI3dhtVQL+o
Wiorig7zJMzdOAIlSKpsCuO5RACmUCTtbAwBSPKK/EpbIutsYjDo7kFFW8BFp/Jm8YZkZ6qkuM3t
PLmro7a7ycD3bG2chKjkPIBlce8e82bKdnPejNsEuRAxoS1zJUbeOFwthxGtN3JOPWZOF+E/m3Pa
CkKUzVeDI3dEba7QU5HBmV30flFeeJlmh5PuciyvzM7nCFInYU5EXbxRfdky0U48kitXhbQ+FK/e
gL5xkwx5tteycZUAuXCbxziJv1pVWn3OE9IJTNyqwBkHDCMqta5TuohXmjOrs6gxzPNUFf6pk6h5
4+RWxOA2tolap0kX4iCZHtOJZb93OF+4dus1wUhc5UNF3OhTlMTonTo5viwtgGlvccRJ50iD11Vm
x1LU1qHrbLE3abHkG1BavC9uV6JRsmA5fjEJmr4lBXfAeoAa4Ei0i9ra8wIUuib6BArIELVfZysi
XH6qSTo0Feu5RwJuMmQK/SoA2wQtbLc8QS0EXYkBQxzJjXEuGkPpX1sVJWelMuYzW9jpNo1MmnwM
00LPV8VXr+fkiP1Eyw4Mj4mLTeY5/4ytAoUhiRnyhZNQftmSAwJqrW1heeg5ivpaARzoylKWqLyX
7jUCoT0GsSWaL3btoifzzZ4G5xrHWBMYEOMpuirSTFzrGnLYUHVle0H/yr2cMlGftyLud3GKs7SL
gQrAACRsxuyy5DTrOOZvPDvHAOMDw9oUiCTRZcUDWw7JtFATpqU8Vm3ZXBdrhEhfLTF5aHSTq3Ca
U3lFsCrHq0ifzg1y2w7l3HOYmi1AcxVZ3RcVMtEbHYAM42/duBv8MdmTIBt9GsUAhTO1CHKT6Sg1
lPKlfwnMpr6WFTm/OqCvm36NdWnGOT6d3rJexBr7YrwlwIydRRpMszjJ2fiWEWOS37Cro2HkHheF
8+C+hcooWsgvvvR3+ho3w7GbT0usBwkfTmyUx85MVnA4ITVpDeYGH2upbfnVtVuLbTyjVUGa8KYD
roxyEGrxsElTZz08lnV0xb3Vb2Ieh7tYEZMjBVOEcY3OgfMnzhJddV8Nt7+PsjVhhyc9P3OQ7GPe
xbFwA4+LpAmjH16KqiAp29FmPMtdd1RLm9+1a5BP95bpo9rUuvdpfTjA1In/Ids8u0u6aTm1Fuya
O6mzq5xERIhfMgurnmu2M30zZ3I58QDpHWM5VLtW79W9mzz8vIozVnHOD+IdKsX3RRwyofeVYiwX
bV5kUm4RGoc0DrrjE11SOv2H6gw38hQ0J0YI4citA+vsNN1lwc8/wF+Ldtd20MlbjORcVMUfq0i3
bWoiZ7py24ZDuISQZk/v6O4EevBY7/zHX5WtzFXffV9wuW/Zjy5HBSFczhzr//9dZZzWMULmkexH
VrlNim7a9o4NJOuff6sfJVHfr0L3bD3u4Cj4mIY6exgG84lB2JjX36ohC1u0lkXt3pUqPeXJ+0Ut
/mMlvl6OgElYFgKNGBKxjwcfBea0NxcNOI/7eZo/01ndFG0Elfzw86/14cf6fiETDwJUHs5rxvq9
3909OmmaSDRVQqXSITwdUG8EOEO/Ys0SYRto4a8ejw/P5x9XxHphOy4nGvHhitnQjT0vc7HNDFyn
W2sbc42lCVUY6XuxzbdR6AZsvNOWBv2OlITowtqJw/yrD7Ke0P79nvz1c3x4TxoHRWbm8zlguMIG
Vm29YZ/4xTFR/9sfEjgbkYg2S+pH3HKL6KYg4aPcqpDxRphu8wMswyt3W58wttwY6EpPfvGT/rgA
fP9ijseTatGzdsSHU5zXD6rWXfrpEEFOShlkOy9E97v3H6IvKNB+8aSudpm/3EcUemgV0SVy4v9w
ucUmNn0o43JLYR0fql0Uqg2sTfRjIaeJ7a8SUY1fXW/9Xd89sY7Tj3FrcT3U9dvpjvHjvg5O0rMi
ZC4XAALYooTg2cE0DH70F8vAj9KL3+/t+y/7YbHxilZgGyP41emRWg/qmehTALnSvO0YYGHMcS/w
WFS7vCrNX1z6b55Xl56DzyLE3QZE9OP3hncSibngSVqahhSvyaf2MItfLN5/exG0pKSbIn4x3/hy
724u873/k7zZv1zlLV3VpbUDAZue4foEv7vKz9NV/1Fb77+mDNmHK0/j7d26ED6r5+9oguNz+fLf
/+P43Kb/+p/1j72/73/1R+/Pwe62AirdNxDlG0vpj96f/5ugGSg8HbGx77wZ4b7rnIzfWFqsNyqB
7rq89H/2/iBbOrq9Jtqy7ji0E61/5JH7cV+n42UTB8p8gdYfzBqsfD8+JJkeL4XRxwYJaehdJZYD
/STy7t7dlKvfl/v3QQ0fL7K21FYzIIRu7H14cH68SIWmJ1ZZb4aoFLZx9lnp2h7U+88v8mGTRW+k
I6r1CGOg2b3WKR+2GpBMhdbBWw6bLRbf3bg3z4YzRSmmB/pFfRv/cpn6S7XCIoHxcf1OYEv5ij9+
LQ5HUBkx0IalfEVNtU/b+ixVdSgFrbf+8edfj4WBf+6HrfTD5dZN8N37TEQH7hx9UqE2ziNwSBV3
5Yah3FwCHvGNM8Tw2kmNVimkjDO25ryUt14Jz2GIkvZmGbEHS+xBJ0KM1UM/zPkNI4Xsyo8ZIRIz
Eh8HP85ucoyZJyT/iU9TV9hh09DO0ExGuHTMmqDIx/wa+8NMUxC+XoJkQY7gdbvZS45xXw+rCykn
QKnPYnHG1LX4knVJ9NKiZ951hK5W9OTc5UbBg72xiBT4XJn2MO811corrNgeQPqmXPYDLbRp06rK
uNQnFuVNZuY0deqoVGedjo+zsO3kqrJLHyGC05c7J887sIN1egqY0ftSS4Wf3Osq6mIxpLfEKZAN
4+gIh2ICQ1vGaSK6LkdF/AygqcfMXc+3Bpra04GZNpK5btQYJCvcPPtRK4Y7PYuXndkLoiOx4Fwn
XslAyU1W15mjkqEKMTczP4fiNJwynOnu9HHIwWBHsbpPnbi+FHKEMtO37sHpoYAz7wfIf8JgULsH
pLSEsaXZt/pkRs/jSvMPYiinp8SVmkecMP2T1WInMUZtuov0qomYhLprnxTP81eyqxLUGwiYA8Tx
4r6fEJNtMi1Wj+1g+DjoDfjJxWTkqJNduw9Td8xvQTRTUycRdGqbkyvE8ri4bwp/uUtEXn4rqoYA
Ts8f93NjLqdJpiVH3VP9LSEN2Yakhf6zn3R8j5hjUI2MoI7c07bPY/Q7SWcvG+gtzaMhZH27Mt7m
wNZ645xUT78Hi0SmCs0iTMJBP87DNWin9htMeP1zTzebnnImmHsmNXliS9XCAZK5bd+BD5bGRpqV
Ds+n6YtDpPWLTg8MkygQUfdS1k15njTjdDsBHb3OEtO4aaTZYmCz7OQ4KA+toCkU7rnKydC+QBVw
OIVzmLsWdt3hoveVrYJm7PMzqwP2vqJer3I3fel9Obz0QxzRkWwnnioYvrvRdZFf1JZWA6ZOV4Au
WcZcLqbpem+SuIEiIiv3SUK7jq58/mCYHj61KSMIzYY11nWeUwVGQ7JW0efFaZxq0Cqq2X4FqJ3g
pe3b0LKblbKtVwYxPCAhuAnVEShiS1PPQC3kuV1xUmvJFDJot64SGc9BKW33vEwxpPUTd0Qf7f4a
q1n1bJZDFVTTaH5iuAScsUcOdkNsQnZBokOPhcLKoW1WlnixYux1tebK82IsAvKBUK53A+msZlEj
vEjGkAwo2OGp1PXTiAecDrjjzl9xsnSXsZMYV+kw27xxYE/sKW2JIDM0JCwKQFwyN+2JW/DuNTHU
O/yc7j4Wo9xhYo6/dbIqT4la019GSG1kJU1Je1rQQLosdH2+Bb/RXCS2LXdjvawaidaAwOmOcVAk
dL5Hf+ZoKsdbjZt5HFUWo/k0uscGJ8Fln4oyZJuqwUTEycmc6PjVaD/jjEA3bp3iL4mswNGsTvJL
dtk+FX69R+dS305MQGbYFaBkUB4iO8/j8nxeFguP8qp4F/OEy9zX8tB0mWNsCPOoEmIwW7YhHQGS
zafdF6WDoqJIffLAYJA9292c3U2t292X2pQdON2o0zq17UPk5MNBwuM9wYjj761MJUc2WPp6U8Yj
MQ7jSTuucFxbst2gM8KojtLP9yZWIIukBlANny2dtyWSVXei2U69NyCyMy6X7VMUy3hCjzknoY9L
9dkRUjQEpaEzI2u5+9QDTQsGKwXQRo5NdeTYQWSeB50iT7EGG+O6liMTufM1U+6bKUkPg6GmT707
z7BezWab8bBfqtSr730T+T8PphfUub8goMNXYPZaFPi0WG9t6vnXxEmjL2A2TO58DJkvn7W9gMB8
bse1HiRz7523EoHapluJG1qsJ/uKcWuQGvEYmqYlT3SNFOypavOLMa49sgEs5JRzzNTJlSX4C1v2
WEIY6RM8gSsTpg2T95a90N+kpbEgthnV5aJVzdUovOrWNhpSZNHrkHywwLkT1kBabx8jT9o4Pg3V
8yZJxVVT1flXDmYUTXM2R0cixhH9tE4lURokrnY5Tml5iQKzDdgik12nVsRS7GvlF1ZU66gNFYvP
2NNGDvWhmvLtSKrZgbhezw1QgTuYNkw/RQDW2weXluJrP/tEl8soH5nSdNJ9ygwzfZZ5MUNHU5pv
o6oin7yqRLW1I9o1IZVkFspl0Gma62d8efHJE+1yKPokRqFs5vUlLXVgT5FeXP28YPl4JqczxViZ
updRp24aq1L/fbniWnblWIrwIyCGQC0fGGNuOmtrVb9qMXysi36/EGYCyKS2TkPhxwtFiLkatXAh
Bh7XDApvyG751fn7xwp29RxQu+LrdASTd5h7H0bkQsP6ZE2lHqJ6RULtpdNlnWG59rIoCX9+3z4e
29ZLQb7gpK+zOmKP+PHrVJ1IaQA3xjr+QcpM0O7Y/J4u9r8dq//qEh9+ml52LipALtF0S1MGmCB1
esO/OsV/vGerw1LoHKE4xqB9MD/8LlVmD1KOYAk090YOr7BqQi929z+/Wx9//I8X+XC3ugomJwA+
I8yaiGIEy50bRm07XONFxuefNEBpmt+v+f+PvP+hC15YUqPe/QZ/OfNu6vn567/+8/2Z999/9seh
V//Nt4hS8zybeC+0JTwbfxx6rd8w/dD6cNbjLe8Tv9if3lthc4BD76Lj7bEchxPcd3PP+kc0aX3P
5dOR+ODZ/0TxYr0dzf59llr/Kf4JxxD0mkAI2u6HEykGCW2Gw9AzDjWGz62m/HMt1sSDncazTyVF
6FehhAztYcmgpjR1dCQtqCfuC9EYjdQ3zlEeu6YZtLTh2Xwi5zr11R0pI+1ArUs266YnpvEEoAe5
i47LPjTRruUMswKVOJZ35+qNslTWQ/I2k4Ycwox6pdi2Mdr8ldEkIimbPRupqe/lG9AJBSBsp5Xy
NDQ2Ll9Nzea8yX2OcigbYULljl1+TldOlO26uORXYFu6U24W2ZtIA2K3TQuJAiGq2az1OcJHNKzw
qTcOVU3ZZR0IOIqPLTduXztsvgk8GrUhcJVZ7RvTCoeqnEM9EcUSIMhgCAbv6xxF4otPUBBVXNxi
Zpi858QahmZbE0p5gwR+uFykj/gzrduGyROcLdOenGFDeGw7YxKx5bNwBi5FsavvOt1pmAFPbnQ2
G7ILRmh6HZq/iXm7NYswSwG9eSv3q1sJYL5sh5fxdyoYfDA9XaKrghL83Kpze9omtSM29coUK8Ah
ghNE5nOB4WA4yVfnK+I6d6UhaqcIQYztklCnbkzXGU4rxA4+U4EmyjbScTHUlqu3ds4lyIFlnsfP
EDUMjs5IS/e5kqS6UqqYDIxXo24P+zDDoyvt19ap29VapcdFsoF+S7iN3XYXBEZQu8AYxkSgK7zH
2FsnSVRV5p9DzlAxGQO2/inywclIhDrHfqnrfe60xkmFRflpcqZxu5D3FFZJhJMF18Udhzz9Kpri
oj04mkamZ9MDYI5Ug1x61qeSs6CdYdg07Jm8vEaL2oekTqYn8w1qPJlz+RwPRn4uKmt8tPxK3aZi
yU8jCQ1ZVArReGcq/EgpT/bl0HT5N7bfZleuNGV0K959vRKWmYvHW6upUWDOk9d0G1GivN2oyI6u
HGMFNS+9hLM6Y7+6nIylAtEi6vtBFM3JlFaAnqGkqV05Qn8uzDk+M4yJN2nsgEPDBsInVbnudREL
8yq1+Pk3vurFYz238eks4uacYKTS3SzmMly7K4DaemNRNyxaaoM9tfikEQ9xWpKckYQ98DtgvLi+
LsScGBfaYKFG7nWgLYk9XFeZh9A46sQIK072SCOGEsoTSv2yfRV1urwypISfXUTLvK4T0TFd0doi
TYFsz7qzY5oLdQLY1JEsrR5hM5ikjaZsftOSeICN55PnVXaTjbF8RXq7K9y7WjHf7pJ7F9BpXC1I
3jjgUqgZttMbHzxrlaKUAxo+VLr+ifwj5Bboy3U/bN8I48JYki02uPhMWUZ2hjgpBW5DgMhXPx7i
B35pUOUMwIr7XEdycoh9NTwitKjnQ9NxjJCqyuCJD2DP3T7LoHhy+NnGJktrgA7C37qyrb4VVsQ/
4xU4ZjZFriX7qAWqnq94dWOYh25n2yNvcF8QarIyZ0i9lVJufGsltOsrrF1oK7d9BBt3JpaofFhy
9o29jbycsr3ocQHN8UmBM41P74Ic4UAyb7HWFQ+F5Y6nhUWgbgj4VPtiv4F41crk7btWhMrXlm+g
V3id2wq5fQEA4GJSNPXCjmvclvQSnXBgxTfpyABgQAQ/sfq8kYEnYhGRzRNMcFs0VX5jzzOdMLev
MKpnua8hZzf09JPXJ/KTt7KHU0L50kBv9PouXdnEMJrAFPtvyOJKWhMk7cZaAJkYNvnkTYrlfJOU
Jv5SR9Femg1r2tKTgDMU62I5Zowq9ghXomhbG6J/VbmGohsEkUfE26pk5PRb5lfuONR0VozmqjPL
RuwingCeKa2SvE3YHBHuyezBNHKHXxR245Eg9D7blIj0X6dUYs4hSj0E6TPgPezys8gqWTQK0edX
IwYeZNMlCB2QTZA+R4b4yaK2htEmVz5tNjgUVXVaYrYMRxj9fRiVSXEte8weIYY0hy2zJZXLztPx
6BZabW3GPMbHAjEBNdoA4eUq5UQCbWDs5Z3F+nI7+Jn2raMJpCBO5u4NeucF00jvDefYHxi4T2N8
h6qAc/ICCWunD5i0IH1ln7NhGARdndza91C0OI0J/OkbXlky3mit4ftqi/MCptIrQi8cBBp+9iOG
W/2pV7FxZBlaLojd7uut47RE+86ac/Rzl+UVXYfzpKFZf2J51faG1tY7wBI+uZptqT9FTuaeQ+Up
jwkP+F0Wj+LU7Cyf8ZU17NFpRDufnhF+1Dl5StFOaSGiJWKWctHbe16x6lveipT/KOWcNkz659bh
mQi6RqRBlJneOb4ustxsaGfCK7VTI6vyW39yzMdOb9eDLLEuVjDniYG03E2i1yiNenpjaYQ/P5/b
2w4P6SeX/+xA+9Df1YUDYVfSSjjLYd1sY09LbnDHdgePWBcay8sMVdLWs/oC06rfhT2ltgoELosr
UgmShxqnlEG314JBB/vKutBU3+xbYmu/H77+Ub39/5pJfp2s/KyKDp6Lb8/d+yL697/4o4Cm4DVA
19AkNZgxcBj8dwFtE2OMi4+5EeIFuvGMgr8X0CRwgFqkwCD9eJ1CeRy5/iygPQ6wzHc8Zhb/GF7D
X3EK/bGAdqDh4LWHdi1YczkyvD/dp8BkDYsVJCxyngLVoShGqvdt6vynFuPhZZc4xRaGs7sryLcI
8s4pcFFoxFuMrThd6IbuIr+oAmeOE57lARehgQbR6bN7EpuGe0l0xoWnMDwXSrudlO5ieRDPtcrM
I/9gtl/KpUUERchB5V2TpmYARBNNQK6SPBQIPMMc7uARCdGDTIcsGA0Z0YVAc4fhDq9YV1ynXn5t
Vxrz7KX4OuNdCjSVlnd54zQnpUYHKXaYc08F/yMCbdyV5xhzuhNkqIdGzo/NQKAgzudlU9PjNmuP
wUpTbUYfy45jN6/I7CBFe+V93rJcmnTgFdOYIJvyJwtv5WaK/Xv6Ts82a2wwJlpLOwYBmg6fN/bq
g+x7SmOzIjx2tSqKqQ2hmkLRmCLMyS4yEj+qXh1VXrZz+uClybLpY7lDME2aUBExjYrVgeLpdMas
2MfDc0l6kuVrZ2bLLul0O08Ue1voatsD8ktXwx6mkIZ8BSq7dg2PNkc6mMmY7gF7ZEGJMm0wbSgq
vX+YVHduFb7EcjruM9rdOPCROUcVBpcOCAlxtfolF3YDNM/YQG0u4eYRwx0Sr5AHjoeJpM4MzsnG
142vchrvGpgDkVV8yqRsw7gGlUi/Z9rKXNHzK3vCK9qZLn95F5GNjHM6OURjcw/DC1dMAamDZK3P
oFXIRs3BA7TDJzFG506a37Yk1kc6DErNc66kbr1MjI/aobsfjOjWdIE5DD5Hvtb6lEtFxmMuLqaC
CVEz29W619KoE7ABjCqSF4KI5EPXjnCTTUxteJeIyjgOGTDuXvFtEz/CVUfi2hbcG3hbkX4S8YKR
Pxueh2RmK0Vmd90NyZ3QNRVYY+SRZel8ajId3z11XDvbBofOXjxTZCxbUPJxAEPMfazSdNhJNnnC
VKPqTHN7gwIVjMMcC4YobBgbc/SBSXZzfU6J3NMZpUrAVAWJ2G3mk8yX1sFmDsd/Bwq99VAZkyPh
kKi7/gpNsoSplRjbRoet50RLEWita6EwAXTj9020ZWZFj90B+seMKLpKsuoJ+T1nvPQ2rqljutLU
Ay/rxhVTx3zKzFCQ+sZ0XlE0BGVd38wo+RgY4O21e/XFqqJXLXZfMFfje3RoO5tezUjF9sIBuj8D
R3wG2VS6AcNGf+tFOqLHnLDlHCpHCCaLmOYF0W6r52c50tgN2aY3qVPl54OOfH8A2LNBo/etckbs
2mJuNgXpKxvmKcWDXCqQyrlzt8TcqQqcDi+XKsDkpVpojnZNULJoufMFwTodH1hquIk50i27Rde1
UIzIkJUokK8PsR/QQ+bzjnMXRgkGC5OxAhg7IlWa/t4mfS0YZgL/BjEerBjde94mBz9DfUr5cmHH
0PX6EQKdIm1a6PEXd27P4nHBS6iFJcJ6p7Wwa+PSLar5YRAcLp2WRyZJMG8NWKvhWp0CobruUv8m
GkjxHRWWWyuHLcgWM21NE86hxdlg97/IO5PkyJE0S18lL6AhGBXA1gCbOc/kBuKkk5gBxTxcq47Q
F+sPrIhMj+iqlI5lV29SXMKTTprRoMP73/uecuofluw8v8Gldga896N3bJqVciidRYc82+nzqViq
O7y0mU8/9kg2Ll914ri7jGl42WSDV1H4Ppl+DHHeG6fbvu/Hx6TN6cmjjiWoNRuSgFLDFusMXKlm
XHzg3zjFZ2jQuekRdNZZ1DpF1TRm+UuRGOlOOPVFuH78eeKl3m5zp9S3jWbLjdDFT4/avg0M/ufQ
ZPzS5OZX7tRnhJtnM5rw0C3PtC0h6HfyBj53ExiegDyft3NguuC4yXpQmNDCQZnr6MRwN5iK5tUj
pT3Zxj1Rf6q6pXndDagQiSsOSTc89XZ5JK3+2MA28bWmo7B3lF9RRxcOFTb7ZliCeNGLbZkiEk3M
kjeZNsLnbsr5RtMmbGBpp/vQGu5TzDmbbwKpwzahZVL3nbzl3U0hINSl/Vhy3eiTgia1yAw8qBJB
pROolnH17OZwFqI2s7esVfT0dpxo61ynHbS2b5xS7qaGLB9L7xfn6r1FzRM56vdZFrdaoV/gg7+B
Jl4Ei15/9ln2Rb19hGlsSri7Lc+YSoHFW1TviEbfitXcP7bleOjG6r5wcnvHTqWOuC64WScMWWJ2
LegOxn0HQuMwpjwpvZ68aXp6IxK92EU5ryWkuhTpQG5CJnJbAvbPemMYu64h7hza+bAxZNrhlxgu
wDU+mzDk/URQWe7odKqC8hD7gUvgjrfwgVX3NhY5TI84fljYeZ87OaidGwE4nbNkS3iKfTwuuVJa
800zgEqwGsKgSzIIFBzzLsmEtqNKhzB30+8mYl0HI88Ouc2JunKnBaYmrJIRVNcOyITlG3OVosFE
ImD29WlLk1ZGuR80su4cqzM/weQTkHo2QPcuchcWiwq81K55+OgoKvSWzLw9mDtZVi+2JN1uNepl
IhNPjmd8bUQ8Xs6WGC8xUFcbNS/vdRveLDAyay6ZKpcXbLH9Bsv/k9uVJzGy/SSedy9FdnTtmKfF
zj4cYuS8t8trFQJYze0SCqlXgRSgKWMzVoRGnAxknE3NPBxMyL+VGX2xpFoHvugZtLKH/ijGvaOn
TO+4K6Xp9DmvqIZxUj+QbCjeccefJLcpXF7WzRwKaSiqT1mP3T6jw4FoFr0Sk1tdQAa8EW782ZTN
tNcixsKVeF9zqYTPgcPrkeEGCfmggxF2zxAlyg0dwAPU3B6SMZkHQBdGFYRedG1qSH0yz2HSjHa7
hpRZO0XD+HYBOzgW6l1O1oHRT7oBJRpt+rm+hAjIc7Uwg2lFWm5pSHyOBobilhZ50O34gLjN+HPU
9P7gdOO9qVotMCOVbBlJQKwp8W1QtPqW27211Xrs7WNPoWdLKCGARMiCQdKFJ1WqHZnOA8UoAIGA
Zm+N3mr3Ws7k2Svm8xSpdNuW3JQIX23nmSfQaZ/UOB9AjxxRP14wiuxSbxDgCjkoZwXlLWalbtyx
hDtbQ3Ak/xRtwx7PjD7GVxYtoYIQfzrisS4z8y4Py/CgbFucvAlhdyhr8MhgDcJ5+OAiS+IL8WOD
XrmG6eNp2xB+gF3CU9sn842pxothSVBuheuewn5t8tRZrUjIU65lwOlgiA4fpKlfjEIQ70kSl09P
eFUyODGbkbfYYj0PuX/DieA+Pnd7ObNjifY1YdEG0n8KJUekkN+UUq0kf9M/mYBi6qa4QKv+Ypd8
RK36on9VXTpJ9DNfV2ISBXdhaCjO/1USIA4/TmUM5ToUOvqCKXx7gkMSNcxpsUfkW4KFSzCaJFt0
6UV+vCxfzAMj367tj5i7J8wwjBmZQe6rr09JVBxs8nh8ujtv49jhV0vj1a6vvXob8hTDQFLT5eJN
OxOAI2rHi1M1bwm3eTDO+VNfiUMB+wl2yr0zqWBOl7vIal/iybvQ1XzXxlhHmCkfxpiLd2OEuASz
2zGGcVdkJc0FkENyJYbdYBnDm4xzZ2sPzCdnZyRjL7xH9u6HsMl3oLkhuyc3qZgu7Rg68ux+LJAM
uVTJAJfL/VAMLBfLq+6454R6D3+i0BEDByFELzSuakpuIgvp0+BTHEhj+uJClG4wzSNpwReO5olS
Ynre9sM8pVt9trVgGnkT51VBWgvdubsA3RVmo+3tcKh8T07eVURhj9/lxclg5glHqKNH2aqqo90l
1tGKU+0KuNejreQnTOivqjM1DBh2vxGE2X2mmuJM+OuLwLnwe8tNgu978v9oNWDNV0tS2v+GmOf/
r/9oflbvP36VBP75Zf9SBRhb6RZDaKbDVFAzIPtjrCZ/43bPF6yzuHXmxoT6d1XA+w2GJFw85vAw
7XA2/2us5vxmMvuiMZtBHPGH9av+BtJ2NVj+qgngdsJuwViJNnYHn/pfNIHRmQhLUe63dbGRHpND
clqAq3z1wv/ljfkv7KTfL+b//E5oI6Zm2rbEr/1n9YGyeDidpQLPxv3wLiJnmtKOPuSIs80yPZSl
rA6ap6odB8n8UmOOckk619U5g0jviA92edQ6NT6QBusvKYuG6dyr+N70wLX45Ki0+y6V4pgtoSM2
Re4Wd6L0RFDbVPVmYdwbGxvBD624loc05/priW64jPXG+eBsKV7MMk4++lZZ+7APoXVEHAc4rXu6
yQGM0cc+o2bw3Uwrgz1pxrFlCWU9z0lUrwwjSoLjmRhyoulEiqepbRmu1Vm96xev2eV2Y35yHehn
zvNRp9FfF4r5WDUkcjmcGlVybOcFp4zEyjnTlOeqW7gaNaj/78wZfJ5yH2E72XI/B1RhhfEj0C/z
zYu9+SILB4P1gc17HahE6Y4IGvvFUELACk1zb/Tz+JMcWu+z47dbXEdTgFWSsgDltTdCuKZigOxQ
qGR5+Nq2QPem+KBB1qenRmaCYuya80pbVAQZTEA25PiA2GOIWngHjVEOIdOpwb71bBUD3RLyBlOv
vFlalb2m+mKetEiGu8nsyocEnYTmGc3juCD1KAppK2sLIrN5055J94+3KrLx1nmhnRzi0shOVBd5
YHqg8c4brx2K57Ib+zen7ae7FEmh31SMjqF+yrEOyt4lA6wpzohl001XIGych36azIfIbPQddR0E
BBoccpf4OQHAp45X3C+MOM+K0+QNjKjsOnYkF3MHe5BJf/ewHIYR5K+pMXPiHt+m133f6Q9IPvVx
pT1EPol6esBG5GMMg9lSgIpJzHPYJtWTrBiWoWqnR/Ss6KKNLD4nSRhGO40/B6k70BuWVn0H7Z12
ih02kvEK4vtRpCHm4KXVd2ys8+00ucZbGJrTQSJ8GzvNVsM5Cx3zzSjLfGfjhAOTHAKLCRMvu6fv
BAWdXYodA2GjFcSZLW/guOallyzx6UExL6ALqzO58VZey68oIcRdkz6mmA3wSxQau8Xl8oF5ylPJ
MUsH3QXL/50S9rgxbR0mTMuuZsTyvHRsw1SXWMldagg2lQId/xkMpHEhqNv6qGMd0KQ5thEtWhNI
Ch/1Ld8uDEi7rVczMtpReFBchcAuHyauvsZOV8q4mQh3PxkhnUuBye7f+K0SNDaqZCmetTblkNau
Y20+36J5MuapehyXZnhvsbb8EG6e3eKkpD5KN2Mcn3VuGBdOFlMo7EKQc3yv0/ryhNUXouDsMF82
E02yh///sPNp0l7X5/+eFXtVNd3nP35+/uO/7K1elezvf+CPPdD4DVAJpA6oKX+EJv7YA83fILZa
ALa/q4P4wl/2QIMtE+sIWjVcZW8ND/yujJPPIOVhM9tjEzQNh2jj39gDze+M4p92QY80AGAPKLRQ
RIDH/nlvKrVhwBuMQcLD6M4nbJ2917HdwU4cwhkzZ23ON9PQyAcqQ4bLtGrCXaq66o1zbrGtJrVc
sFpHV3QBRTSwlsaz8+0D6FdLwGwtyne7kPLh0jKadxcwXURBrpdRyRKBPH7kosUFSDPRanezttiv
2gIIksytOrtAxzG554WOJ1fHnMdw1dGeDKZD5Newn8++5+Xjc21l7snq6uFxcHRIEsucUhHdgZnj
MD04ymQuPPBne3F55JvG5Q5eAKx7dCA0zVDFpL6frNH7kZqh8k0rBmDWzvIWKmj7VEyVuvfiqg0M
WKqoBsp4wSmUwwbBdDMLnbaKpKWLrkGY2eHtCI+LIN630YdJFZtYl1NQdjqU7hm7uMZcm0K0OqFO
JhWOr2cTGdyKt2d0ozDBLWorkIyluQfUJF+GUsTX1Gl8VWWnAtHnzllzKuMJQK8ixYuC06V5uLNr
Tflt2tg7dg3jaIyjdPfgVqOIy2kFCNFMhtgvFkb+SrO6QNkk8YXJmMHrPGTfWhuf2sgM0/ccQ37D
SuZN9VNpMmDliuZu7XKYt7ZLAJv2RiYBRkvjdJJPx1BviFuwAkO0Swhl0nV3WnCJniN90ineTpX9
HFIPo+NuTdRZhOi35EA0PchdXXsAxlq/miqfryTlxlxYazUE7rJ2U9QAEXZSh9JpiSxCOAI30JCY
DAY3da5GvWI+PzjoffANoHLXw0FbPPkilBKvWYwJZIMKxl5tdPT/gK9J90Nm13de2zHEaZYwpbIa
TZa9MmmdG111bhBlubm3Za0vG2xBDmztYnyqNY9l1wvN8HqkO/KqV9+cEVu1a1upcxz1sXrMu4qw
A82/7n2mNZxWXODBPQ2FQMbruHuSkdO9hvRz7ogQc+eY+HlfqlangoS4OLNqt2agtBBiPGvmmiBe
3PVSushbADj2Y5gnaGtTVLNhMKDf9Ho4nmoO3hRu6fEBs1d9P4aR9Y7jyB43BOXDR2dJqrOMEMb8
jkPOC1MtT21gd8hD56n+InYt0ItxmFLaWhpPEwSuwIEbw5WQXudLCWd+Z3LqCmamdM8JvJezk9jx
RzZ55ifZFfFcpnOzi1qvPWqcr+6dmJIxvfei9zAb5jtQ9uokoPjgCQ0NpujhlIb70iqpQAEUjxPV
tnuwsp4IfyoM6x18Wo2npi2VG8C5ACKfF9opn2NaOMd1NCKziTAFPyLvfEMPAx160yOt89m1Jgih
1HPF5gr0WN9pOm3qPj6z7GmMpfmVWlbpbYSRpxddmaWvVpGoW0XQLNpQRW++umZVnPFQ9V+xMkG2
qe/+7WKt4maPpZW7bQbrom+o6q7JVWTMnLDBQq7gMCv4IH8A+UGKi+m0+VHm0+pp4X4bb+k2QGgb
s55zPic5+Vbi0b4ah9z4yKmUOuuhhUHHaHV1Cr/rxWmhzN9DvW2PNqOlD42ShRdtkdbFNKb6fVpF
Fe23sHoC9V1cnnyXmE9GB1clTag2l0wC4FnXg7msfgWU2bUHHaj1yo9e29GHMufijXGC0nQ50J8u
PCx3ojBplC8T9I7eC2+h3WV7w/TWQgfNE4fqu5CdlMXeymN9r2eqf+UYUlwq0agLr6oAjMbUuoc4
tn5qXtcdF2hGpxRvAlDvxLzFcz4foUDBJp6lII1vi08zdonlkOLKb5RbR5fZWi8fjWFxZVtMMqjB
a28cGU77uOrqy3Stpk8zUx2T3MBRIFrLeJJdMm4bIydbUJr4c+Yuh/I7zgzFKJ5CxPj7p5n/mcFR
g0s61+///sRzl7Q/mtUA8Otl//ev+uOYY/+GwdLAKbte6jnK/GIAkL9xhOHXhkmJAwaX938ec+zf
iFKRXv523lsaf/rnMQdDAfnB9V/DjE1qyfo7pxzE7r/c9V2NXmiHsBF2AgsI3V9OOQwTPdyQmLtj
Zb/qyQBWMC9JTZhMv6Fh1sdwsW4wZ+X+7MkYOtAcs2eF11YDCbOt2cwKGph1D0IuwIl812qZQw1U
7+yLrnWPYLRxpCsa01JFocMwl8/96jFQfUEN7QJtpqyHhVGrnTzD3ix8WZErI/SnBfRUf+mJ97ms
GtUqVoWQUVFJlbcxGvejHXCf5r19X6+6lrkqXD1SFw3CKN5SP1pT+KQoeT3IVQ9z0Mj2FlbXjZSR
Bq2YWxB+fF5jTh/huKpqYtXX4lVpg7vpDz3HfvyHSKnIceaqy9Fu2mzwpXPZAKIkVhPmquKRkUHP
G8NzicA3IvRpMnzpbWsIyHl9WK79mqzSYBRdUCa2m53wfjEcFmiMvta3mihDuR1XhZEysgFuK6pj
ifxYZUgNLYLkoOL3aVUo87DFx7hqlq1217YUwRgqehF0S8pkvOiWAbx5dCyKpNkPdvdmo4da6KIa
+mi7CqUGJLFD2JHryWq93A3C+UpWYZX+Q2Koq9aK5lqt4mudOu+sGHd90sPRJRDHiGL8AmIIOnsV
bycgW4G+CrqAwmzMeCYibz4LP1OIM17lgP7pkkdnFYXBNXN0q9K7YhWMITV9hKuEDJPzq0VTNtoY
W7WeXTj9wHCxf6pX9TkS6NACQZqaZQb09UUx1vDKshMgsz3V6R3ZQ6v2Z8RWa1W3ybAeJHK3u+re
Mo5+oOLWmwrMv49fCg7XqpPDGQ03pBfjw+JCclq4ve+sVVhHYG9ray2Ry4i/MUbZYm+o9kVpMeRd
tXkInB8Uq8BI0Bgxx6J6QWAQp2zV9AvEfdxT/J1bXaEaXU11etUbriLrykSg9gy0pqVJcFc3N/k6
NwgBt24GwxYXelTtGmXe6m59oiz3JKvkfk4mxn1MI2wO+XVjmsFSGzf6OqkwFkpxx3V6kaxzDA1a
EbwMzkXrjGNapx2asOpgWCcg1D0OqFsaxBDGIzEsW3o2mZgY6+wEI7YWZDDoZVEfUK83nGvHPei9
n/k6cTHX2YtYo4ka/RfNOpeZ+4J/fZ3VGDVuZ4NRLGsd59HcPCi8Onxc4IapkNsRA5/FZBBjOmS9
pFfDWnahCiLeXDtZ6flAV81NbWcFxMISXvI6WuLJ/FSRxfZMfhKDDSDZhikU7899u46lIi/+xFp6
MzOvogwh2bcCGpZhLRpzTve5W8dbjWX7bLVMYxPrDeIqD7IofizrUMys+8+4ZYInsGxEvcXgzKt5
iczSBu6nB64EXzZjF1+uAzcYr4wAHc39Lq7fkDOE/ZTwQ2Ot9Hy+6BXbtIRgm300VYsLHK09ZcK3
cLzm5lCe8np8ggDFT8I0MFnUVmM62DAl7ArjvVzHhsIUMTesdmIuNkvnyIOCrojdaS80fl5Xxd25
wHR/yGL9ONUJilbRDTtbJrChnIwPU9K/FowSjiLulkBNxoszd2JHbXp36tdrljeNP+ZiAU7n5sZ5
tqZ7MGrZvp8xIzJ7nTcTAmIwDxXCDxGoh8lQ3OcSb34dR7ENW0NRHKZhrBlrCiM4PQphFvsEZ4Gf
FhW84FSb71vkmx1vF72G0n7QQ/yHANZW7pvz6NTDF9NlnNYWuL12eMgsajCXyXwHK8WUw8p/xHhS
xGDeOyQFNk0Rfsyd82ZP+ZfDhAbF7NKKXUEzENP6eCq+p1X9vuNaHixaVV4o+n32Wa0soIB1c6vq
juFPog3ntFnomFwSeW2n4H+5Ajd8puc+IK0gnnj/+isaFaJARW7CDAr/M4TUn642kCOpMuWryHn3
sAcD3TEHFD3MKpR+kF0weGy4+BQbL6UCtbUWQvmpeDKV5l0VDSUbeDCe3ApxjGQtR9zInAP6y+9n
N4SM7+rTts/axI/iuaDLVR8vMhrV8UZM80PX8jTHwEH3Wch4aXQHthbo4ttQVQcrhxOvrdjtzpOg
u9zm6BmKbgNLrZlDOe9JKCRBWVF2GPfas2JIHsAL4yJBrSoe17Pq7Btpy2vV5MHSjHCVdesYjvSy
CYZpiTY+IJHX4LHnS9YoBoQG5iqFvOq65dtY00pgl/pJQVcSVnS2xurQKTlziK/PJfqqg2OLOvLq
UngJE9W+1ANvZI/RMOtTdubk+9CtXgd7+skS9pYmxns66ndTQ+yWn0b508LnPzMUWnya3wIA1/dV
VzZBmtfPQ0JrxKhjK5PZa0xcG30uo7iIdglWkV0EQ4wXUZ7KBVdB39zbmnWuLAWG0ODlJgyquRjo
aj+DvcU+1Pu9jX9a66nYncqrdnAfXSM/RyZqtoEJuVzuiVwCfxi3RMmxCE370avvhqEtWbX4Xnac
nDKOQZZazux8INYAODouePW42aMn3ZAMvOy16DB27o5B9Kltmr0s5akd2RRohmFg3NZ4hJr6NCuM
P+ZQPs45f2+kF21FY01HCKmsOieQfb3WUeRvq6cYgj1AQ5t1qHGxPsYab7tWaygkY6Dr7UVWCp0E
BCP7rq8/rFzP6CLTgMeC/kRJCYYxtTdgTC+NCDRfv1g/vRCPgeliEk9gDVxbELrI7qrupq1KSp1N
ejn//l3h/zUHsGmuh+x/cwt4IOld/OkK8PuX/HEFsH5D6HR1i7wGf/OXaR9TPgfYFSqjDVflX0on
9wYAYzZjPkZjTPwcbMi/K50GSidmBey/rLuc2t2/cwUwvy2+vwqdrgZry+B/2dGkKdeJ468WYLxJ
sVcbxsjat8wnlUSOvrX1nIZu1caPRCpGYC+ZjOGbW+LV4HmrNm0TaThtUCuDgrHIlROXzUHPPcFJ
MZv0q7SsrOslGevzMAjm+w5b4uOYOsqmBTBTZ3vRygsrpgyjbujTzWuHSLUxuMaJjEx81NaijVgY
xQmHW3SdavRA02yViBtKNOJj1E/9dS7ra/inB5IfF9mgxFvSYQfr8xEijdnP6b7xMqx1I20SwAbi
4tJZZkx2PeqXWdvfLYPy1iBofmF0trVfaSRBqwN3wBPTW+TytfJqnnX7pNm0sygaRJKNpFZu9kdm
sY8dHlF0SoOWGFPPh6dJVtq1ZzZTw4sFdezHroZ0p5K08elKjFkQK6wMAKHzaqsnqmATKQ11X/P/
fRJRJc+R1JEWcvoMv5qZDqops+MLZZQC+GDtbXkh1nFSbhJyZJLWFJieg9mXJoUMxq5yEVUnHUc1
GwZl2btickh2DVV1j9O3vves8pgvibjGgUQsf8HUxPtLzYJmfMq0j65VrNFwEyUp5UwAo61zIYfx
ppMsFVZorKu72yT3Kk84smRM5+4oqsgO4zTIZ6N07yDk6zScZ8tblHjySeg43mIbg4+fU06w18au
PDtt3Z+zckl2lmbTE4a0cuq7PHxyFIanRuvHD30WgwfFYayeYnpHXpK8rfaUP+DOtuoofqQT3b02
FoPchCWxWhtzKZ64l3EF6ynr2TH8q/E+Z7Z4CTvPuEzkmt8ooWvnDjInreZJGQhqVX60+G1+ovPl
KPeQSNm987dqKRfgsm75kA6yfDe0BqecyLsHlc7Jh2lZuJQYvyfnkHHpZQKh9oTJhQUbiAnSHTkc
9822y25fpKnYJl2IzUoOXge6sw3NQyvs+nnOtOkadwebZ5IN9qXTwQqZnIX+nRBPB2NqkYW8fxid
2cjUIwxW773jSvPIia74wfyharYJAkEcYNxvbqs2S854x9KdlU0x9ayhcZ/3OMe3VPkkHzYFKEEx
huFlTorls43rfBfBaHizCoufriqM+mZw+n7GNJ9yYyi4/iW+U0nvIeTzgs1MDuZdIwCxgKWwi8uE
LwHGu9r9R+iu1w4jspM3Wu1C4nGm3D4qba3yy7Kb7vu5sk/l7On7zGkcRRhqdr8gyQAa7xfnUeTY
XI69EVHWMgqLNk6v5EqJo5nGojZmGr3tGCQ/Y9oz2J+zcJdbev2UD6KXQJZBsNKzMPoVwuGuDMFY
s6tX0Q9JFOcW+oa+Hypiq1Sicnxg0HwCfeHcDJUOpiPjbaJeamm3VurSvua52dMiy+Ju0mvzMeph
Sut1ne1S14z0TR9plBaJuix2PUSIbFvypJ6Xqm2RxN1l+pqmqPocptDYdq50T5M7W0c+/dkV0cW8
2WSpl4uNjmne4pAjhy3jq7jw+zIvfoR878vFjml94XJUZwGYmASSULz8LOy++ujSOD426KB7uLqc
I2AU7Wu3Si5jcEpXpFCbXTO2Jq1qjrcb3E5zOXZ26gejM++FjYXgBTvIC5MKLPR8Yl9A8Oj0jmG5
w3aJ9JNsQpdEUZiMjEENqTdX5Cj0rTLC0K+rblwPtda8n6JueTGbUNz9/SPB/0z50LQYRf67g8PT
jzxfB6b5P/y/lmD//rV/nCAIBGGSBm3KUYFM4T/dQq7+mwSVyX93HNc0tHWI+c8MEZ4azgkg1AzD
hm/JX/1+fjB/wzThkNpfzxff3Zx/5wDxF6TlmsGHK+y4QDv/c1CKwvnr+UFGTTRbM7VbwwvonMNy
AFO6yX+QqP+/AKLyWv/kGFq/mWNoK1cAgxLDzT9/MyBBMR7izAy6ulx2ehIPB8eYqbLTYNL/8su4
+c8T0K+0O8tdf/I/n4wswBdgDnAdcm5aE1q/vjJLjm1ijNMSdHBwYOyEApCtI8hvTJOfNuHAQsxN
haiGu20iWXA+yJL3KNbC68RNtXO59PXW4eKwZbdisgn6h2FriFl5Nls/n+d7fqfJnnaIbNsD0PYj
tGKfWGR/NSgIb16blv7sooctuZg31QL1CQOHYpWhW0mmSj/UXIaZK301Gr2NG1Vp/ExpRhv03C8I
r0uP1jcPQZRLdze2Wg+DSJ93YxKnV+NEj7LmwBtyOsKFFjviWdmFOLtC0/aRZKjqoGMyZ/XmfRtR
QlO2jntRlJH9aLN3XwvlcsIJ6ZoxrjTQ0hVKYuyhAkVrurGJmanpTbZ8ev2EgzmHjn3qpceSti5u
MpmSR6RmVrxp6BEPWtc5t9AECK30cl8RCflqWq6Ffr6umHVFKTRocacnS6m3qHmTISn/XldaMmYe
Y5XM3LKFVZ/NuiIP63q1QaOIz05lTfFWNDKqd8O6kpcDx7GNtq7vBIxY6fGXPAoo4XcQCsaHaiDw
7qx7w0gev9kWDMheqLCab4up5F2kLt3zmUghuxCIX/GtRCeImNbiTOPHMhy4cPZ3hsYRGhh5FN6n
eqoeGsh1R88W3W60m/LcZBNipEQOfJv5gSn2HuUdrsDspluIiIHjCA9eHmY/S8cUWHPiKodJTwlC
7YbGrZIe8U+KX6ftgCvQCWhfbF0EcFIFdNpmzSU+N8IjWt7YgVY77kEMPV6AVG9+0I5YPi95wbEl
Xy/cmXLGcxPL6Sf96cI39VLbUfGsgkaqcROpAsRURk7csNL+e4PdNvjuNtZQDmSOcm/Xl70B7F5/
8loV1Ihr21bVzZ3NHqY2RVKEb2nvte9pFIvnyEDqqKbW+OI25HY+fdOEZfO0V5c1qPx7MxyaA51F
8ZtXVKIg19sX5lVrAZbfGpkXdj7ei5rmND4N3Izn0Ntq2hpOprug23OCFNjWJrOk7a/luI/ab1V7
4gTqvdTD6Nnp29AOwrKnXTsHzBcwbavf6hiSop/JCuR7Eq9BspJpAm5Eaj1BMPGR7IsuetTTNh03
3sgj55dORRFhV1iXs6ac1z4bXDrd0jBdfHAJ3k062OrcD6I8CMCIt0B1xBUjU7cMIJrL+0WRoMb1
To5m1yx652AJbAV9hQmTd1o/tK90apOfrnDaezyQ2WOk+NM0McdB0bGo/C6TxrqZQ32tiTN5oSVU
t5uYxPh1lcAJ2GiLMT7CXcRODcCeMHvGYnabzdhxODrxa6fEyD4P+gS2PsvivSWkcZcsvTpNzFpO
pl2Jp4zPFlEwLhGf4A2xZoglwv3MnQmam6Rdp4+olA87Gx1YRQ32xHxsP6D/2fwmJvc8jkb/WksM
nn4xJ2mQthHHdBd36ZbGhRwdS5P7vD+avVd/QUQcCdM0zjX9sznhCMubXkNhiS0HbLkxw6bap9oC
xpcxfkDokdYFDC6IVAYZooRavHIc4lOvZbofcRHaZg1ZKhp+8dOYfG5CV3LYawkokFCMDrrtlQdj
6IcLBknkH2tKdw1a34imZdxtekJqXtrmJ2yE6oJalvdmQMJTEktsNxD0tPAj+DTSIQrXOaltxvO+
ClP9yAQo25VZgdTCIHbXV0scMDwnGscmGrRDTTVOzkortXS51HXH2pbYU31l0sCHRTMj5dN1b0UZ
z74qh2G3jJV9dixMlZ0z8JwNmnVyOsvZUhdqnyCjJHfK7Jej8mb9mKZORGt6TuvrMHn4ieKFCjUP
ROVpjgu1KyNqR+E34LrRmEEYvafdDmyA27Iw+u2s+uHY9gZLDUIzbc5VNz+sXLBgHOvkaqHo9FKL
x/ZkRkNFi+UYbjwEqKMZA0eMyBZt8NDiVtewKsD5jzbL0jVBUbn2dtG84Wxycr/TQSLeKaeGQ5Kw
3JCONQ5TGQ0XUMHZO8I5zk9kbMRb1xna1gzliL+1pv5k6sCBrw2Jaq5uzcmGCYKYiqujrB5Rc+en
hrKirRcz448nl+DwUDbNg6LKceO2EYlBJ5/bTSaVdaVhXOT6pZOsy6OEvHBLA3PiDHuXDlwybfS1
Iit43rkcmBMAClxMKqntmlEHAUtmYKPlPsqhls6FUEt3ScCyPU7GHJGx0ZjPmTnPqN9T2HHD4muf
dLuhsAUITHciKWYeHXYJ2gPTcrrkku1tpVkzIgMHsHErTTsMjt3um5wNZkgBCxKdS2+4QSQfxtyL
Lf9NnKciLG+XIS6ZsSXOASUgObEYfoiiKjAAKH4zZUWv44A3grcj64PWpZx1zjx3mycdLHnJccPR
rcjXZ6lhoMlwh2aZSW85mPfrtJIl15628o2FnAVmg2I3h8W8IwjNFZWHEaPZIuj2aefXijbkgIat
cWtRH/pBJCb+nAEQ3iyj9r/ZO4/lyLEty/5LjRthuFAXGPSg4Jqk051aTGBkCGgtL/6mv6V/rBcY
KSIjLTMte1ZlNXpmj8GkS+Dcs/deu/1KPax40sZmuppiK8cNUXGxjVwRvbUTMZoVQiZdUIZVqBDA
DG//ymXXQvalzoYdmdnkUY0weSoxmDfDiFvIhy/LnWV2WvMm92bvpcQduovNId5rqudx143tXNDG
2G8rq/e+19/9JXPtg/H/+1DoAkCmSQ5noGUYuOS/D42f325jvjv/+z/E/wqqJsBLzTmVxi5cc/fp
pn04hHtrE2+01bzzbliAE9o56GuoCut2v4+3/0SxWyb+HwbTXx4DhDxbxz9Ag+FPI3c0qiwB7MoV
mAN37oa7HJiV5/A//QFtOK9BSXWfPU1AaMEFTBGVFkOmbaNtECc3uRuQyn2gvIu62HWJR7kLrnCK
bGuD4Kf9UKbC//tR+k8Y+o8X7YcH/JPRvx3xKFMmlW0sKLyb6a59sE/5tbUpd9kldsWNr70B88Tj
wk1xTWT5+975L9+0j1qLP71pP/z9n44NKDhJ0SwvGE7kMvMp9t0U2+jkHDK/eMzemutu1+///jn/
xLH+85u0vIk/fFDcJi9GdAja4I9YtplWKGgA1bpObpvrckvq8p9e5GVR+6cniTdzoaLhEfn5uOIm
dZUSGMhoT9BOHfUC22GrNg6VBqd0T2XpxrtGgLuoD9l+ZW3J+ev75B8wfuyr//AQTDIjLC/4WC5b
c8dZMH8/POcidAYkxIzya3nplP2mWpAx0Ze6VYe/f3WNn//Sz1/Dn85mgte2sYif8WTTt+dq7eyM
TbtjX3U9voH13XDFviKZsIJb+chGi8jeeqnO+HgU/yrD9N9zeYFd2/1oh/lr99PxLfzyln0t3n50
P/32e7+uLsxPNk0p2LwBmog/Rp0s4IIWP6TLGVogZ+zflhdCfDLBgRqegSuJTpzfk07uJ7rU+O+g
oVnff/IvTN4fDM7fvzGQWriQux/sFVyNOt7xP35c+5mRoS84fXtJterQNUrzUJCYGVJtXcys20mu
y+rCIWrdRfVDlXhwAypabKJLgisbc9C3Q9IfHLoWpQcsjMTNTN6G3mNmlywy/+Eyxkv28/eL5Jcj
2QKYDvZEBKA/PmCC5G2JE9dda07svAlkz8chADnnJuaiHVi1fQxVkl5OkfA2hHUU540ArbmIuuBQ
Ou58Y7P33nSePWD3pIdvMtHgLeI0h8i14cQbWUwLiSuao9Qb5xWMoAFVPjHoeXccN3lJWD0YPtNp
+c0qyvY1za3xWWCeqbdxNCYnY4rSp8xeku+jjYV5H1X9M8upUFEMRsv01chW89IQRnGogrjJV5Ui
I56Pk6Y4ogQlIkYUJUzLQGty4lKuMnzHHZJohyNNvRRsPhkIgwDPyhxqw003je2h0J3om9Mw7Pu9
DOcDZVZ95fPM3C3njnzYVDkL0ywnwYUpTd9a/dht7XRq1/aQUx3XZERnLM1NV0G9ODUQnY6a7qw4
uh3orsKtMd4Wo3mKG685ZQj6B9ELtRNdHhxsEw3fH+lYveMQ7UV+5Wj6c13Q2I1pgCZzbZzoUub0
z4EpTGt69fDakjPnBnJFLXWz1cq6uizNGeZyH4TXDdidfTvI+MzZNTl3Fq8PUHh73zSWw7G0TgKs
W8F0l+sWw7weuw/T0BlXDArBSrAn+rLQyVlaN4ZiItMLnLs1Egdh6TjEM0eJp/s41nOzj6LZuZ0S
XiUi3sbZaePpMS2Ucd1QSrU3Q8gFOIBzmA0W3bDS1t6htMx7KFPRZdxTA4T1WpT4YLTu1s2ShrJA
Y2DxQ+va61iVtb4mnIOuF4e8R3SlDuSc5Dy/TVaWTyTlwxlaituhUy18TN2neC2DfokzY4MNx9v1
VZDdxzUStxaZatuqVPF8ZHlLbMc+ZnPn7vXM4mir0cQ+yM5mdQREqILB88RO0mP4sce1A5f7Du5H
c0a48N7LKqgPCTZCoDrJeJB912GYglUxWXr+iLYfXBkqJteFpQziDSWuN73eN0cC6/pjN7ntW1gr
6yLTA4oGMEiQoBuTbnbWVLgGhj9XmCiBeBH7XHMUbNtdDVGAmNWwVCZFsSWHkzdXA0geowW9vmJ7
2xfkyWbyaikNbmSvRAevBbAB4YIAT2Tvc/QYPk+WjRaW1BEuxIqm6xcvLOYbeKDuA7ZNkAwqCZBx
YEjOkI5SDvB+0YXxG1Wx5VFFWuCeCNgV7TYp8gxA2VLz6SyFnzoGLGM9VIlWs0Eok6+4HOxsLSMD
tl3V4bhbuwp3f7H0iWZtzcdgKmGYO0vhqJgN8UV+tJCaCShBv/3eTlrnssLujeuEsxDm+7wISF0t
paa5mZBtTpeq00wq59Qs9adC04Y3ihTURbuUo7ZLTWqm5n43OZr3aMR8GH2v8SgjTTVxhOQGHSlt
cLqEo6afLdX20g+XLlZlGEBRp5yjZEOBHJENs+e+r1L8ckY8USkZlDqx63Ic6Omm8K/oNjU0IJ7O
SAdspnmK3LQjb2lZIAMTUfGwJ9iYHFqTBllq/qyXPIAV4hlmfTUtTbNRwTGvammfNaKivmUHn63j
pZtWDGN9kUune3Fka943S4et6Sxr2prT9hV2quJMPAT0TbE038a17a1zis54oHPXv0QfHbnwDsZX
gk9hTlyIovK/n6LEMiX9fgNcGprMBeltSMtm1Wx//PzHec3oGVIrFK1uzXl6jWJ8EWzlzlhXO/uf
JrZ/+ls/HVr4DMWxFfK3xpW+MlbFGmdQutmSX+VegxfPr977rYu5Zc3HA4JK5P8TYVz80e3MhGGZ
bNoBTCAieIypfxrJs6GVtkg3wxbwlrXSU6Zyuk9W9ivZ00pfYZnZ/MNLvDytH1/ij78psX4IFzHG
/ZkDXs68peS10g2FV8zkET5Q3z10vtxFl0S3/qnQzPj5Zf757/30HGeSDAR9SG+Hmb8ewnVwY6zm
+3YVraGUBhufklS4YGtri5gY+tH3A8D/TMT/gX2fGZVX868n4j/JeL/9zq/TMEIeXqDFcIN5H9MN
b96voUcJDpAovMNgxyCKzvfbNGx+AmbrsW/SxZJ9xKn/m5Snf+L0j3GHiADYAKoWgQL8i4HYsv44
YH6IeWw4nGUWhgYo5MIG+OGCQOqQZWkoWmokiuE5rmX/deKWc7BFo251o4rPRm0WBw5/xUPtatar
VO1EPQHO1TKPqBXtevsqjEZqRjx612U12VzdHaf5RogguFZFbLFIMrKnRkTDdWXT/hLi+yVZXzpE
gHsTRmAmt5TkoZEUZXhIG2Xda2yAnrBcN5vSk8lDXZPUQruAcSusJvHbdsq3Gte6+3SiXNIWpfk8
VtQxjIzkzAxmP94L1xqRWfAeXzr5IF6KySJ0zjEaE6NpebuR5hk/GSu6XwlZhgdRmPIm1dGRGPln
YF0GYN13GQz9zVSFVcZyE2MTdh2TawnRHUZWwULP73Rlbl0H6iZJtyHqFg1GTyEnWSFLgAq3vK0x
d7uqAMjCZjt5TTQTWkFrkGtbp/lAhLLTUvVKLJn/aI3H9RqVyviqFaV+B5DdOAbM51vg391xsrn7
ZRhkP1uqdl+UPkZXXTN59cqznKZet/E8cXvBCoMnpuIUY3Yu0pkE4Htbe274PnQVRUYEWvUzAw1w
3yR2MAvI8oPR2kwwY4TFXT1suWiCUy3qLeZDT+7YnDvl2rJ6s1+FkBBaTMWOZW1jC34r8fGSGgd4
4c8IjzqRdyv60sWq2Aee3R96LW9WTZrnLS6kWn0e2UgXu2ZsaIkB+WLuEwLmGMNpGTuwA2PRLsa+
YWtDGfKNaoOyw/VsBycl5l7zx8KezE0DyYZoJsQya+WxoHsrF8NDvlgfMhXPew4y3jOaYPXWeAnU
xlDFwVYfCu9YhG7KzRczRRmm42VHdfMWP8sydGbONTA8m6c2JVf0E1gs9dMRzmGAV99zSt7/4EPx
ZGGJ+ql9KKFhvaiiziKQFotUWi6iKZCF4TgizO5G12jPOWLzpW50OiBYBFd6YRAEFhFWdwMgDYsw
OywSbdmbyRbrULylu8XywVhUm2TRc1s+F2zDAQ7XmQwu6kX3lcQ5WflX2rPbLNkV1yVDAnHP5s67
yifaTJheHTjF6Gr9Ii8XttUdDZddbmDBcjIXGRoaSLzLZ5zKXUFaIOJq5BvSJLgh8mJTLoI2epFz
YTaud2aLH7+bLpTZZpHAk0UMLxoLtXYRyGOnybeT0UzHNpPkOybIh1baI5EMLiatmjMZxntWt8Wy
xDVVqF3rQCE+VFulAAZE+RXV5Qmdz2nQ70qOpgRiKo63q6wDpA2p0HbpIQvKTFuheRiviskth6OH
4T2cWDhDiBdP+rKEVlHcnt3QCr/ay4o6FmLcVMvaGkbS9GJK2CbFstRGNNF4mVl0h8vKuzdIzAzL
GlxlU09gCerumDfRCq+4tgs+lub46PUN7s9wlZq8ikWtphsKAyia0Ud6ZCaVAE4fsgCDu8weIfyA
AVt29vqyvR9Z+h9JV7fXBnlBLFts+UOqts8S1euez75aQ1Jsd3LRBQIQ6r69aAVg1TEELvqB+yEl
pHHtEvesRnvNsYuaIk6N+hc7EWATjKwQX5SNToBaM7wCoY4OCUeho8xRx3nnXG3T4Uw7GLUGNsxq
vIA8zdBTmuCGhCFaC9Kdo7VgGjmpZpzVamtbEheiyWiMj/3IJ0SWpn4ooOFfK46425r+tw2eqOyq
VwSyR01ap0Gk4cpwFAwoK7Jfxg64eWU0kOAXHI4C4qZVhzwkAJSNFvJrGuc1gcXaMXcchnM2K3nH
PxPo9Bicl3Yxc+kZy6kp+tLoZE6Ux8WeNivbFD4VWsTILLI+zOg2FCsrkt0z97v6RY+WUjOYSRSc
yUJq8kJTS/GZbYOw8AGKa49BUud+bMdUY4sXwx7jk2PN5qG3CRlFqTN/i5ditdqo9Pt+KVtL7KV3
TY0Zlu+ATYUNfOqZb53RrRMKC46aufS2mZNCJ1zK3PqmWyiyTqQ/cOZAXk4FMGaKwYc3mcQBJxmQ
7Dw68HQntj3dFltp+cSfS09NVOR3WD2yWwy7YmV6hGptWQZv5WTk93kjRr+Z9GYTLHV0RqImKDkf
LXVxO8v9vFTXOUNTnuKlzi7KiJijEVFyp1XtcMGtWst5nSE4rkM4e0C4zNyFvjWkxlU9G9MX287n
bQgL/l52S6OeF4Tko8F75d+ChmSWqYj/QRLoiXXXebdzl3a+EiBK4ysr0rY9axCiI3MS30GuI+/l
aGLwu6yNj1UeJZxYc32+0aHEAdB3nOFAwySl9SH9hjtHM7DiLYCktyZMS647BITa1ISEFgTNsTT0
aaNkPeFNLCG0tfB6HqjW1hlTgjpE4sA07FfCqC6tAVPupsBj+zLO3rCjxDWHGIYZtFvRJgJ+hQuH
ds+arTpPZlMfSR1NYIuH8WaiKQx3Z1BcQeSeH3uoqlvb1MbT/+yVO3X4gkCmC52dLmPn34zRX4nV
/rhU/v2Xfp2jscCTfcWNCB3/l9Xxr3O09Qk4louV3bYWyNYPc7TQP6GxY3AHvUW/MCff3+Zo+Ykf
sFLkoVFXzr8y/s0YTfvvHw59LJYlJeHsvD2W10gi3k96l1s2rAEyxwRSU7rvczokVwMhOMYwAFHf
HFNLH4tId2iYId6z4+5JRl8XuYZ5tU1P/dioB1jL846WDXL98iPjL8w8uNI90m/Q2j3BDRqdXVYJ
Ya+SujNvFw5t9ZChQkMBGUKiHQ1thNt+MsJtnOKa8KvBIU+iSsPe9UioF30o1W2VtdG7u1AKdG2S
d1nkqivRowlnC80gW7gGA1unz1EF62BaqAeUhPRrz4nlOqIP4lRQjMdlYyElKCBfj0DrAQpM2rQl
1TpfO4XIdznPHdMIDJEnMyrdEpsRJavWQmQYc6qP/bZL85dmITZMC7tBjYHg1lNMF1U9g3aQC+Uh
oB/hKV3IDzDu7TPFu8aTWLgQ+kKI8Ka0A7I9NQ3QEP7VPhPW8Gx3APBAYtjadobPfg69rP3GaMg6
NFpoFCkO8p0ZGO5d/gGrCM05OwdQztHU0er9oWLzNS2Ei4jR4ATayDKpbDVhP5Q6N3FgKhTa1RjS
kb6MyxzS6bhxxsWQHliGfOoL/Cp+VQ3uJaN7cRV0k1H4tm7mONIz8SWyLPVuT8R7/MEBp2p1Efav
RGvHO04MxkYNwXRuyZRww8jo0jAU1Uar2kuLeylCa2BTPAg6OMvRfejGJGjXkr6IxyYKcaGg596X
yshOou5yCgv7agdsO78AVwmnQR8zbeeMSQPCuc54M7LqYkzT4kuiWod4YzkVexv78bpOpviVV2zi
2sq8f+UuFjStD22gTY0DyLS1rXQfi66/M8MZZ4XVyuk8mEXwnhXsRJtEpzLHweOcrY1ECJK4dTjc
almj9SuVTN24gjspLsKgb75Bf6fcU5sT92sYSOOuMOL83TMwf1hNB4Nc6Mq7tDtXJ7nUpc1lKar+
iBWwJCHnapQGkqfJcDSyaPZ7J0ofI9g7m4phe0u/BChj6vS8bZXm8BJH4sIXtdDDA4erBUGFtYvF
LwS6z7XbGl/HZsi/ZmkT3DRRgmOzLTxrHZpkzYy5ntvVlBr0PGXSoC6D2vpiD6aTJnN9WcKTEwhw
67CYDzDOPmTLsp5Ws+ku+ljgtym7fKbzcs8CDjV8WfW7wxifodsFux7Q+DWYHXUdLOKAXGSCbBEM
tPxDO6BFcBNOvUkCjEJMllhNVG2aD80hL5romSvLxMiuZPvALmz+HKpcvzIWzWKaAu9QSje9jpVx
VfW48YZszUb7SC3E2hy4+miLBhJKQp3toosMg/Gi9YUbrho7pzgitSGAZaEW7sgWBBtjstujKqJs
2BiL4FLmBdpL6/XOvlQhadp2EWciN4kPTPjDTTn1aDf5h47Dx9V+Food7jamKsby+Zyj+owfClBI
QgUuF0gFfQXoZSLPt+hFwdQXh2ERkdQiJzVWbHI4DzWCc/vIkezwGKbSp8Fsi2tyK0O3TRaJqijd
8SVI+Tr6Zl8gYWG3Tl7UPPQJzOwWMLRWevbrLIV76TkFcfYPOSxUnXcIwTgeaynoby0WCS36UNPk
IqyRXmJCX8S2UDnJJfHi7JjnS9i8nF26iljrPDS5br8Zc2W/WPB45X7Ik/nzzFacEU9rFedaupZS
f9ItviUywZaR2I3Dt4rKqqeopUHIRlmr+Vx2icGwFUSMa5V4JZSCHdCqA+05Bsh7F9Cc+dLz+j/V
DR5SftIDQoKKWkLVl5N9bpwsOtS6DM7jyBqjn1L9KPKKsgCwov1LH5bFTudKQZ0LcK7ltBCYfs8d
iJxQEoUgcFynf84wf924U5Bcz5FbvjZl4p1toi7uwQ07ItZqAcZIhKNLgvzmS5DkwbPo6vjx349I
/9WihAwXiLYs9v569vnPLvu//6fo4s8/ldH/8ou/zj/WJ8km0MQBT7/vkgn4fY9ofzIchmDueey5
F6X8tz2iEJ8YvuiaZz7CRy+Xbf8vkQBGI4ODEUcKLEXkAL1/tUb8vib8fem9COtiERZ0lu24QJwP
E9UPa0QZc8hqMCdtrIlqYF/WThv6BCEheKTp0NG9MI2YpDSi10YAXrIFnMno0TbbcWyTh2I5MXB6
I0gEIrA52U5TscJp4FbqSQ1YIx1fWWjF29imfEh4gOhBJWN4V3rNVtv7gj70qGFi3cZe+ZZmwXsd
j3Ktlyrae/SGI9O3xGfhGkeXbB8oT8uFcRGMIUyNCX8qXHE0u3oKzFMbNIDBuqG6gstuXk1DRTaw
C4D8NoVzXYE1Wve8GwdqLaqLBIGtwS9YFRm93UG3GxMDK4pbDTBOQCJnbmMm/tTgZHSCzWAPm6HV
+XZCxtwsdaEr1+4LbOZNepmNmBCDynqNJ5aITmiiO6ZAN8ZKW5ZBDhZNAGaGMjuMjFa+HtG1fDtJ
xEXaT/eZtKJbnkl9LkJFn1Wo7BVVLxOeUtqxm0E/lL3+XAgHkHBNgXSM19UvLfOxa+xXCgiCfWuy
9DEkDPnSFa+RUTUXZa4z4aBjrm27HvelVAeVJDdePTmnWQxvfP8PXaxDcmqnTT6m6iKJAXCA6M7X
tXD6jU2n2iXQeODuBXYFrxumHVuSdzzRk++0OlxXmhM3tkJzzzW72AQgVFY1d6UV8KOzILawI3hm
1ytTTt1R6EMHpLyqo1tKiaNDlOB3CMkOPrQipyYiir8kJnx4UUy0b6k9aBWyi8n8TarsFQokOYqI
Rz2LiFx4W6xJakhmOwAybViPKw7+9YXWZS+4v7MdebYntxPODtk5Oid6yqptHL5IU72ACWUlRdiu
aO1k1XkM5INL6JwGyQNxkRe2NddY4jufjkXozbzF50UO9QdDvZoZlBF/EL21qgg6bGq8oVgMmAFi
UQwngxKSu1kU8Rep2eO2qztvM9kuoqRZW8l3e8m/0m7+q11Svx8NF7/f31xToXyUxVv75yPl8nu/
XFId75OJgLKIoRYdwTg7f7+kWvwIZYZLLuY2Vyx2zF9SVvon8ORyiVLRkWuREfpBm9GsT4YpHBL/
SDdciheb5r/QZhz5R/XSMW3+gGMJE04y/rqPk+2P2kwLOoKbaZyu9WY0TnHOilheJBFtQ/lNoVUy
m5etatXkoFdsma+GzmZkDwvzmi1H+RrZXvwlNbCim5NZPodCDDH0pmrOVwKg+y0dgsQ8elouH0sX
43apqjLd5rPstoHWNueZsPNlMIiJmGCcuRuu1nTmlPoc+1D2qpu8h0qbJmq+0md2u5QtBPI4oPpe
unrEWpV1/bRlYdMBJe9kzllhIqjgSqoNaVK3rg0cSPEOmjy11lLTr9BK0l1jT30P503o12XVWNeu
mVtvVRi4FjqKkdwxajv3RgK4ruwdGoKb0kTPqE3aMqAHxhvHVsZ7S6sr9RLDlN5Sq+TuBqszirVy
ZgmUr8A9q+WJ7ous9HaBN9A4yHK7BrMc2J/xKuBgCerCZKk9O1cNx8Ibl3RGQym8lh+S1plM36VS
gO+vyt60zMRin9ll/0DauXihyLu/tOq5Pote2hNueNOB2B+o7iExmuGMOKS+pXZLWEfqhXZhmaa4
hHK/bI61PL6sFmhIlYtgM3XLHzETMxD+kBcZfxAky97pe++pntT4KJqweCt6kxGXD5K96UdieZuU
lZri+m5nO53TewoTqJQ7jZPLlaLXhuYrvf3Gs4J8VIyNuLcia1S8Vlr84qR98HnO8fp3HcezYpib
XVuW7m2ZFH3PaT75UNAaRlhWhL3uN3xPvtF+4a74LxebUcr+JmlKZ+sKN36mNnKofFS46lK39Wg7
O4b3PmDQP6pJRAZUL9pGTXOy7gMtNPZgnNUBIngMMjTNq1eoRuTNwRBDwJnH+LlPzenCnQssHbRA
9XLNLRu1A5onpya8IDdO7YUbJ5LNjZs7zY7aycFd20FfFT4yoabhNKhNKAHEfveU904b/AnNne40
0WPQVvIKOMy4bnKnRjuvmJy92Um2lVbr01VCT9k3QVPIiysIYocSQLEveZcONrGTzI9VT/DZsMnk
d1NWnwO0z6vItpMdBED3aGt1ddCmLnqrw6YjphWW4QmD+XxI9aI9B06V45nL+9vOsZojRT7Rl5Zz
PwSZkIG7UtVDnwI46PqAj6aWvXdZUm0dr3cpoB1tPx7CEbw4Zm4D3M9h9rziKkwcXP+gl7TreOIs
tOKsJtZRPNu7iuTCM7ah5K7M3Zg6ITXtc16bk8u8dJ/OjrrH0c9KHOuvy2ddEHnfVWyvBcUIkciB
t9NYtcg9zYnEXMkBuLAwY42clMHGQCLPqVsZyEVIZJOb2iMm75s56xP2wSwQ3uJ+sMAI6SoDb5YH
nMpUTCMTVsLEt4BYqh0xE4qM0NRsD2xbmCcr8JPBJsmSCBoAPEuLOE0OxqZQp65RAbsAdIK90rLp
zLw7XJCysE9c7zLvwQQC0PnpSLxkFVkGGX6dUPzFGIcRH1RLm6mzmQF/tU5HV21AwRxoHetqBjGU
rkYvZm61AfnetH1tub5WmaPmG2bFIOFltEhWDrPiWtOS8BVW/CCW1CYGRH1wKLYAkAu1qm27F9pD
Wfzn0D0ysk2hbq+ImzVfh2iE6tjGjEJTl4Ao4noGtwgPQPbgjHNiQ85DzO6qwr2LWV+0myR0zBup
maWggYdapawS5kNn4q4qg3T+UrpO9rVNK8qRDBqzTgNXZkYjHIOCC9gwPwYTyFZbr4g1LHuB7Dar
Y/NFYaSzWMo1/buoyRCtZjRyrFu2eKUhNNlF5lQRmauy4QGIgbOf2Lvt61yT64L4FxOxRrwj7du1
lXbmQS9lex6KPjsS6tXBZ8ZBsTZpikaSIn8KDtCbW0r2BCgMVVn6jk9I9oK4APmXNUCK4a2ZcGfO
ICieRl1yGaHhry7oLHUxmHNzZppitzs+st5qN4y2+YVmUqHpB6E3hPgKrPm5sRPtPdbc4s7yRPKV
gz6MIfT9o8e+40UvhNy4WukYfpSVhUE2MlHfbDGmE6OoGR50s5LPsWEHe8ttBdbH0VhPIOSYEycU
skLvc2ygsqjpfsvKU9lp7P3Kgpuez2Ixf5AQqwhE01V+HJ3ZeOoF0dEBRNyJXbLaDUUezIQbSW7I
SLj7Lh68yzx28m2cJ8YjxOJ5F+nUIPp1OGtXxAddvoNj9NlL+NhGMLiITuld7zupRZdBA0Z1MCqx
SSGtvAlUcaD6YR4+DUGGx9ZIY30/22OXkxytQt2vAdbjS6tj5z5M7NrxO9mMFBONuVqXvc13dE5t
NOm4ppC10w8GhW4XdTo0l46NL9DHIknvYNtqlzQMaBzQhHVJMxSHClO52Tkmc2qvW8VWHFcErQYr
nTPRE46Dwsd83OwbIKb70APuEXKmXf5Poo2wWROxdSOILZEqhgPrOFiBFHsTRHWV4hPDNW3Yl2Y3
hms+0MRxZr6VTP9Ncc74u+TdFnunqmH20/fdGTetnVOHIpL8AtJEdV3QxP0VVMX8jBmi3tFxLIAF
Yw3DbJzvIrsheCWVul2WyibmcLPc94lFWdPgTdmhdN36VTc7+W70ZbmmApouadNlo+I3Goj8nctc
cW9HBJdaZpltBFjynA5mDTMn6I96FlYAAW3v0mi8NvYjz5ie8Gwv31RR3ELHLS5sALbI+SyhLC0o
HyHicPWZ7dT267EXn/Wo145THQ/tbjIn+S5R7d4AXs4XGD94rSLLnI+tPulnzZqsQxgHfJWnSXe+
gbwxjl4b6Kdk1JqTnibZwQ340PoxUiFpX7vWN/XYspiqeGkPVEOHr0XvsBwy6GZ7dpJRDX6WFdiA
G63ULyxG8EPIwZTUEzPY5ykZm4MtzWnDGaw6E/rydqAY5VrzQuosQs3uj2Y2j3svbqmFG3OIyHAj
cY2GycglNY+98N5yjB5bKFK+hwOEzjB3gfbHy802KhG0EzV2rAsd+Gx27F0EJmVNfWNKerXr5D1U
c3TdKqvcNA0eecA7E152DJUn5XblWbFO7FcmXcsmYqCX636EVMjVwiYGGXsF6ovK1UYLCLOusBeH
u4IHfBFPSpDPzCsDwlotcCdIibMoKqV1LxlXNsY4kzkkz9q/uSJNlZ84EXZHS4OFLvIeQ/A8Vn4Q
DfGuhGl8CsOI3KkTSLo1p8jKNqKlb9jLKFDzW/zdhzyW0Z2RWu1WFrZ0/Vbn80AkPMNhG0uuw8J1
TeozbewXjddVe3cJPG7Gvsq3XtRGF9SBE7ZiiWLSgaTbO/ysUnJUAORMNrS111NnjntngLrAFcqQ
57lgoW9ngdWtSiOYIUtLvTpg1dYh1RfJib7x/DaLhuaocwY/2ZmVcJmkUu065X7yTSjXoDPQG+dT
R2h14m5N2ekQWvUDGqt96YZa5K1wIpgYxBx8AXUjna9BnQx85+ELfG6MvIOVh7VkWIVDHu3L0uGm
I3vjdgq96R6yU/OcGpW3jXtTe/dozcK/zbdog+NqeHRiO7inv7R0/CnLrSe9kyFt2Cp8UZIjToFZ
/3o04Cv7Xtsn7zo511OCJ0JftRz1dr2Q82thDIvegUGD/UxJPTjOat08J5U5lNGuxS809iunjRh8
D9hd1INn1ELRa2bmn/tBqYOsLICc2CFsFAA1nip6bYg/6472uSnaxFrPcd0wGfVUmfuzsXTCulZG
hLQJG+znAYam574uydQTEq6TnYXw1VMFQDPHhgizN2yAWAs2I3Vdd0eAoOVn8sz1/8dO4L9nwumX
zcHfbmPPfdfnb+oPu9jff+/XZaz5iagUZ/9fWW3YM38Vo+UnCqOweuLNlJzaf9gciE9LPI7lAOEn
h5Oz8/syVtM/4TYx2RogYkvj+373X2wOgEP/QY5mc6DjLHXZPbu2w0Z4Ycn9uDno2VJMI1+F9YTd
fOO1TGvBAWAwVak1W03rNq3ciW+sCLrPrHMBwJdWnCZbz9Ap6bVl8FpnGje8zqFYNqlRYafaudZg
AjCDO961MSfjPsqijIZL23KvhJb1BeDCdrpss6j/nOX5gOd7cK0bjpsTBh0KopO1W/dNsXInNBcX
t+hTK8GJxhhBnpOyTjIfOpm4LjTTula9sF/aHMLw7M75FpvktGeTHcI0yanIzBOIV74cG6w9oxFx
cZutItqMuZWyZmPNiAA+xxdYGRlJi2RRI017uPJU3F3jqa3vstapLuBK6Y992OnXC5dvpRWZe+FA
T99i1+lOYVyH0vc8BlG4jAOjOD4hTWy7BFDlFsa1zeWCuPK5kGFGurMQ6apvGzjGadpzNoFT+5ni
T3xiE7ScjKLRztvB2VrO0NwnWNT8P/LObLeRJEvTT+QFd3Pz7ZY7RWqjdt04JEWE7/tub9OX8xz9
YvMZq3uyplE9QN1OA4lEApFSSKTT7Jx/zaeI/Rpx+SptDVBzSxV41XuVP8Zt6xIahw9kLRXAEIOZ
aaBhnIYbNRrOLkxDjK2MlYu7ItjSfMCvj7kp6AUOGxkDfnhRMe1Uo+O7TS/KkPhJSblsF7e3dI/Q
Sjd503sGTvLLgfS8V/6AzCpziQPbZLbb/nKVtF79hfTX2kOLm/pVfBCNiN67OR/URicSPBHtiQAx
H4aamJskBEzFfcCUWwVlWq8aT/FL2p4INwwoAyHSZpEcE3IDnpEdGbcyh3G1B0P8XgKEbbLM1bEP
ypOwlxBpUt9/h6msNn4RMCky/9r7pIvBa7Ow/kUT74wlxwBU7pcRKIk0luMwd/UhskZyY0ZPptS7
IjuGNLR3hZYis4S3f+ZJGg4TUZMfKnLQN71DX7jfNnw63NHft8pMd2NCgXHbjNOPq1XPY5NFSIaw
hPWuMV8WrY5eRDv8XqQzvCPtmO6BsIZdrwVCWk10XrRoiHbL6dEpqKie6yq+SDN31qYktmQdRYl9
X17VR9NViVS5GW3cgxd/yIH8vy2Yh3ka/q5fMgLdZ9DN0XFKfPOl1yonEuIQPCE57C/IozuWMRkc
UG3Pvzx3Ct8I4jX/VFW1tCib43kEnuscduMqoUDYqtRjbzfAc6ATKNF8niuIi/nFiqWxWWiMcSnT
KgJrJ6kfvulbe0aTFnSn0pq7nm3XEtYqQ4nwkLg9U7aLSWXX5S4F18R91A+sjOOyt43Sfe8Iw790
Q4k/nZRnH9C7RsoSREPyq/ZqcUrKhQiJqpFkS3ftEt+l9cQOMk0Tl2KtqEKfqMwefwwUtN9LL3hA
C9+bSIojVsEilglrovmWtTCRbWklF48WhbsaDx/FuAzyPaqPi6nS8pWVOjguk7Q3OUKFe6u365tG
VmAm8FEcF0O+bs1xfE3GrFp4NTLrBqqre5h4oG6jUUbbQarkGUZffqbKEB1S5RlUj5bi8VCMCxkl
eVrtetkw1Sd+WPyQ1LxAPM9m3WyQblBV3RXpa+onPHaFsNeBzYwDMEifsG8N4ruWcXbTS0s8sapU
Z9SHNhNwLd/jMCL/VflhdemEgyazHmecK6NHhjD/PeUn7iPkx21cMF3SErJJePO2KZP1Ea46OcY1
VoLzaM5dsEpDJb5mMy4OiupsuuEim+wi6X8XZpDetWQAfZvAmy+R4+RntBc29FRKeFRT+Y+6c+a+
xqN2KUUoN5wh6WeFOBLFushiew1aKfdWLbv7VMn4kPZGAuU0UpbnWjOyu2Jh9an8ne2H7blepvkp
ioMu4nhrvLsIB8KBlNrlAQG7g8NwNLsLrV7mpawQbAoX45kwy/Glj1ji+2qsnoduIQBpaUEw/W7x
TgurDF3m6WCgvsn8+ntshH9Wo2XT5FrRHdNz3wErskqkiyguSGfTHR9oCkHczn8w+8okInuISvrB
lU1BrGd6nPseVR/AkSanWj8FNSnRrnouhI9UNR/H8sdLhOuTENyX3WqQw3jyaX3+8OJIj+2EEM/r
1raD6YYQI8WwGAPeImYNvee0VO1bDQrw4dEGJNc40gAPTUhF+ETZG5gwLT9/FF1LiLbRRKm/j/qW
QP1eOOolUBOGvMWO+p8a3dsFQNu9bdyRnd7L4/jV5SB/sXpWzckTRHJPPH8sALzF+6pZUEWpWN1W
eijvp258nB0rxbk2xv4KoXDa0RtSy40V1d6lN6R98/8/k/8fQ+D/U8b4+jXU//6//hnrxJf9xTpx
6rk2OkawM3h8JrP/nB0pSLNxGkLmux4Y0D/Y4/kTvGT8Y8NTkdkr/vLHG9bfhNBfQ00oAyQG+n+J
yWfa/K+jo4Dasvh212/rO/rP/4HJd1HAyHHovDW75/jBg4ET06cAqV/Pms8BzuPu6FEJ/hmGwSLV
2vbU2Z9L69Qk/fg+Xfmh3LSyO9G0/tYYNX9E2FT5YqNRAwsMxnqb0V2wB/vsLlbljK8TH2kwJK/e
JK70qTvMaCuO+V86/DsbGKqBeWa8t+rmj6L1wvbGPy0L4yYSArxokeIMmWcdLSVT/rUkp7mEzscn
grGwRlqMXRdzdlvPmDdTneaJ+98uSImIesa6lhDcfdjSVGANvX1ApB5uxkZR5V7z7Bst6U+ctOTS
kQa3KujOmDaJNWLYzFzzpKLOXhMdkK5nI0EaTPWZLhzNzRNhAf1hci0qJ3NsKyn9uo+JQqtdC8vY
EELbbFF8ITEqKrmzK8IIPNHTBMnpu41TEWyqDiWULJpozfRrrywXE1IukIz5LtdWR1Y4OjC33EML
gSRWlrepkVatJwPQrWgFvRXuZN9FRNdoYWa36Yps2PYOzZ1WP8lbghDig9EO1WEicP8h8gzjT564
Jgmknf1hcpED3Yjoj0vVypYisJLjahJbAzr1nC+iAdJP2mEdFqjSaC7KTry9wa6MmfCLxcZobuXi
oCyzdlZgy/K3Q5OlzvaCSUv9KMFrDTSxDhkdeMmq5CXCDPIewIVskIpGt2WcRhAaudnMryZauPB9
iRB235O5NYsvoMX+OCIyvQ16O9gEreifIZooBZn64dhaZB8xp86bTIzXP4he58wGy8LA5K15hcFV
MYbWFnpat/g9EHxr8KjMXsXYCldj5Y04du1E2gKT5DvZSprOHL1d6Q2gXEXmPWN+KKmnqQV1F5it
P8p+zE5OE/KTh2jaMtrGzsmQFr+J7lNPyGqth6DvAdKamUtnJFxuR4+TdSbyLHygk0BtM4TzL11Z
xJ9NK3EBVH30pzIN1HOGOyU7G4f1DpE9i89geMUmsApz3zhhf0QFMtxRAObRZBZimUpJ570H4h9/
UZwOOAbY5eyl3aTlji47p8YHkbiPmlh4sZOu3lUht0dZpv0FJxIfd8sZWY5i5T2KvHIvlpHAHJkJ
uVU0xEL8CKmQZSTxhY8on1aELgRJV2YGSs8o2+yw9mDcCAZM1hA0yGfNCY3siJs7Ytl5MokiwU7n
UtKQUR1DqRycUpYFOOjHdMrOHbPd19TH4fewtDSgJx7uiTgOcOqh2OHOikxhfM7K63Zz3jsXe8gA
6SGGX2JZepDhmOjvLK71c+qRzrwK86gKibVTJE4kVfjajKGzyyLeSRi2MJ09SS+gnE+80stnTB+8
u/Z05NR66jq8/Vjmk52iI4G2BOwYqKzbsvyx+9n+M03YfNnPfAGIWfR3HcbAA9W4BnzBELZrH/L3
JmqcCSmdtPkGnSf41LqoX7UYlZRDFmOZg+0FhmZmEcI2U1Gua6ekRKiBVq3xWnWt2WLs1Ta7qguf
/DoVp2pU1AL2Ktk3pdnsEMI6RGjWr3GSGh/KFvWKiOlonSDNG7um2GNewcNeO3pPNXeFlUnSJZd6
Tex1uBbGBNpVdS0ZKLQolswWWxdGeOdEDsAsyAUvRWysG6CGjS2qcO/R8XFnk5l54OEGb2QCZCmY
1C4rmSFajKFrFTv1scxQXibKI0yMv3LlabSNPaTbuyDRmPqa5eCaSbkP4Sc+6yxGUzrFxqXNMygH
v0++8sEvDuggFk6CwNkVtcO6gwLoo7Dd+GD1s7uRHRguJwiGK8tW1Es69o/jBxGbIhnLC+rFtU8Y
1FpbonZGLsZtUSYhdFQ/H5SqPRYhOzmmOR+2mh++isd6XQZ2fmzs1N8lvktmlVdXWyy06tT2brp2
URjf1jhitqwtw8YcFaGb9mJ/OQPer4AVbUddCNBqh/NkFY+KQAJf90+QzBDvwYzBqyPZvU4kpP60
lkg3JErQGzc2klQJnGOS+VdPYtWW64VkmjgezlPTewcAbXefFdkp07n0sVMGRB0QApH3w2stKmMT
JeNCLGi4cH0P7iswFLF8bl21BwRRC27VlvxK+iIUkZKGCo1b084hdzOrafdRvUiNDNP3ZNmSvXiG
kn0ZOzWwJ+KUTdZ51xY3rgzb1zGtk5vZ6CUvM6wsUjG36Hdd11EDjdEmeYsnkR0JE/0Y/ElIvlVc
3gUoWu6SqkW1Ena/m6yIdy36eoL+nRCyV1EDZWNxgCcs6IJ27JslQ9Q7dCq4GYuI5Fn6vQ7Z0Lar
UkQwT24dfgAsRMSjNOAUKUmkU4tGAz/seGvLXpFA3yebWCblTtHpuoM+hEZF/XufIhUnhYb3Ee7c
/R5k5K+dcWJTmnBXrWTttRviPbrHpnPsU7N4xV7MvbNFrpGjBDTZpL2x3CIj9N97RMePCLVgr9WU
KX+VK4PiMcyg8b7h6JZ4ywr3bLp192HbTbeLGgkTWqGXhJZ3XZuuMSedghdQ5/o4Gq5xS0czWbVN
ri4yNKG0bQJk3Dx07tCO5xfSBdoT2fvehacooiiBJGPySKQaeI0KnyFCGEq9NDweW8+vy/s2WMKz
40OPUO8irIfJinMCFhfjkoXRz8ILspu9wX0Mp9B8xVuqkGnk4Q+iH/ViBG72xgQm7iseh8usUnnC
yUDdSiusAyk500s6h+4DxUU8U+lQt7CRS3k0uxYHx+xQacRVubWNyIf1Sx0CNAEi7Y3hJZBtfkMJ
QxV6hFSK5qHCkvdSFVKevdAIHICIdCHvVA5UIMyARPgI8uY8y9LY5UFi//TBQHnV2MbbJcuMQ4J3
/mamgnJNviNgDkmtGSH9iXeP9Kja0JFbIZ+ZebiU45wb7K/vxIsYb1TitQ/42eiIM5JieHQgn6kj
KLm0EDdjTJuNpzS37SefqFJWVgIuL11uLc/5VTWBsv9QaiWF0TXZU1Bl6j3ROgvnqri4ii+gycI7
A8RErAL69qDDMEs+O1rBMUPW7pRdF+teazzK2KhfQmspP1utAIF8j385MuluSasZLlgR4mcfRPIZ
C9JyVFpHQhIrkpJQq0uk1pnQre7fMuIw0xpzeB60HgVQQXfwapWKvApWZJ+O27l1sPxqk87G1NqW
UbbiD7H3CF4YAzIKuPv4WAZLiyBGa2MMrZLxHRm/ZsXQPuVaQ9Nc5TQl1/w+ow7EWMm/C26u4ptJ
l+2Fiw/LH6XxNtAqHUx9y53Hfw7bxCmreju4XvdHUOZwaEY22B3eyuyA4bL+lAlNZmkSJ0/IucSB
hEz5bGvRUNI2CXZ7LSVqUj0gjQUhPyjPIJpR2Ne/RrxUP1hkmtusHTnPUPLMH0zudUUi0Vi6Kyh5
uPNWi5uUQiw0XAVPHKF7F67psyIb5ymRCb+gTqwmnFKrphayNkjWRkkVzLG3Tzk1h9U8586psz0k
BP1VgDXNg7NtOz7+K0D24qvVWq3RMrJbKrDDW5eMTkTReY7iviIu+xBHFMIGtjkdGu10L3BU7tOu
pvjVUoDoih9obfZW/5ZeVWOZFpAlWkpGig3QsW3F1pOF197YGJZpnN0IAVo4ZMmrZRnFG2yT02x6
Myq+PK0nA9HA3QyJF+4ymfYtToFhuWWdwSCStAT5UhPA8ADy/4MzHlUc2B8k3eI2R/RKGZxtNoYI
vEPanjZks/t7A1/Bxa85N4GCYvvb0KqNbdb7iIC1OK+kQ37c5jP61lW9GO6zq3V82FgQnGS0Un2V
Wuc3acVfcxX/BeYCXq0VgUU+qkMBAkFA1JiAYebT+P4/BowABPjvNbDrLyru+n//t3+igeXr/pPJ
InZPAESgMnX/7iv4C41w/4ZmkJYBrGkSn4DWuf6HBlb8jVojC8sAUlfhmeZfrkqILM904bICaCfP
Rt4PM/UvEFmu+L99lZAySHDR2zqmtEz8C6Ymuv4BjQBpyzyrMolHyKN+eMsQkxDGnZIZhFO5uVdF
Et6n9lQ/eDX6ELrBrKzYdnYyzaRgjNOtuorHGjJVg1VNJgCisqo01S4fXf6XZe5SihTJ9voYSjc/
JKHpjLv+KlJTIbTwjm0w91dU7rm3gRi/nVTL2nLHnRDg52PIJ4kIWqRvnSJuIRpGVjsjbdx2pXq9
1cSeLDx2c9lXjPfU+4B0Os+dgcGP9ZmMJ2DH4AF0wnii6Q8c+Xrp6OtHJfP8OtZ2/GuJJKpKu6uf
g6qPH4krFO9OlfufdNt498ZAAAeOIsvf91mWrpto9m/MQhgPS7wQlZ8s9s+iL8xCX52GVXOLYoan
sRKlyaGNRP1WLWZ6GdvQJBFJX8DUuuJWdUFLQBJoG/ftBMOPvrPJ6tL3t77KzRIrhz054amZe/Ms
6xbJVJ8yAlhRIt5U08T3E5KVg+tHBVg82EXhVcNejWl1Sa2ov+9Qcb7zWFrnNFgIYUgEw7CePQrR
Wq/krLmPIrbG9dSUvIR6WIkEtsVADzAepx5aQdUYx6Sbmp0qK50HbdqfxnX+GbQDdzWOgwo2pEIj
MEr1uBTrwanSIxSlDPbLUPKiTsWskEIzb0168prmvj6CfhaXHnPZJZntDj0+yXCStPyz7VYj5TvG
eCumLtrbreQuSxvkHWQxBJ9sHfOfNCFIsqDfbT0l4/gtrVq84ZB3t5UMokvvd82P78WBuQ7Don2M
ctN9aGu6TWFFGYDNInjzxKzeSmEEezJtlvscF8U3dZvNS1JMHtIVZSF3jJ3HHu0DHsVpOLGCR7c5
AWgp2XF2eBxsNKEran883lhFfCGamwglsF0ckUHGwUo6Yf4kvDB+mJZa3U6diVCRTb7PdpXqvE3U
zBG4EwvmjTAsWBHsbTOWBctkIcWNiXCkmts5Wfmhuxxdb0pvEaN5+2TOjAe0MnLfB0bxudR+sGuW
xd74Gfta1eNIhJRMXzovL36yHMIOCVB6b5a9s09QSWx7aRR3YvLUF0xVSVR8YRw8psRVYwSKDI1m
fANO6N/LKM8ey4DIgK6z8gdAQHWh+S4/qXmiUqMn07z0wCl6bnvWF6c17/ApLtgXe+RdIxWGNWfc
vVllyYUDTWzHxJrvgwRVUo0vezXazqLnRH6vWbW3hjdZDxkH5dE2lP17QKJ148QCarEK40NX4Gi0
cgW2N+r+h5qmAydfiKineWJD7+r8hWpM3LtVNR4jsy7f8ghMcyAXLl2V+YQ2jHYIdGBhFB3TsoEz
bhDHPI0wTNtmUs2xL4v5veoHmpXCrL0x/YYGjKQUW9+NqFSqMxrAy8Rb53DyDy6/xmM5WOob/R3D
TM1IjWe509FIrZf5GwJPIEFDP2SymGT7XQRVpPb8it6X0YxEC/Z8Vg+5bfXnTs2CwzUv3tHD8qRW
DXnOWH/br6DzIM4o/KQ0UvaejqrEAE+xtMrwAMfVHFMs0kFZGdlQkxzumsalxtTCiNvPz2k4ZmcR
ieqHU7m6k0PTf2MSKj5Qyw5nl0gnfx2Wk/ooaTpJmJdnY2SFr8pbQkral8yBNgF7DJGD9mGt2SzC
VV0EalP1EJvDcOd0BYFIVY9ySKdAASHlFPaB4o7U3qO9m+eCh5p+D6MkCt+nNCFaCXOUF0+51rAN
q246qoWk/oxeyR0Zi8BPE7s6vVmA2yxsztAcOfWpyZV9R7u12RrjmwOlWTEjZpDt4ArQRmzWvXki
hBIWDOlVvxpMO3PWBkVnd2VNxQVpm8n4EEApwflwoLymUbg8+0ld6nJK07mE2FgjImq7iZzDeKZY
VCTAvlnWAJ8YSzI26NXnOtz14CsIgkdFnycxp/2F9gv7WBeB8VSa0UK/KJ6WM/x190XQVS0OiVd0
nDHEDa6U7XW//BHJBuwpoi4alD1AkiBC0m3ElvNAjzDbFLQByePcyEW0TbLJhjMzq+S+R5Z1IomA
r0aG2XZHi6mVyHh+qztPSR8KdkDES9dmNK6V4BTds3wPA7Zjo/gWfSVfvbbhpZx7ajhWzqjTdoeQ
xXQdQ+2iVMVYDiBf2oquFGxXxVZOGCbXWK2NpywEY0DYYiDmXIQGMBOCl6CKUSfUKkAaF5ut9+jo
mC9ee0i0cGH6VqoM950XgqvNTki+LD/4HzJSyWdymTPIl0woh/EFKaRRmyQbaVX2e22Y1npALfja
6hAyH7HchMZwjEnTb9x+X3Zt8upnfUR6AboJk3Cd50bnmg3liJsQZJcGv8F+Mhzyz6bFV5S+hryZ
PP8w3zQyAFeaNcgWgoYaNuQuu6oczKSZbzItfSiaZGYCMunogU6Wh0CLJLxUtZ9RZJdniNZjnf5a
SpKx/aw6Fn05PQmtskCzROwNVcveGSTY+aiUNz4ApZYXzA00bKg6MVcmuUPAB0jzAaBI64Q0VIMM
V+gnKTQShhyewmVUOT1CtvnuDQ36YOQBr9R/LAdSRMVrqtUj6VVIgjMFCBjGJnroY7P5jrXmhHXD
P3H+uPeslNG9pQVvSitUbNxL7Cdat5JeJSwsHUhseP+dW4BU9ZCQAbaZU9TcvO0xRnVLOjsJznWT
aXWMfRXKzDOZF2s+3e5WXZU0mW/fodHgqTKV9KBMYCCimwUlKY7rqzwn1kqdNEOzIzJnoXU7sJvb
QHbFK05qEpOo06Xwpku17CdItQTI9BTZQfUQNdG2IwDuTzMHIdQ/za3kSKEiKmI0O9Q/mHcKhcVr
ptVGqKObp7mU3Z2ntUh9Twhd6fsBtSJaqzRo1VI1FZwCzGvxVnJ5eyuSJZA4DdKHRBuv0icv0fZ/
KjwwG8wHcqDJ3CoqtUVrkAGNptkPWQnW3Th6CKoSEMn3jGS/naf1Vp5WXnWDaErYqiZDItPE5DRb
WqdFPBvbZlZNw0+mdVzEchjvmdfnj2XZjvZOoKk9GISk3nllhQxMC8JqLQ0rtUis1nKxqWiMT4em
gq/yqiZrYjqYwIURmXElwr+Dqtny0l11aIbyyF6wrJISnkAmMYOjWNQ9PedEDEuj7M6yMdWvTjsb
4r6yX2LtdrBpD8f4EOGBiK92CGdR/lNOa8izc7VLSO2cKPEGD5vpaqgwEtKo0Wc7za2vHRfcsdBO
RGtgxOjEEDHCwE4i2g+JhV1ZYQYdwBoxbsOrm6MgUu1epu6ob5vSOabV2D3ye6SPFoY64rTS2n0J
bEk7OWSPAIq4Okbw89kU+JJjeCsamT/6UkSnFvX0uPK05WQAVluQbgnAUKXtKNHVmZJeXSr/YzZc
tr3/fsPdD19j8tX+/icbLl/3F99OmhixnCyPJJd7/j8EcNp/c1lQsce7EDRarPmPG66QPrJKzcIH
KD3+j2/e/JvryAAVJ98KtoM2EPmvLLjXbwXHtRCtoNORyN9EAOcRDip5IogbNf9LUcUIou53eR4x
NhEmXDRd0W8COFVJbWlt1rc2ZBKpNXEmICDs7qOZJvccGeDkq2QIs7OsgoALLM/JEWzygauSg6R/
ZCoM3jsNURu5E6x5GsmnsZWznb282leVtZxbDW+PGZN8T6i2QXMtPwD6LvsXGeIcjg6a+lM9JMUr
x52xC4q63PkaT5caWV80xp6RmHMgHM3Z4iair6zN6C8K7fBjyofwhhHOXjmdsvd+BnpfR9V0mjWi
72psv9Iof6zxfj647kpqDkCn7axcENPtGHS/Qz+gB14O3Z1ltnwVp+alBld7I0k5XPVLmB0rTTWw
n9JMNKGZ6XfYGtIbCyF7xMcRioKwQ/k8xdLn8iybRC/qsBlBni4v4B5wHGY2QaxxtkxbalBgQdqE
iKEtoUrIzYwCFS2XiZFu4jZO6OCWTvYmIpqhJDvbShnMu66FtrsLyvJgLgrPF61BvkGnMS+ydyg0
dYN0ztgEEEBbOy6QRGqxXLso0uLGCfOngACq2JV/ojTvX31ND0VijPcjkziXiqaPVFRPuq4HUomh
Pd550I9wHUJ9L8NoPTqakOo0NVX1rbihX2omdc80dkDB+R4CD4rxSmtpgosHHEMpfpfDKHMPBhse
rNSMmJfTaTY7sGSe5stqZZprjxHkJugmiApp2lheu5Tq1VDhO9A0SY/d39QkHBn38WGYTPNdO1WP
JTrfvYp6CjlURWMj4MInoVILGk0rJuiIrj1nojwXoWOzT3GxHDrXT2ggt1LMurW/lzMqTiJ91K62
8J2UQJlHM+OnQgpmrBI+1vxuY6FtWFSCWXj/XE1JtvkU7rnYsC5pwlKnQqPdgFGrU+XtoinKt97Q
89IOhC5Zmvb06Kdax5oKnZfSWtODvauylsy6cS43VlXU+xgONfZwlfFGN2xGs/EBb8SdnrnMzpCv
LHDN0RGDt8XYFZ1pSQifPD5nIEEVAUja/eg2E5OswSVHYBD8LrYlNIBoWjad5n+Rvk1kPsQe8LXy
q900LtVOEIG6nSPkB0qOGLvcWazRwHFVcbWMuw5G4tajBOnGNtx5VzMxX5a4nDfsajWhBRCbjRfF
G28Iw30UOM23qiiwj+FqmHfL6uAnKSF3WePddqMjbmxmimNEjAG7WxNb+6kTkIhBFh3cVPS/3NoO
tigns8NgWOmO0J8Or0MS3y2NET0krV8el8KpoUj8ifeRGM1YFNMJGdSytaa8fiBpP9rWTeUcAAbi
FRieu5/JcUIG1BcBY2Y4YqakHwSfCiJWi+3yN/QB6kez7actuqjosyhoE8RWkj8jls2fWhE0N1FM
ixuJwCoHGeE98Gnd24uU5sSE7Kw3UrqmO1VLHxyop986LyyNllWf+GjpMmdzQ3rn033uxtauHbP6
c+5U9dTJQuw5s1E2wtoMP95M79eRVCMKrQOzfZ/jPLwJoZ5/DLtHTcjLui3wDb3ZuLz3VY2YHpPl
QG0peP665pB+Nkoy7kmOKh+SmbzgVTUxKHpznp5RWVvNiiGLUTCpMf8c5r7oTv3oRL9inDn6Qc7K
Y8imdQsuUW9KfLU3U+0v5AfP6bFKUvUlCMl/pt6QM7AWHOeWonoCgMt4FVgE78elpRZZGqD2TZYb
tyHy7N+KBA1UTgqDG0kWfrsuu8BD31FnN/BgJbxn4r24WgMexv5LnXAHQFv22T7DA0FDcBI+YMZ1
bsKG8i52dF6OSY3dOXGN/KMJUZqotmjebdssEVT2SCIDExKb+tg7O6/NPYM1p+zgttjUZzwE63AJ
5IFQSx325RSMV0vXMpU5UWpzHHhx/8ufTRoM6Wgk09Nv87tMC6yohvZ+1ciE7yRZUhgFBMqftqTa
rfYc+6AKz87QQKb5qSthFI1sNO+QoCNP52fhvq3K8im1SPKc+EnXZt64B0wR1lMZGKzqnZroYSXa
LmKYzXOC1ke22Lb0+amhyaJLIJz0xpuEjmNwyLW3bSkeo7lv145RsNEZ9LmjqSzc7AlolYoZpDsV
OEbHSVCayWuL4G8rYIPvo9if+m3VOJTz4bKL4Z1CK4Led8JtZ3YBngdHgjFDsy8P9hwkj7aNusij
4QCxqpz8V3h4954AVoHS3qz3aDImkKmueS6CiYzaMHbrj6lK3Vc7NhIH/6QRPHXDLH9M1q9sVUSN
BTzbkfbCTgXPM0r/GJDKeuqKUB4WkJ+DFNJ5CmVGkE1qKfkUcGMe4zBvt2afRfdh1I3nGJHHsBpn
nhJ+94rg6xp7In/xzP4PMfqnHN1gD52T3+R5XvxCkRQ94qfKPvIiXN5nA9a84QNyZOLIX9qgFI/w
is3HElnxtpVpczcMlbgLuIWfwrhNTyYBiKTANclmpisNRMrQl6cwqWF3ndHDUzfIg+Xr/OJAYTUt
yezaG3lAMj+Pyy9ZZs6XYxoY5fucLBgPtdARl1tNwaDAqYXKzM2RGhrpEUKZ+WAo/HujtcvDnCXW
uXSm6gl95nwHIlU+l3bbnIPQSUoiGaf4sTPn4lTU6XROY0O4264qqo95ItVl8sJkn6HKQBySo3Zf
LYY/X7J0lCtB4d4DmlznvvY8groNHZpDBLv7Jr1p2nDJgQrVWQXIb/f2rqwI/fYMWxtf0fTRUoPu
N6jgkGPXX+47o7dv44ig7IXIIolzWQpclVXlrWug2fvJzMdXW+LTnuM6/U6KRZ5Ks+3YrRf3jU8A
WoZ6ytC+zdb9Ejf9TdgN/ckrs/Y+YNzdWhDUv5UThj/4oe2dpeBoQejJXUYrmGyaKU6f2POjNwzI
1W7opE3ZOnG0DiAUVfIOhcObmRbbnbICccEeQXQEDj5yWvFA4hIcrJdW1NVXTtDQN5GT9OhAfJ9m
pMziZRF4efxtXSEACK8IpqvBTPz54JrlJCd6Skg0JmPcSN/CIJtpTYYZSbadkkOyHhG5fvI3qG+X
ffNxtiIqeHRtoY/EdeNpiDXRYKu6wq4agC01FItWb36vNTybshhzuQHZMkTrjkUN5KorpltoeLcO
J/vL4gJYOcIU65aql4fKqpKtgjbdqIV4l1SjxBTIxBupkWODEW/diMH+GPNs0n1PaB401iw16txr
/FkxeP5ONSbdJr71oDROHQxpdjto7DrXl8Cs5AwNAbJNgpW9NcMxuRB/GNxPGgGvyB+8o9512aUa
HyfUDag8zSKTVBUui5GMrLWvMfVAo+u9xtkZr6djdcXem7B/x2wzvrUamUcYGa5oFzEOQuP2lkbw
57gp71KN6psKF6qrkX5uvXIPqBZ9LZoHKDUjQABocmjwLmOVgS8gTKD4BMaXaIAN91aMuLcdzTB4
mmsAXoF2kH+nIK50BAQz1AQUCDRFrhmLKiwp7SyvPMaV0gBkgC6ilLi8tzTnAQ40P/sF4CFyBTgR
p0KLR4ESTEkHUnjpr/QJPpqQOgJNqphNn50LUQc3VCrPxOxX1UNeT/7BpT12U4JevxBG2mNMxS7T
ztG0d7q+fzcUbA5mda4EHp11rLke5AbDxeV6BUY0u+G71KyQM4BXRbkt3miIKn9NWVnfmOS9/gaZ
Cz6xzLg2UckBFqxBRXtLE1AVRPzJnSf3Fovf/2bvPJZkR7Ik+0V4AmoAtg7AuQenvoG8FwScEwPw
T73qT6gfm4OcyurMkuoSye1M7V9kRjiBXdOretT4+f+LZrDWo/xbzSAp//ZfvBpfMPf+SChef+53
zUD8gCOMaxPFYCXj/ZEMRf+GqeGzNw3HtP8vh+/vW3Hzh2ra4Cr592RDHWvl8P0O2/uB/VxFTkBe
J8r/V5fiv7XW/EEzIEBqqtD7kNqBDqNE/BNseOwRJljbq16i9qOhbuy5suJAZ7N4ypQQDQoWgnGC
qU3IxpAup4brJjdJKsrrzEppwtOhKiYqedvj7GwH5V7po2ib9oZxHa0syiFctkuP12tEi+P5tVzS
olYM31RSB4N81843aQIMiAuSreq0bnC/RlZVfZPd6ovdL5A6yA/h+nCwlAzGQtHAiJD5Ki0lvCEc
HT4DLsiumRl1ZgDbRqfmulLIZ1MwUOXboXWzt0k49mup4d9WMiN8cVeXKu54tp1p2xhwipZ2a4xx
iq20FtXFMnL3cWwcfuOQeiy/CZ30wdFjTNqak+J8448uXjHJzVxrTPdubnNM+c5qAccOu1U5WFe6
HfNeAo//kFFKfUw4U1NPz4rkER2n/NXyOgYzBGg/ds0GP+NSnJRJh0da9JiKrUMXmk18xElNrEDy
lGBSYxVUBklhal+G3XANgiR3Q1uUAA2VqWvLOaSGzsfPo46BW2rLcRoy/SFUC+1q4Pa7yUWOm1mz
khdyQnSz5TiX35fJje51o1y+LLCw3A+KmX7yCPIMDgArMulrc9VI8QS7pBSWgTXv+ymps50a9onD
dneoYi+ShB42nAlsYps2T/ystBcsfDDoHjJ3Ga5qXhs+b3S2TTnrD1yfm3Ov2E21XSbMDUIPYbtA
C8mPVCpWbIHT+HOah36PQmwH1GIIblRT9ExOQPAL9XYgFSYJWA6G+BmlaneLxg1EVSszMgMDnQfs
LGoSUmYqF1ICCRGpqcQhiAVk+J67tMVdIeP8dUpm9YRNraM2CuViO/LmbUtFYQugFR2Vs1omD5rm
Zl+sJcR2SnT7cYziEXcrBBuPLnPnftAtaiAZRXdAXaZ3Th8gFHOoLoFR9nTWpGyKNyhuvLgT2j5J
LYpnUBGyuzCJmhsT+yCe//Ufxf0wXLtFMXcJ39xdqA/W9xK1C/yPdt64zlg8mU4MN6PskWc2ACra
EzzWrNiMSVdifevavdqpbCidsaMXpe2Xg9O6MTUoNX88B4KjUZyCUR8PRriD+tC0K5ukOYsOGQif
fXYCpcy4i3MClk4piCVCq11/KFSem6RNflXGaDJDWgosH1gR4jTCOHxxoAbvuO/qr7lR5A+jmHIC
PvRUbGIuDx64TkrKwXtFvojz5Al8Qd55ShWJxJuKXDuwHqjXQhZFvGR1I8O9OyPRTNUgDi4oS4zS
ln5F6c636VK2nT+banh2gVHznVQn7Rk+brhJlBpCpRpZByV3cHrojvJKhw56IgmLcQtDsrjHFjJe
AbnPry3ZpXMdpzaMICKH1YYPd+zR7xhfcenQaY0wNTJt1iryGgTMbz3MS0LKLepJC/t6r8tReTIz
4WLm0DqSLG1yb4qWljY+NJSnV9PEQrw0891QG+EvTYeLsphWvUOt0S92ajugJxo8ecRk5Pukarru
p42pHWtH6045Wx7Fy2JHf5i5PF+wlBu8msOSvoWqEsGncFvQ4k6sfPK9iQKCMtqBZwcOCauz4iOW
on5P9Hp4E/WQvdvjTJDZNLlv6rOzPnY6J2CPl36aUxYRWYm14ZnYIY+lqLeWo63K6XtK+mm1oosL
Ax3TbJov+ILbyWDCc6e9QUHfWdqq9U7uujzxhWTqWNz0MoOd++oJFB+S0CGGgZJysFwn3g25WlJQ
OAjNp7MovIQ2EafCCG3Cq/X4gsAW89ipqvTWGWDYwxdiSxiF4lhNAm8OJaVP3Yy5elPVk8CL0uvf
oWJbb1y5Fy0YpyQhy552ToEKZKGxuQrgjQJ3IkX0sWoYQTWFL6GAyYz+abC+8zNFl7s8Sx292Qvo
TgiaypCey1VSQYCyoa+uQgt0UfOhWsWXuAXZaa6CjIk/gca9VabJV8GGZV8YhKuIw8oP/WIVdtiT
t2+aIfpT45TGizF1VRPEqw4EpRFJyM7zfmeEXfxW09/xPpDDD6go7P181ZMGMPv+smpMEEW1VTCR
dwpvn6/gML9hyy1eDXatOx6s4b5aNasut6hJUZScvT3FWMEEKwDIi25C7Efsoj1zflpoor8uqxQ2
zZwcpNYcJPV2/HKKpvipSQR5Ntgpe98RIW7rAJ09ZCZw9qISxc7VyyjAR22fS6yhO9WVwFobpzqa
bSUPYZPPT2nqmPtlVfNEOVe3S6SxAu6cdKuvqp+YXTco+yL+zkv8suOqDmpLpe1MgXsGlh/qYadJ
/ehoc3wXF8O4la5S7qNVb1TiaDkRUWl+iVWNbFddUg7u8hBXQwnvFelyYojZisFwjwRMtEu3lpyn
KvLMpmyIwRV9aAZRDEKOBqzxCHBneEgzHZUUgzvioFsS0K1GteEESRVYwrVF6MZd8zd0brVepUWE
chaiLbsoKjss9DxQNyIxay7eMhu2hVCma5+E7CTn37I+mk0f0GwVUm4SfYHBH/2WDFKcNr1q2jD4
GHjTHRq54ZdytPdKkc/kJuJol89oFPHSuS9dSvAoGonJxzULQrgA7jmbJnOLs3/0lDFSdvbCX7lx
sX5fzK4TQDZnKlH5gu3Q26PjNDXNXuuoEpWznA5cU/SdPWCLYEOKll8X2Pn0xSo9NsewEBVh3/EA
S+/DyJY+WPDkQDCK3FGe8NdznO9amU8buGv6PdQDvOxE3E+i16pTL+iKMspM9VWpyV1D4dS2J6rM
WoCJTIepvCGA0CKtcnNp2q7ZSptUcheQVe9ldUozuzogbLsXAOTd1lhhlvj1zAPBr/AmCtUoyDW9
vDVHVIQOI80+yhZjry3EWugfZQ+bazGtv8OifmmhW/mpxaQ6ariRJpr6DstAe5MIkYA9hes/rptw
WRNlrkUhAUVlvHFGzNm1aRpTfDZt2L8UpFJ8HPSLQ0MdobgNsIcJ+W6ZLAuEnyLeu3KpXidwBrmf
m2UEWWlarLOJe+85F0L5HGuFeGfUJxEOv6jSDrNSZ/dyCOtkj+MppEA0n8uvYR4qzqMilDiQ3Lp+
jhYcijQbi/ahHEzljomUj2PCl/LbjCPnsBiR/dA14fhLqhluyT7sdmPTd9sxTzGVkvwet24F6RVh
28CRSTD42bYVoppGoj26qrtQDyygpQWp7mAxz0DcbsZGHe87iskghbD6+84JFLFi68fmoTSn9GcV
18aABoehfdOPKjJiIhZXY/6SuDoplu1AwHfLwzTrPcA17DHXEmPJM41PQO/p3jJOjmkp2BGk2rz/
9Qvn/8vYoTVm/b9fS++HpPz823/9C+zQ+nO/m7WtH+A2hWpx41u31X9Ijls/nBXkznb7D8ChFRmv
ARXCpc1t0QE99I8LKXdV22BQImWuqdSUCvFXlti/Ee3/vMQmmy5Mm+22auuurv/ThXQwtY6CD2Xx
Me5kZ201kS1Sv1sKYuQSJh9+GPSkRk+P5RR/jMjRmHFYp4p84vnYcCWIwpxw88y8r8lfdQg8T0R6
vg6Y7uu4LrSsFML3QtUbRlzOb3vNCA3K52w0u1DTmMyZgnw1KuXGAJSN8AjZjscSBseJ7iwlwWRU
2Z9tMc9BMS6fmHlQVFjIeaww343avJgLxieG36eGAXAT6/YIjqh65tEQEh+BjY4dEhCyW14Ml7y1
JSjQojRDBrmhvrci7oF76vRXCLLlidl816aL6XGK4O/VK+bEyZ+UxqJ32UEA5IH33GQD30N6tD2r
Q4MMZXzto7A86Et9TsyB4y5drAvHJGD6yKLw0cZ4JC19K52iIJppN3tO4tJPbBHfjHT+bTETuQej
ph6mc8Y3LeqivaYXxi6aoFGkFW05VpjJfa/q2WdkcuntQhbOGJbkW9FlX+wnsDkpxpeqSsMba+tN
GYtyx10rXgk6K8tMv8MyUR9UDV+XlSPWjqVe37GdupsMou99VVZHW6n7OytHWE6HKbpd4y5YnWkn
4r1nrWhXZ2spLi2+Kidm71+ZNtey1seGcZYm/UWEXz/GLMadY1marzOjy3D0HZVacBeYVUmSaDMn
BE4NhklwyjCty/yKFY0Xuept2KnmPfbfdNPr6XnJxRGQzUsIetLT2uZY6f0bCn9OQjcDU2+BT94g
yR9E2soArp55IVh8NUv9J4cQvD1i+UXYPaXF8OTSwg0ixPolFTYjnTbhskN9SdbNRV6eckyQflpQ
LD862n28kBqG3/mB8+yUQqHZJE26beMM+DVFz5vBYrAYaGn22Q3sQc7cGOw0tzJPoYRCf2ud9WYJ
CmAIzdPottt6koCj4vgLnkigDBQMYBt76hYC+mV/CnXlfu6bG1pOPyjA1jGOTcexF66noEdjOZhO
GLLzN5Wr3zwC6xvietevyoVwmbFIdOyVcXkzq+WKTYQ6uIWNkVVal1qLzlkMYlAhZqD1NBZwtGxY
zHJbFcapiZV9zqpUbd2tGbkP7ki8FKPUyaqmYKGpMpfpw4TJzCs6GiHc0X2LUvMjIuMVGE1pBl3Y
71NGd3yLNjcw7hnFFFeknopXOZUZo+l4H5n1XeNSsZDAEvZMw3xvJ+sUJ/qlhRPM/VPP6I5yDnwi
9yyisXtWXRdAqiTCSnJ3C0TowVXq18R2nubEes9dXlt+KQNDb0o+WW33HQrwTQwbezcjoQdpKb/1
Phz57Mx4NZrMOsDVLS99Eym+lRuI/aRSfTtKuns1TgegETQ35kt3Did0OcyO/ZtdRVhy+ibF3lZ3
GLXn/5TG/VmS5YT7389MDx08KX8y3Hz8KzmXn/393DR+qPDwSCrpwgAD4pB/+h25YnJwruXM6xf7
z3IuR6qxUlVcQekc9DewKr/LuQYHqyU0VdXAtAgqfYy/cnpiGiDD9Ac518JIBtJFF7qJ7mjBFPtz
xmlCkaix/ow+2MfZM6y2u1+mcnyiGQyome7ML2PfsPPIixg4ECOYXPy4tJzcy4XVvSZ6pAJitYaf
yxTKD/Ac3V60Np4lNVTXQbcOtdvY7CxC2kkEz0rrm+3YzM5KQwYtyWPwEuEQfqDyZwrMsAKnEa8c
Ykc2j3G4xBdKqmcKojFRVGT7EyBDhtTMzp+ElR6McrWMVwQEQO0vl35C9AJ80Khn2Mzg3xrzPYHE
cXEFZF609HiX1Mq0Av5crBXhd98BztiEul4/VOzpd3QcOH43Eaeizoo1PdM89pVYfyzGXm4N+lt/
EvhVHnsWMSA6kjmYUp37djjPuxqbqR+6IbUpYI93i4isQKhj61OqTIB/bXGpcYAcXdKfJ7WujRtt
ibVjJCk905kGPpJF9ru6VnG02BRYrnhh623orIEaMb2K76fZMj2Jce5QTb14XBaHAK+UoOTBLr9q
iUsRLdo8VrghjgB4NPETS2GsP+k4HXSOSGrWFOIs9LtoTdDFtbwQWh63dTIm9T1sCzikhEnOi1Hm
vslNNdBanPbKPIfzplG14hd0rfRCWLrALDMt82eUgA3zuVqH50jv86DikXZrIx9XvP1afmuZc0sp
SWue2fpGt7xqDuAyy5DnaM7B99gsk6NNwl0ET05p8t4ZZJDwiXf9fLc06Y0IjcyfVMht5jBluDU6
jil6WtqnJlJbTAgxpmrMl9jZzHahZ9Ok8OurXnSAu3lIzV3EnwbCnx6LC1pcGzhpg15DY0H83KLS
sJ2YTQqaucniqGvC1H0WFWgAdOhRuyP93j1g90DjRhNZKMXjMKKFe1Snr2KxOJCZcZPGV+KwWIK5
nAwXwXIZW5wYmCFv2CHIaY+feq8xO3p2bF2MSoegJnC327dqbOr1u1KoffNax6p1VPGd3cUYUPKA
dWfB2rQa3/JeYxKJ2dHtuiU2bnCOcKfO1AbhIx1s8dEaQ31f6219VhL0mrQA5QIx3BZ36L4azQ7J
rFz7BnkBgC/iABOvPJExlrZXNaG7xchf7HvdTl7LKmwf27RM9zgoaectl4XFZF6v9RqJowvSAgjc
HhJgiNAzCMWz6jA8yHmIbtwlybZuaYe3YxmSm3Ui99zTDux1QvQReINJewujRGNJ1IOTKcfyM4t0
cuqFINRFgfLwYM1q6cslNvkdtaT6GUaOe5CNBhRkNEfEg8mFnCLVI/bp8invp+ImheN/nt22vepx
anQbQ2krhhVb2S1x119Net6vsRO6qT8Q/mXdXGYeHRtDhRxA8mzsI/0mMfAHpkvf3ohkZuNbqOVV
kw6TFhjTE22MypMUgtSYmqLwcn+IJDDMzNwBSxhUDERZ+hZrk9iycCVNXyaZtbeLLHqSTiy9caDc
vC65tHpcfe2HhX9f88a52S8p5/kNCGb9JCKHHdGSldpdjN4n0c4lDBEH8CRmiYIaBZwCIug7dEh8
LTqlH2gn431mRCDTYVdWJPnD4mgjDQA+15rbOdP1bUs14mYAk7M3kklSr51md7rRw00CfwAvyGz4
8o9VGYxWGV2dhoJEbibkxyfYQRh61e4GR3zxIrED3BclHsmwK7pXIBgI4FzcNRwxHcFG2LPXNb+C
42qwoQbHuf1OrCNi9nALzWsHY4CS4RQPTq7xiUqlHRMEmNPnmXBqQLByOBuaMpyp1o0t7IrD8Dlk
pjliBxADU69rOjuhRuotIjhu3a5O2tPqqX9dAzvGHitt56dTKhoGWycMhFX2u6XS7Ws95GQAzKpg
II9nyhcK3AjAOdzkZBu0Sm+IWFCBrSj0Kxl6W/4apCyfotmdL0XuZteE5FDAEiu/8LxWP0MDB0sJ
LpH2pkQ3bmuSO9s+btxTJWr60+tWeaspr2jYhWjlVvQqIldT6+NbKOe83YSuU53tWnVuTV6H5zRu
cOIVBh9Z/pfdtaBM6oVsVGPSo1fBaYa5xenR5+GLo4TxESAl5WAVKUxjaCTaeV+eiI8MO47fueHb
at3yazVfFLqLn0o3aFtsAEEvmnsD9uJbrLBBo6skuS+LhuthLEhV8PXM+yDHp3g35NlyoN99OfVF
rtxVsRqZnoWNyDq0LYBXLFTFLSWqyq7NhurWaMnnDRWn9FhVIKZwCWGe/u0SWpsTRHJL3OVWYuy5
0dJDWZvyJemj6j5EzbvUIubgjpcmfyTzYP0HI/2n2dT8tzaDx+HjX+US1h/6fSg1f+C5p5l4nfhU
i/j9/wyl1g/CCvRaa4CwcA2oEKv/7jHQ1B+a6TBxErNTHRsXwD+GUucHFMD1B2xbX4nPNPD9leC9
za/2p6HUJqrJ6sohO8FEqol/GkobPkydjXTrFxJfLiX3hcfuP97lpL0DIn0awxb2aZW60n3sRuDW
dHlbLoZ7SADyeyyS31udZQiIDNMzDKbRtF5qfwZqxsoZ1qaSa9890Rdsfhpeo1keSOoagUvlQRA1
zegniqKRgVian+oCLqucCp0JQ1F4JAH07yAtLVh/A4tXctsRmB4X/NuVkt4uZtHClQvzfQZ7jQNq
UKCumFyhtd8Kq0YaQPtK7pzKBfGqZ34TGxj8e/a7S92h9Joskzaq7V5VvdnR0LOnqufcLhy2FfnV
M16km3QEU6opDJQcyofBMVDg4UN5WUlPhAq75uiyJdvwWMOeQKHPhjHBwMvPuKMp+JTs1H3Ri54K
AlX0F1r8XgrQo/t5LnBsEzUIzLxGdwI5+GnpWLnbWFeCepn2jV79LMIC9mG0GgMpQiRZFIHB7yg/
SVtBpYjo/EHlMSi721HglnezFr6OkTdeSORuW6ccRBhNXYifteHpbaVRnce7VDAl3PQQVP2mVqIH
LO/T4wxgyBdTSdUiwKENobVZbmaqNzalZcqTXqQgazJ38PKwfR7wzWxMm71EQuUHcQBey9jN66/c
NeBUu9XkUSYae6ZFdfSoqTcGssGO+oXJSxd5Ic5Cg26pPpuSDscqDwP4P99k0HXsU+vzLJvoueej
poyoSQp4nA3u1m984yQR2vlnXOQgB3Lcl86y1xXhgDNWoq1Stfhes3IGANTnHxwoj7FGDjcn7xGw
2SOIP9HfkNUAIKvRuTOy2YQHM7mrkrTg/rCWc9473xTPfvSLTVHRCOMbDN+IvRTquaSfyUuJ8hJb
XXlsLWYLWxGjb9jmeEzr1vU1omHMjyuym0z63iGE6Q8h3Rb6WN1YOsZo3KgvUVyJC97jV4sCxINS
K2B93UkQ2Eg/COK+Rn03BDErTjDj1RyEGIMYMvMaQdDusKXb1Wls1QvPD0ovZ+eZt+U4otuSmVxr
4Vpoc8lqw6uM+KYmsb0vU8P0nDwyfRUXylGpGR8iLJdbS63ywxJiX+W4oBN7qh+aUV2wQ2gGDD+H
u0lnvva9S6Um83DFwOQp6dzAOoMpTVNUxgWVXAP7RoZhl61Wi9MTLh5/kTnR2Zw1D85sP2YFXwUT
7htXyfnYu8tRl0oZFA333FTm27omnejo+Pn7OMblYdYeV7eU1qsCuoOZP1hurK2uX9enueMnkUIt
qO3lg8bTGNZe+KRVpuO5KoXiokve+ViP26ruv0D8sS0adJKjGrsyLmtsk7Rhg/8l9mDn3MpJlbg7
CtvXzWneCQ0S0iabskfy5LcQNg4xLtaNGID+LLP5kiw5XyklyT1FGNSLq/V5wRvjm+pyW8EG9pIu
SnczuLR7EoAw7amfC0xl1HcdjjIaR5TuCUMx95q5DA9Ml/V2bSc/wKVM9osikfM4DJj65wvWgmUD
G3v2eczdcXHIvYI18FfInhVrRttu2e1KLxOy2+B25gVv2nKfsyzE5RgDNWtZl9oJ3exmOTzqtXPQ
Q/teTOkF4mn1Qe0YX6suWwNVVX+VkXYrVPkysw09EsYQPpGnM0IuTaQGGmo7F5dm1gYfsyzpgjGj
7llWu2JO6iCOEOtGYUX4GWCoJCmOmN7OIsoshNziNcHTMFLjZsA1B4WgoJPZ0T2WBDwgMQO42/X4
qpxeO0iDhT7bfno6p8bEPqXriKtDl3Qbu6W7APtEAIMPP1xHPG6T2V11LCIDKKozYGC2jHSPE2Um
2NM3Owo74KyManSmNwdolL3UO6k6bCcJ+xz1UYitwdm87RzWu+5iDxtqGo1drmBI0Ral2+WFgzWm
LtzDhE9vbxlz/xBnKu6Wqn2nfVA5xXrTE5Bupee2Q+3nNtZyJep8kQnQSlLFGIG1cEN2o93ya887
/KfJuW710nPnLg4AAuT+qCchuXWu5VKLsOPXY/iTIzkCwlnqB71WIY1EonlRZzIJXqi78AuAa+vn
pWqovYm0aDnX8O92VkJ0auTmNVtEfRaj3WpzjoO9104j8YyNPQHrZ7nzFYdhtDUddRVlFSq8cUWf
s4w1edRpd0lRfzUIZT7NRdULfeQcXWG7gIgZF1+bKKTVNHwBtQjFruoQh2rd5OiZaPFhs2jwVeba
QEymg0kpKVUnqHKcaL89ETtfqWwh6YEhlttqTn/lq599nOtdPYfPC59/XyVG6KXC/Bq7nPgfy1Yi
Ffz3rOFqZToBBYGjv63IasADw0vSV55kiRmY+qT7eaw+gibr1j8SB4shnuK4YInKX6aDqgx0WTXQ
A7rBT1IaXUL8ALe5zF9rlkwc2ekc1I17Sd0RjnamCa7wzbPjZF+K0dzIvsuQSPJ7ghAh3dlTubGA
0XiLwjapFuUd2AP8wkqPhZ0kR4CuRy3urHLaAYqH/lnPXhrpl6TUznNNm4OVsTiO2jnz2yE3/LZt
P1mSDR4r5pdkhdpYccZiIRpmapdmUBPaON0ofGs2zejeEmh+MIVs/EarvjOs176c+2tfLR95jJ2d
Lw9VW7kCO81q3QeKDrwqyVgXjS2c046jtaZ9OnD0ipjDwAMsK+xs19f9Mw2MN0hqNIU7Y7ids6jZ
8fIAVskZDHlV8i2kV8QtAS9PjhqR7UK/dlP1Sk98ysDg3NPumNDFTKuDVH5lbbuAS9LpkqIKfS+z
JsPtZVJh1zeBk8TOsVKM8ljyxz5D+ntPUiOmWRzIijpEAeNzRMGv8ZErperzzhU7upHBrQ72FQXY
3hHOjD3gKvw9XeceqB1hlopEiMuTJEBFVRZJCY6Iqe1IBa5XPKVLbu1sEHfcZymuhgtyqO0+9vKV
6ElRLy+vLl+quHpbHHM82MVoeiM4ube2JVOoYgLdqBAyUT9WpL8Y5/0wJMbObuLRo+mB00boYO6T
ZGfrdee1BRwVn8YnfqxWPjWm6ACZo3u3oS2/OnJkaVJHb1YGR7ImsfogrKb8nkSufVlERSW3/DS9
hqpNREpTlbuBIomTXRGdZC7S48DuHNVvOUuP3PzvpS4Bzeol/3YE86M48TpMuVuC8M6trHBEhtLR
PZG0TwpuqxbgAgCHrecRz+OhXISBLIyr2S0v0SJ5TcOEU3tihq9wK3mjgjg8V0QUlYQkqyq7QyjK
6iT0mAYpVxzC1uV0LIq7PHFelLZ/VamESNbW7YS+iQ2/ROzNac2ITzDwlNh8PKkHZwIwadFjXNj8
x2rwRye78W+tBl5cffztv7mH/pP/ff2p3++m4gf3TnIjWAfsP7gMbJYlhmlhNLAMW+OS+Y97qfND
kDujZ97WDAOjwXpl/bv33fhBwp40INdcEy+jZf+1TmRrtRL8z7LEMQ1bNYWG/V5XCe47LtH8PwLh
WqlacZw0OrN9R2uaoyhUz1Wm9aEXLhti/OeExqPKsO6LlAuVMSXNibJj9w6ZKls8ijko0uoqo3yT
bQfT1MY3zaLCcT097VKeb0UfPVcqAUPPJjMGz6ZTGm/pYouscZbb9La1Ez6hNGmvYQn5GgfyEB0Y
NELLT8M2fjWzpPk1u0q1o3o5/sbL2Id+ZmEaZm1ShfStLgOkNTsLA5Vodr2RqTne46c1oDllSdcG
dtFUQEu4hNkM4FTebjjGwAcXmJ3zwKLTpT7kUz7fxCTUPssMEAbnFO5Eq7Dcr36Y9J7pt+IMdidq
xybdDoiIGoj6PCeQZfMq8aNM9pJHYW8fOtPqzb1R4bzd0E2TXzoFYG5hi45d/shv2ffyQWpiiC86
CyU8ioScfmLyJUYEtpK2Y/h7qqJaT1wJjWubGG6Kr1Gx8DobGM3szFSDWVOLM85fRhc1g6JZx+bF
6Kif1mWxlUZWfDesHe6axh1eix7z+q7DrL0z3RjAfQyGFcEgqXfQ49Kg05eBBbnRHhyo6zthOG0w
12Lc6qPV7ahaZsQW1OHy+JH1C4bdJfeqMnNuSq2rH5d24EKo5hpm+nks6NVonXFdePOoFqUNP6Ux
kiMftPQbY2l/ToWdBy54mK+cr8wvGn6KXa2X4SP5M+zypNvcK62x0W7iE3s23Urddm7RHDkj20cr
Zt2kq126V3vJ45V8nt+aMf1CRICPwGyYJ5dex0vPv4OHpvB/Eu204SObHLj55NtlINrsWW1lfCuW
U/2qVodaAYSZY1VozQ1LBOeZx3/yFBPePMRDpR6YXa1zLrLWU+uqOwLts75caOPkEOz+ruAL7Nds
CANnzpengf35Vi/76F2Lh/Kikohih4YN16mZlzah0bGyU0KbLUrVrO2R3JGsynD3UUNtEXjn8peZ
YPbfhKQg77Sw674yor93hkwwBFLX90AcNaGsdq5xW+Oc3LCk0W8K9nenKo/4uoZ2xujStuI4t073
0PFBJEkiG5Imy+QVKZcgWs+l9tw3cpqRTFzxs29A3zKxcE5jUmSXMClHC/5FwLxll1CpDO1jJOX2
4tCmFO5CyrvPNY2FHFINOdd2HOBE4wVGxTezk5Gzl/HJ1VMKmWJQfMXCvGos0mnQ0jFs7PUl5DFg
YGLHKgA6NqnbRL6G2Ay3yBUiZ+83LB0lFrmsIW1gLM4T7M97UTlqhPG0jYjPSyv7njS1+7UA6Xtv
YQHdDT0KO/StlkcLZsThJldSDfsMsAHISXr9mbja/BbmzN5MGBprFFAGKducNiVAYFoDtlawixKl
H/rt7STDpsY9IfhaVpJ2Npa/CVh31p8IedlPqMlEi53BfY5QlG8mY1YPsb2MzpbKDHm0KAL6FfX6
fNEXqpm5QfaJ7tOkk903kaNf2HV20ONV/WiXqHz9WKmXmUUYwPQk+zDHUfOgLcxvDnWfB2tp6ECu
KHg6cyu2YZC18KyreaEHlFq2uBP0spmhMzwqyaAdVCBmfLDV9iOxihIaVrP6plzyKdtwUKd3FrfR
vumd/uQSP3lvW7P92aGFfgLlqHatLMLDPEvFG+xInEK+QPAehuHCFtvedxNBwnFI5m8FreSB3Hs3
ciMt43PlrlUUszGnj/whsaepVn0GTUEgCZ/HrUvWYZuWqvwcSpzZvtPK6HURznJfde6whYA+P3e2
S6V91Jb1s4t0c2yLdjzMdASeYs2l10TUzUvfKy1FJoC2DV68aWbBEKM6PRch5hMLwTIY6KinvInt
UeO+Rloe7xazK88u3a9XlVZyz4Jn+H/YO68kx7EsTW8lrZ+HNhCEGptus4YGqEmnqxcaXUEQILQg
dzTrmI3Nx8jMrnCP7PRq69d5yaoIDydAiHvP+c8v3ErKlfeiSs5zXe5EsxuxnsgiKd7J5ZDgLnXt
Q0WaYGaR5mg+1WuumG05ld7Vw3VKI6qnq2hSKGSY1irdUgGrJjygjUQ4JUVLsZsUs4aITNJFQIQS
IIYqe8/rmF5mIBb1xagBvdDAis6lj4lUQCm9VrNY8c5NJzlynkf3oCDyvNXjmCAWvPF8NR9LElDE
Rl2SL9oyii6m62sLKjUM1/iERPXEOpxko8CzAOaDxQWnJ8nXCpWlGjtZrONlIulMw4qk7TbSiIUI
AtqqLTddLGslwDALBIykixiMCYmnVYWQIB+N9KM2Em1+kc/yvJKb8xYw9TwnzVML5eIi+QYy0w9p
kKMZ/Uq1OYj4BJlxcqIBz8TztFxckBVxb2L97qRHY3DCoCcw5HgIiYFVMDg2hD07tMzcm6H7o3zq
BCsrcbWgkzwvW9z4YSb2g3+Qi8YTpzXOo7y+qG/OmG4TP8sqW5Yq++wlXbM2JhS8Siu1Vl15qlpk
+1wu5Hu1xSKz0UuuaS93Xny+thhNTZRk2Q/lNJAZiTupMSYz0uAFd2DIHTPO6ktXv+riHlQiDZRB
bFU8PajNe5zLAQG1E4Oi8pAFhwkasQkM4sESomGK30Msf+RKVEjmJWvl3Jq2xgnXj2gA+FFQU2+x
ErgIZqRFEloNyJYaOKMoniSdtNcheRZ7Ib4vlPbk0BmQ5IIaDoDhNFzfIghkdldl8uaM24WXixH5
0Sc5pUGsCh75VEBjODbORIdSkVLQraRUG9Y1cN/VZv6dqlRLbe1e4BQ6p0apHRZnZTucwXWSrI/d
iW7SYINVHCpPy8VyfcJxYKYbqLORMQ2h1N7okGPrnw/Z9WTyIh/mdFtq2Mg3CLhl62Uvi20j1ui5
UHuNZtNlI4gDBt9Um9d4d2qAwqZ4anxgDqz5V/HQw0lTs+4lNozDvs5yYCr+1r6eL5nT5RgUGXgT
WicRouNwAQiOQL0eKyVm3JCe4ZQa5wuO6bJ6QHynFu80lLlzOrVjkDNw8SMCDFFTpaU7SeFg6rJi
vHUTlJp4UdaWNDaM7fExIO4QPQQEG2N4op1uXRFzTUq7abXCtaV9i1VMVIhXlIntvky6cGLIEeo/
QW3u5XRQ9jJsmFuuWHr1ijZtPYy5NV6BYQjQDOEDlQ114pKrI9GQnwVxVusnbTPNx5ex4Mr14rlY
xHnaeEXVnk92CVMFBX8yq3stQfEFSRBH4GZW9VPSf5tBOLKaS08nfTqsZQHL1C4ZYFKWLKyW1tTy
PJ7cBIVdfFkydS8soz90x1ihGgbobNJ8lmFMJFvZRagCPanrhyni9A3V/ySMcY1jSpUiBThLvJOE
HZD3iY91cX8xErJVYhCwXETo2ePPv5DBMl+1WoSUWiqXt0MW43maCiDuV5k5sNl17cRHHu8riZRg
IxRlixz+BNurpuuPUaJlq5o1RbcyOZZE4pDZ2cFHzvVM0U/0InWUC+ClMd2/LhyK97QXsS5MkZfe
62Oc+lfot4t20ogPdYXRfEcJg0eQFjtjDgEpvSBYNYVChw2GFyE6vPYMHkVNMOzPSTGJzJYc2hU7
znWuVazOZjXCP7iCu631yRQj5mGkMbO0SlKelf6ShE03yE+YKSRvxCYIH8Qxd7eJQJnuqqvYar9P
gF/H/xW9F+vfW7Lfzl2+LpJz22Bl9kujJokSrt0Ioafw5xT4c58atdG4SpWAf3TO4GBMnsh6wcNU
/r2Z/0+PIt4+5nM/+PkwzFF/PoyUns+ny2BkzsRX91dXcFBy4NPVWIOruie33yS2bv3EM/yLb3Yz
hvt8TJ0+F4U13w80VBS+fDWlGTQDw8vMAeW1oExb2U61X4sAs7V16n1zsF+uIweD6MzIgoGwKupf
uPWkq2JQm5fwkRzRlRwY0XucBGxxK4ejp75kIVli/+UvSAevkp2mKLoqwYP88gUzprSj1sqpM77S
GfmNl3iT/WjJVm6jg7T/Px7zMx6j/C0e8+81Bsdl8n//T3aMit/e3n/bHc+//fv5rSZJ8H/8hp9y
n7y9n1+T42+X24/a42/WsT1mMF9/xXBuR/oTwwGSmTLb+0P5Iaj86A/Sqy5ib4AmDwOjH3TYG8Tz
J78A1ivOBdASeNoY/t8+8E8PAwkTAwHbXv4zxabwv8R5/SEI+cdbC4R0Q4L4HP32mPFQf3nAZLnH
fqoc4bvXJmZBpSn3FgsrQRvd4vB0eEuww3rBwXzioNaObRlnwEW5QHhWMJwczGr2zUt2Q43+cT44
PIBRSShhRMZtSGuEGxvip5gBWVPKLo/GxE1qF9NxO3HYbRSrbZGi4bBu6aurU9iJrSkWtvSC8c3x
v8QcQNnV6UfxujdUUdXxnPiCaqWymhTU0BMH3UggOZRPXmqTJ41Br2NYWOcH4sd5Kx6bXfwMnb/+
Zq2efl1kfhwf0Z9M+DWbs3r7+U/fnyDpoUrry8SBUgfs4OIL0NchbjOopgViOjBkzB7heSkPUkV2
ioVpWuqoxN91dH6oO7zpS7NTz6bups6kteU1s8zyffowPFxug0CLYqpcMGRX1iOjFevwLA8bpss7
3fn7Gyl/zou4XUhRA7SElk1ABZnqXy6kQgizOETnyNXx5iJ+zrra14B6O5vg7zcvkZNrZvYgIl58
iuaaBVdfW/SO7JTewbAJcRQHS0rcZjI7LPVl/iB9tyve9FifnrQfJwgnBCxUZpby1bsDvUpRY5BD
kLnV21P2DrnFgNZUB4tx6s1kdj61Lzh2mdEd3O2LYTLLE28rr3twRs0bz0RA+39/0b4Q0P+4aD+d
0xeuTz9tW/rNImJIt6F9calO7e4Jt+/sg3PQTdlKnbP13S5z25l/fue+Xokvz1xRpi1mZBy1d/VQ
9DGA9m479ncb6E0x98txCH6SJI1VR4UN9PnZrsERx6EtI1fYxEGV28hc27cDFOyped71M826uAcC
4xDYu0ROXWzZOYexc3O+Ln7f6f7zYuV2Ib9+5Z9ORbs9vT+9Zmc5wjG9qJiyLmi+vByLauKnzfMD
KdHewZTfNbqB7d/f3b944tjCUQ4KUyJdcbv98koczomcXNpTyhM3ODCWqyU9xvNkVWzz+zporMjJ
F/K2t0aHPER4OlM3t4UXSNaJ+8dW/59fgNu6/vkCcC5MFthAGAvAYPt8AS7Qh8Zp8eNcdA/RmzbT
p6DmdnzBGNO+mWJ62E+SK8KA3QIab0qn+Gat1cXP1Lbb4/75JL5ckFqG2BJpnETj9PbVrkLJkj4E
Du9od1J4JlKjdft1sT1tJ4aJXjAzVhjREQJt5hfM/MQPsbLLV2gYaWaBoTctRpgW5iZ5jm+WmRpm
dn6aYH+bWVdpnpEOG4yKkyzVjbwidhSbjkIOCcBk/iV9UCNbDLLHuRASzYzoeZ4sD167Rl9XLWsm
wT4CJQIxwp78gqCd12uyLryJaJbBdW7MCALBLhPHfoeA2KknWdixwkz3+7lULhsswyUTOsfhvlnS
lTFAPjt06pBTXiW6mNq/rnqbczDM04X0duhqqq+segTPUlgMDPRBatf9a3xBlowLog8TdjDZftWl
6lzQNs4kxSwn7nk+2owBsaZh7rw9zYge1xX3kvk6qACDmtF+Ho6CvBFjSnMyUxakmUIXNI1XKG6Y
WhTJo6i9ER810b18eV6fkW9GqzieK/1yGBdlFSKURKF9I3QRdUlAx8Gt4YJUs1S21WoZ+YcNWfei
G7Ocjr4E1+m5bqzKkxlvL/BUSN248biY8Vsc25jNGeNsRHJ6dtIWb1vum43HZJ5a8krmDI6niqbW
JkcCcDNm6gIouFbWxlzZUa1cH0H6Y8UhSSSBXG1pvYVSp3U0CPrG4/Re6ue55rK2TDsyTddKYZ+s
bAaupd8B6NdBm3/ANYknTj6fHA9zHvw8AEUQOXdX28IWLE4mFpkmUOTgHDxsy6rRyZ3UPUCgP5mc
mo/vYu8z316S3XC1T+Hk4QynwE9PVv3SYI7rvHTwCPzRb/1xe910j+/M2mtTealMIVRDguHDK41L
9XE6xk+QLUMNjAYi49vV7O86DwOjwuv2N2djxWa+XnhEyObW1YTjlVuyn3sMbRM2+c0UBNi8KzLv
aniDJd81DqkJZzym582eQB9kSPfdAupmQkTuVnqTF9kpLKyX7E08IP3lMQXiwAUgkHj7m6BXtkwE
rsaeNMACR0CUnOq2aV5zYpcOJog0dchM9isghhL9QRBt2ocOnr7qnMuHw50Ku55ggPVkT9B6Zd8i
6n10UVMHTULN1X2SOOVmXUU+llTxacV1xixAKf3bUwsJ24yRhzwomLWCxYT0kClsnAdMA4hWwRCH
Zfqqu2gB9MHv9VB/r1dd7MsHCxUTzdF0eKgeZcGRdp1LWsuSJdSf+okMwwM0xDo81tthpVDVet0M
kY59MA8rGEStI8mmRISJ03Re7kGCWLS5rVmnRe0T2MdnzfEkRuGq+6MlbjQPW7vwMkudahVX1mC3
Fm4OB0sODBqzfJW8DoFKQEZlMZKXTltxuiHIl2dKosxwR5nzx2oHh41FsdYfNfluLN/lYpYLyxg7
qXF2yVwkQX2/j6R7Jd3xfVpmMHzF1imX2FS8XuSl0AVEYJXTFclAe20Ge6lDcUHoJUS8h9hVnEGa
j6Fy4dLbIBFPwGEMmubXZRKQFrhGAnPpLGmYRaTMnPzT1DlDhPiQduKydvK7iDFatyVsQ7HE/Xmb
MB9xxokjtWGs21xLeJpNAJqWThzMpVUUmKYQXNxOYtuaMqzd6a4qrqN6lSfOeD8BVB3mQo5/FbkP
fnnMVJdIO1kIcD/EKjl6ykT/Mld4aiGLDbaDO222bNblTW9sZyhvcO7w5X27PCUYY221GhWOKWF3
YpaWvkXcvMnd0+PJ8CHEifga2vU7k1Rn6mqb7rV3+AyH1F8ZYykfQR0uPIoj6zNxceva8UqHetx4
UomLoCXm675l0hB2wO6gTQVUKrcyAiPM/GZFRsbpdcBppJ9DeS5aB0umdCAT1+odxSLIZXIrsetw
6hbBuMSf4zG/kyNXJLK5N8VFvcyOqhtr1vXq4Mi4HNgWNopHzfEIzyKeDbuTjRy/V5luW1fsGutZ
U+2qc5BGvvZEyYk3kI19ljwuGn1xeEC2bN7k0ooN89sclECbmmjP2umsEXYk38CR9jq3YJnAsW1Z
oSLxo9c4LN/Tjf5CLmJ3p+VhfXba7HY9sZ+8x8jDOtmT4AI/aV5bk9Ej17QvcTV2pcJX8JxcwS0e
eYHgr0xt5FdSSpUc6LMmwLbYu3hcKp/pAS0iTtpLQjogm9em/AZGelgKL5lnzK9vBUm1D8ZafgIm
V/f1YP59rfUXlbQsqETmabjeyCI46ef6JsVKK49hd7oMx1Qe0Z34EnHaG2DU8ggBrtshrPK71tTm
3xz51yqXIwP26YQcoCa4de4/l5Z6miUYoP+orJKl7J4cpmHrzIRe7TJRevjmaF9ZGHh9fDoafI+f
j5b2MpY4hzp1o2P6pvl6KOOW4OlBNOd+5sI/U8arvxbPn4/55drifF6ivEFEz548rtP5aJjREiuF
OcEahYkdUYkz1Z6HYAwbgq1fxVd8eg3Rps4Z17AcHjpl0cwMCHqVLT/ehm2+PB+eiakUH9WQcLt9
zoarbqr7dG24z8JHHRzCIkx5xk3Sd0N1WVEvHjxGss7orw4s8ffJtphdsJ/5yGkq7Fv5SEb1przD
RtUury9MMbFKX4w88W7v9Ed2ho+e5pnSc9MtEwdLOL9z5Q86jz0LqtfOEphZCxGCsyk1LmsODOsD
Zdybfqyeo+foPYfYiEoSNHAJbet21SnYj2j8CL3pg36FIJKiiiKPSFhIEhK8L15BUq+Srapb41y2
i4WxVO2WMbur2iOz1TG8ELv9dHDz+fl4etMl+9q4GRvwzniewhAm/4aIdiYktrSO8R2uA/Z91rtk
Xd93j+IzGyDIvXMN+6MYYgFnZSs8FZrFZKk5nY1xDFsTLmCO7JW33Q5Kon2917Huh1Nu9pp9KlZs
BBqOtUeWezuap4UPBdiptyjRBt3st/mTER4eERPgWIzjGwvMFS3DI8uk0JsTOdSO4mheR0p0U2My
TjbkRw4jx5Rcrj/G3w8U1pM3mIl9Z8MGrAkyhyNqIZZguGs8dXiQDSbz9uEBM9r45I3T3ajYZYi4
otlBTv4nENbbw/q5Efr8MH8FwHTy+yIIRzSlAnuUAxLgwaVjDqPNbpAP4mr8UGAiYlcEnPJffn0V
oDeIddCMIXvcnGF+fn0buSdHLC5y19gl4gLlBE0g26vTynfQBq1/4vv+2vh9OqLxpfNNSviPh9sR
R7eprGwOUn91EBbhgumnLoJv+3JdjryKzuHh+75Tua1Hny+3oqCJAhMyRBGE8yuIDmcsxjaLvC6o
H1iaItg7YtH+ggsmPEoGWqZweRb6PeURjBq2TDNdydtk4mI4h38qSBfz55xMg/u+tqL5gP4jvQGE
BVAJxlpsmqUT8aRJs3EWvaORXpGQ8XG1GNjvLv16oqzFk5NtBIQe1GkED2f3ic0jSIv797f2L7p9
VQDIw55eR1gmfEUyz3CRmWwOCagK+XJeat26/sSwCMTzE6frnWhBwe0iXHaI0oPh+5TyhCEpcZrv
YKVfF2xOhVQWHQ8FKIPil4ueQ07AkFJO6FGjZbwmTJUCFznURnIF+2SfrcN3c4tf0T+8cQ08iATo
XVND+vJcE2eCMpRwlx9QBwEQIdwKQKU4/A5U+osHilwBmfnZlOgeLCS+bEZojXOVcMDEPT+i5T0D
HVS2lH/Uh0VdBynaED3/MOgqsxrKvXMF28lxIjLxl4wK8mDtsURL5qqJgwTLVIXZFL8/Vjt6dZOK
LR+8pHNEcVFIeOPM46tDvauk/qW7yxts8BxZcdurM/RWBBPJhhRkzOtX9QBL34PxwQrHrFeDkQV8
8vLNA/YXd1WcArAqqiyD40+/XGNBqlMUT5Q4NwBTsjQXjCFSXAQT24IGY0GzC31kjofSJLbgWIWS
S6G3P+3y2vtuIZN+fa8NCcRevllogOLrX24DCle55seRe9jHGLmwOy115tv+eX3aEnbSbYpnrk3p
TBXr8kaIa6m4pwOWAbPzZTE5efV+QmXANP7vr9EPlPnzcvP5tL6s7vFFveRNwmlNvcjvtozMnzov
demzK3Ygqw3J3WlAmmmSc0DWy2O8vR5xn6s3jHHPHuuDra3g3mUTlzJYWPb42gZGIG1r+7t35i8W
DN4TxrS8OTJvq/Rl9DEk5zJD7Rm5LX0bcBjOptOqQwd2lwsQBJ+5sXADKFloMW5GmR/RFfPbTVU+
iQ6Cj6iykUWzNxNe/s1aJgJB/7JuG5wRYLkE80xkNfm8UV26A2n0sB1czDI+jAiILi4XfeSkgU7M
89k71CbaQ0OG2mfh0H6JF5A4J+UqbQMII4noD3gvo7I6JoSxBRFaurAOILWf8abttsLVaqdWNNoY
QU1DLYa7gFbfgjRjYtQV4bD0xNz9cp8mTgu1b7QF3UKgb9RBRwFDYqKVO8rLdA8wlRTOcMwjF61i
Li6mH4bh9bkLhVDL3Ivg9zGWTVbOlXxr7zBgRipBcRf5aJnml7CcG4/oCaItvzJ47dm8Sbl0ii6v
WY603uu+h7BopgegBM94BVYbYEjksDDN7K5mFpyYkxVRtFACYPETuUxq4ukJKGPq8D06AMVJYRZL
GHGDNtOuuyL3K2we9FmOBE+1ld4iiitiY0LX9w6sVSwLg689Vc364KV4QQrWufJxkTkI/jWb39Sp
hQfKV9MLUvfGHnxNrK7rt0nslRCtLRF+M/bHfWiYRNsTQ6WY040UTsGeMkBd+iBAOMMEeEMZGwco
RLpQCGnZDqZwbBJLysJaMofYmuzGwjwlFp+pSh7AkWROXtUb2PQmm4dNSTFdWopbVUvS9EAQYTO2
yArOZCiYuB7SgF5BPwWHMuP+4shz0T/wD0yASPeWvUSN2j2RFO6q96zPNWtv+Fj52LjelbwLRAsD
zi4BijLyGPACsIXMIhDEqRa6auHwccYJonNawydpR7o/OZNtuZru++C0TPzMHV8gozyhxq+WTBtQ
lZRudzXJUA40lxCexXkVP6mWgJHo0+Fe9s/2LVLSCBA6lbhgJTCGNFtsHo0b5IxdF0IM3Ef8tAHc
5Z7Er3y7dlc/yQfTgIINFRB+uKPMgoivN4bZLg/7XeoST6C4sh0r+wmsv+duk9k41JLBC8ooWckM
JW+5w+ggu5OOgnPrW1RPsOT51c6dcZa5xqwNDpt+buhIZqzTDP8tq14JR57lPmjfrpJF6uRccyn5
axXkD3i75QvGa56wYmm4ox0HQkgBMnnAu+Lp8h6/XoAS38ud5k7IU3ex7Usi8+qSYNKym3SGJdyj
C8IfHVRO2hdwUs3hmXyHDsGNlUIL3Eebq8m8zAIIaAClB+d6lzuVV+xheMEbdy/uxe6XXv5On+PQ
DTGKjM354a6HmVuaWoMO7Yb24LkrLpEdKkuQqt0rnhFEBeEBMsG+yBIW3AP650duoo1rkjl5GZbl
6uQ3x2hGt9c56oJRbZjcE30CA8vN72UW6WZW+OzcaMNfr0+Sd30UtoJijis8NA5Wtpef2sguRBAc
Zri6o80Z5rYuinHmfTR75nmeBmpIZGeoB/kjzOjFZcMGRV9jl3bnnHvz4rU2y/S85Y329WUJ2A3f
y1Q5neh43V1drpRg6xs1BPP0Bu/wQYG9VtxxNywgtiWbEoe1pWifHGSaNEABvd6SbmlHlzusx3Cd
6kCcZuL1Yfsw7Wc1qkKgr9Kurh6X2Du7hdn4nQXSe7kXFtGz9NTPgmqDN2uANeuVQLkgCQxPdtTX
ag7uAS3PrJfJWwFG/bE+eQpmvAvdFv1xV6+7e5YtXzTvmv1I0xff0yDWzFNGkybV6u6l+yrUHk4A
rNTYmdsSIQz+rDjUFZYQwPK3y49oMXXYtlzQ3HFXAXHjFtyYVdjP6aKb+/NahdB1pz0CZgJRmkjV
F+d98tA9fNRg7wjgqaAaH2aoqYrW5WUEPvAv24458UJm3B8yiniPXhBzfiR2t5p4o3UBnRwXIkdv
G0ufd65Rm6f9bU7fzOnE7dY83eWLZN4tTvvEiW26dPdkxa4QKNvWMTzvEOh256Ig8M6OMLvMJncq
a1SKVZIb7UicPszOr4yVMu57UPjRsraZp3OX0dLGKtoT87z4GMC3Zt2smEmL5l7B0IgxxSPcVAr/
0b4oT7KLb8r9Ya9uGDox+PTLKlC9G7cAE4HNlKtKTpYpPpS7yRLdGv/Gglc0JNtpWCypP31jxvCB
/S+5Orpiyrsbb5zS1UzvoiWKrekGQUnvioFO5z6CF5I97vaP0dXq2CVJdnk02JOaJbru+dSquCvi
K9ELtRvve7e77zbRTKzt070RqAvBujDAOJxCLJpOOiFoqPF5Ofhfdo56YmaNU8/5GlnQfAgX3IfZ
7+I7wdOXqZXkLABDZmsBeQ22GGQeXgz8Znqn2NddvDAUy2B8A37JXGvHe3gBfUu9mykiPD9Ws2FZ
B4VqXizhWXxtnIOVrCLetqlX81hTZ8/H1ehilrYctmy0PNBWvNFhRjX3bdCu+iC9awOVh7OhzyKp
07p6SJxj/7LXYI6zzGLzb2neun+QZ9PBSkKI5xZi7Pk4M5zucdyULwP7VLqkGkx7lJ2hNkUTYscM
OUqnej+FqEY3yRheO/fKXOAl/egQBZ8iP5P2U/lBTylOWLHgos8aFTqG25VzTbTO5GS8Dj92ckcP
Lx+Km0HiNG8Ak8eLUbJeJ0994kpTO1ERP9njTFgPvT+BjdvxeuJselvZARLXcmPd9o32pYCJ6lQG
rzjraMJUIFoD5uM/VtauUqPANbHzHl7xsDjlFiZiU9NwXgc79gW31C19d3APb7jcuNM6kJh3sL+w
kDIHuCctHOYskfRLoDCvt4rgGmZUYp2VLgFCutiOKcTsdslUEq03/7+2iRSFJqF26FPX4EBjuRzm
xfq8nL4qcGU4gQavVSsTfIMnGzj2dSTSO7duCCW/11OOdFa8BPjP5xXmtPLtaG2FLag/fSR9/IzL
UZAyomYuh6s5BqWELtA2L1XsTDsMLxEwoLpCZ2xeKGK2h1W5xE97pktmwQufUybC0JzlQezrbrPL
sllH5BNmHPYp26IVztentfyRgDVYEecxBGlYW9PV7U89gnArcisfvJt3fSk7Wb+SHU68CVrrMms9
I6zcYk2tKTnSw/IE3A5HxCmPEadvqsAqi8p9QHVmjRaaLqtwRSdZ8za79bJ3WINZQPGHm9VWu2yP
jE4r88hdcYmOEQ52GkISuGM0u0IVUpkhlHTmWSiwTvbtB9HjDaCBFbsm7exJCWvdkp8jydTvZG+8
T/3qYJ4TrAlNiLTq42md+loo2ZqHVlz0pFclhLTKHKUjJcFmIHobwwjE+G0lPGcrS9J9+YgyGnUS
EWr7hHLCYbJyVVzJIBEEMe1y4vXL2yNwXUZv6LW5UdwJ6P1ME9GL3F/m6ZbIAIplR/7gwVDCai3z
cikjPHLkKa8Syc99tlYhmFnynnGEzpYHJV8ANzXPDpXzMXnlUnmRnT9UTuqnjFvMyr/MyueD4pFN
aKyTh3ShOsZTGvYbPHjlPXrm6W2qcsO/aYgltoAn/ZFnl0kIUewAl+6IAn3GJVZdwSXpPF5my1uR
a0ayiSHjolunm+FFnXUH70wlFuFDbwkMXLXZhDkmug7O//CoDy7pDQzRjOC05kEbKZbM5g4jLS4C
UWJYbXCU6Vx6KGxpPmHqP5fm/TFa15ELaHul8NatpjcPkafwybAB+u2ETav3qrX2EWeBMprtnlTq
AmzyRRcto7OnjNA3zIeyffVwjmi07HHfbpC82DHj8pKeFNcfe/oQ7yc+5WrmxRvaVmCRQPL6JxJd
F9FKowb1aws426nBJtYc2KbzsU8t45kYBbV1cC7bkfaY5O1lLngFs6zrorTr+cU7LArNVILD86y0
MAE6WVC5jvjBamy5LBPaYlgLq/b2gmgfF8NrAoCUeAlhNTfVu3hFhIs3zLMQ4cIqsVNz4qW3G348
3Q1Bbke2YmceYJhfMiOSd6kX8Ric+FadFRrhZcdNvKGil5n6kts18eUuvdlidHi+ucYP7SZ1Yj+H
HYgNrFWG8Ybh7PtZt8ujYDOau2OOF2BhsLpaDOErs1+UOA08tVvpJXL3g909Mn+cvubryxxa2jyX
EcAjTLSEu1Ox6IJ2a7xfHe04dQ8PRoiy6ZHQg1lhT2fy/WXXod1u7k7ax/VqThR7eJtED9p9czNX
NrGeKPdQ2lalp7u9dx4t0ijI2zR4o8/PJQ4DvP4sjJ2VPBVP6YZzm3xoxy4QMNwJwZwU3qo67L1i
VbnMCfVZv+TlBnuPt6cetw+eJkeJUXOZl7vqTmOrXsqVVdNNyOGko6R9uj7zV2evSo6CWxgv+uX2
OSya1ZvEa60CgJnMyK8sAYbJYHbitbwSpxW8CQvkf/QkHvCTyfoXYlg4Qi+8zHvDOq35TxWIziBQ
kR2QJOHM9CT5ZXiDTxxOjKiQs3na9WieQtZE58qO0C7JVOPfTOfjkfkhlTPP9fjOmtwuWNwEnyM/
6Q9IY2Omu6p/3uc71SdhyG7C/IG3x1GB6cxJcHhp32GvfJS8roXLgKFb8biXG8jfRMy7bOYuDtVg
nFxuqI9Hift6qIBbxYlZtMuL6CiTWwkyRmFUObXudJVjNYzZv5kJEkX+FfUG+2IkCGMXAEX7inrL
EwHcB7MDN50Xfgrh7BpAbHXysHm/CT64wD6aHNYMDFi52b3D3yzrBVt4/h2U85enAqkYhq2Mt5n8
heynx3ksouSC8Ps77RF3GUjsQA0BQeSsCtlC+WbI8YMY/wWEk7FYgm0m39At4XZKP5HtDnWhafgn
4BvkTl6nFu0oZVdyvHGVmn3hMXOgmKEaDhQ6aoJTw3GXOKcFIoybXYNf7FP77EpWfpQ+8u3UyXaF
R24oMSMOsbsdXU1jt/7BP9yVjLlGh0Bqu1yQJR1kPFzWdYH44Lm1ojfcMD3UmFtp8XGbxgp+94BH
BPmBPBH5THuKN9mysNv9t/j7r0Nabv9PF+DLNe9UlaRSBFkuWR/erUIdZ3iB2vk6skrrez6n+Nf3
+B8X/AtYh89wIki4hrhp0IKBTGk0pjTgIjwDcir+mTnWd0f8Av8qh/4Sty1HROdSBrCkbLyVvME9
LaJAuA3/Nt8B/79oP5hmcFE1XZElkH8u7+en6prhvpyerjFNO8oPSFUx7Z5KEdetS+87riKs+r94
gw2FjCN8/5iifAHbexzaI+iMsZt8XOgLHJKsxCZkk34EbQ8PJ+YCNn0vJC7NxPMozM4mjeeCoe1l
VQBg3FXBeBRpNu8GYtfYLLfjx2UeveVvXdDt6n2yMohOWMSLIfrujf914odZBA6ChCFCyRa+cl01
kTi3XOHe0Fdv8AppdAssnNa3nKGhtqXHsrK0ULAhjP8pYPmfn4imzQ9/w9eiJKEritsvf/y3Vfl+
3rX1+3u7OJb/+/ar//FP/+3zH/nNPz7ZRlrx6Q/OD5eMTfdeX7bvyP3av//p7+eAPooGM3v78cvJ
O6P8//j1b//Bn56Nv37AT44divgf3o4//t3dpXz//ZPff5zv7c//dnzDhsFOmrZOXtsfX/CnH/75
hX/+9T+uwa9H/stz+vMv/eS9xoI9vvx+qf44y+Uxf//Xf7GO2dux+Vmnoigaq9A/TuRf/+XTaf40
Zvm7z90mzbG+ffafHxW8/eu/EPSk8Hr8dz8bumKSf/pgttCbJft/94Pvj1n2jsAnQ8DTfbasl2/G
7//9IyyLur0d4Xed0Pntvf7zM2/Xx/h/1F1BbsIwEPwKXyhUVblUClHVHkpVqRL3JURtpJAATZDo
bzj20EPVJ+RjHSd2YifGIOwi5YrM2rPrnbGtrI1yIBCJ+InNkfO8/0ybqPhR3qphtqGy9ran9Lag
OFSLm2AdN5A6mDd+8btZpHMlunjO9fZmPLQfeieqsIwrqxwMe5LGxfeWWtFEpc4tFNZ2WnpZXOzB
GkEroEOUf7kwv6TPNFFJAE8O4eMxFwHF15/5knbK0Ll1B2OfUb5CFZ7wMUsibhzrDFu/+7TOw6zY
C0uSdSiprfWHnLYR6e4gvnJANI95FCtJVLll6IAAMHDTA821vJ1HXUfe2bK07tMqQmnmQIiuCGMT
WlYHaRvaaZjpfO9AoU54UcXSQ7MoeCdVtvnUcZJRH5Ro5/zQQUZ5m7Zq85E7yKdJuqNARwUuJNV4
4ZtlPD38P13nkWZCjhxM9bLeub2Oqdw+csDvplvaLR3jh1ihilxv8p99D26b/080AEniejmN07Ex
sLYv1Z8PKFnIJejCeAOorDg3+kq3q6g3Ud29RmuXdahBvY96QcIn2T0bwoGd1sEWYgejacCd2OBk
R2v1U1RlbzveptrpyKRsXllLvQkTrBsWOXTAvSU1UlEZxiw8x/fIXb90QYEWTaB8Ugm1P8DAySZg
Kpf3BhZTAxOsloz0BxekwoSrozL9QQaVMiHrCFxvkHG+qshGQ4hdleoBNHyiPj4SMW9ZfOFAjcqD
nNe81vgKXZBCiBIIkhR2ictlwse7LuxIFLPjQpzfdHgwaELfKzCrmJKwQnKhIR6bVH6KO/jnzWpT
OD1PMnY+i4sakxMcXwf5QqjG1/yoxsQE7TOe/82WY8ixvGJNgjikzd0fAAAA//8=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s-ES" sz="900" b="0" i="0" u="none" strike="noStrike" baseline="0">
            <a:ln>
              <a:noFill/>
            </a:ln>
            <a:solidFill>
              <a:sysClr val="windowText" lastClr="000000">
                <a:lumMod val="65000"/>
                <a:lumOff val="35000"/>
              </a:sysClr>
            </a:solidFill>
            <a:latin typeface="Calibri" panose="020F050202020403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olorStr">
        <cx:f>_xlchart.v6.11</cx:f>
        <cx:nf>_xlchart.v6.10</cx:nf>
      </cx:strDim>
      <cx:strDim type="entityId">
        <cx:lvl ptCount="8">
          <cx:pt idx="0">10106924</cx:pt>
          <cx:pt idx="1">10106936</cx:pt>
          <cx:pt idx="2">10106929</cx:pt>
          <cx:pt idx="3">9421486</cx:pt>
          <cx:pt idx="4">10106933</cx:pt>
          <cx:pt idx="5">10106930</cx:pt>
          <cx:pt idx="6">10106928</cx:pt>
          <cx:pt idx="7">10106951</cx:pt>
        </cx:lvl>
      </cx:strDim>
      <cx:strDim type="cat">
        <cx:f>_xlchart.v6.9</cx:f>
        <cx:nf>_xlchart.v6.8</cx:nf>
      </cx:strDim>
    </cx:data>
  </cx:chartData>
  <cx:chart>
    <cx:title pos="t" align="ctr" overlay="0">
      <cx:tx>
        <cx:txData>
          <cx:v>Gas production STB/d</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Gas production STB/d</a:t>
          </a:r>
        </a:p>
      </cx:txPr>
    </cx:title>
    <cx:plotArea>
      <cx:plotAreaRegion>
        <cx:series layoutId="regionMap" uniqueId="{A0D17D48-951A-4646-9730-F0485CA32A9C}">
          <cx:tx>
            <cx:txData>
              <cx:f>_xlchart.v6.10</cx:f>
              <cx:v> Gas production Mscf/d </cx:v>
            </cx:txData>
          </cx:tx>
          <cx:spPr>
            <a:solidFill>
              <a:schemeClr val="bg1">
                <a:lumMod val="95000"/>
              </a:schemeClr>
            </a:solidFill>
          </cx:spPr>
          <cx:dataPt idx="0">
            <cx:spPr>
              <a:solidFill>
                <a:srgbClr val="002060"/>
              </a:solidFill>
            </cx:spPr>
          </cx:dataPt>
          <cx:dataPt idx="4">
            <cx:spPr>
              <a:solidFill>
                <a:srgbClr val="7030A0"/>
              </a:solidFill>
            </cx:spPr>
          </cx:dataPt>
          <cx:dataPt idx="5">
            <cx:spPr>
              <a:solidFill>
                <a:srgbClr val="92D050"/>
              </a:solidFill>
            </cx:spPr>
          </cx:dataPt>
          <cx:dataPt idx="6">
            <cx:spPr>
              <a:solidFill>
                <a:srgbClr val="4472C4">
                  <a:lumMod val="60000"/>
                  <a:lumOff val="40000"/>
                </a:srgbClr>
              </a:solidFill>
            </cx:spPr>
          </cx:dataPt>
          <cx:dataPt idx="7">
            <cx:spPr>
              <a:solidFill>
                <a:srgbClr val="ED7D31">
                  <a:lumMod val="50000"/>
                </a:srgbClr>
              </a:solidFill>
            </cx:spPr>
          </cx:dataPt>
          <cx:dataLabels>
            <cx:txPr>
              <a:bodyPr spcFirstLastPara="1" vertOverflow="ellipsis" horzOverflow="overflow" wrap="square" lIns="0" tIns="0" rIns="0" bIns="0" anchor="ctr" anchorCtr="1"/>
              <a:lstStyle/>
              <a:p>
                <a:pPr algn="ctr" rtl="0">
                  <a:defRPr sz="500">
                    <a:solidFill>
                      <a:sysClr val="windowText" lastClr="000000"/>
                    </a:solidFill>
                  </a:defRPr>
                </a:pPr>
                <a:endParaRPr lang="es-ES" sz="500" b="0" i="0" u="none" strike="noStrike" baseline="0">
                  <a:solidFill>
                    <a:sysClr val="windowText" lastClr="000000"/>
                  </a:solidFill>
                  <a:latin typeface="Calibri" panose="020F0502020204030204"/>
                </a:endParaRPr>
              </a:p>
            </cx:txPr>
            <cx:visibility seriesName="0" categoryName="1" value="0"/>
            <cx:separator>, </cx:separator>
          </cx:dataLabels>
          <cx:dataId val="0"/>
          <cx:layoutPr>
            <cx:geography cultureLanguage="es-ES" cultureRegion="CO" attribution="Con tecnología de Bing">
              <cx:geoCache provider="{E9337A44-BEBE-4D9F-B70C-5C5E7DAFC167}">
                <cx:binary>lHpZk+QotuZfKcvnURUghKS22/cBSb7GnhG5vWCRmREIBEgCtP76OdlV09M9y7UZs3hxl7scwTnn
2+I/fqx/+2HeXv1vqzUu/O3H+vcPbYzD3/74I/xo3+xr+N2qH74P/Xv8/Udv/+jf39WPtz9++tdF
OfkHQZj+8aN99fFt/fCf/wF3k299/RpfGxdV3B6nN789vYXJxPBfXv2/XPzt7R+3ed6Gt79/eP1p
latViF79iB/+unT++fcPGGHESpJ/+O2Pf73PX5+4e7Xw5U8KVvnz9f/8tbfXEP/+IWH57xSVBSlw
wVCa4Yx9+G15+8elHP+O8jwvyhQxRhEj2YffXO9j+/cP7PeUUILLHKUspylm9MNvoZ9+XSK/57/e
K4sip/C1FOX/3KOH3myyd//clb9e/+Ym+9ArF8PfP9Bfvz/8+blfj5llBSyK5YhmZc4QLAMWMfx4
fYKDgI/j/9amYnVRdqqmKne11tqYaiIzvd/MPp6skOLeDEQlnM0Tu5JS2Fun9P46xj7yLih0mxCc
cMdKczvNm7r1MrqzdLRLqhCS7mTWFD5JPVv44BStmMZZI3B4EFbc7zuul4LQtJkyNdG6dZI++D3T
Ix9hDyzPU6wmvqeUJVymidkrpCJ570nGznGbl5QnRtDnYWXjQRQ2v+yy9Ee7x+SGdln5pUiXKa/y
LSlui24bT6Id5WdUJLiWiA7HMRT7ZejDdrBabsd8Et1njzp1WMcOP9AsGy9MJu3bGDtyTqPt6qSd
2xPpPXrItUEnveTsRgY7T3wSbH9kk2a3JcrXV4aW9Z0ahS7ZNJeqMS2eXnqZy4Rn1O3PqZLFZSRk
uhFt1LrOdRE/hzhkRyqWeJxWsl1pyNoL0ql2B5WEeCrX0G2clF1x8rNY+0qppX8Qol2O+aDSZ7p1
5NIJlz5Zu4WkMjIJVzVSfFkQJqQOOixf49yaqtB50TezzshtksvxiMiIGjH24rtx1BzpKMP3wbSu
4ynzTPNu8+rRhyTcZB0rb9JlTp5T4/2p8yupsDBOcSVa9FYMWTvXzk5zLeOeKD7hvP3my7Kt+jjT
nm9hxY9iSUrNU5xun/uyXb6xaO1jtkzzYTdemKplwrymrt+/92IVnKAVv6zCphNfKRI3anc+1Em0
+5n00/JciIFWSz+xc1Z6X8mpXFWddDNW3CV5eTu6drSVJEN3LTs73cxE6J/eWxOqrDXqedCFrGPS
5aqKAx2qeWyV4xNbzWGQefdU5jL9vMupPWorzScvC3ZNBjfqo0tnGqoxy9T31IvkZY6K8JAYO5+m
ZEPHpJxmxYe57K4s7mvj0nS8wTAGPJ+FEMe+xOh2WYh9p7IwRzVo7GqB0vkmpTNqiNW654szRe2L
3L0vIuksL3AbrhYa0HPZsqyvimK2z7idN46k3w8Wp2bh81y446xDz904hOeWbvCjKMunn6WS4928
W/MwOes1J6uAc9KzmXjqJX5Ubb43FK/rLc1tFiqFWF63lrkmmbv2ZfalaKBokpTvdF8sN2nGDjDO
urelDMsZ2UCPNklQwn1q88PaDeLgEdRuvakNXXU+mc9r0D7weaXTe8xnUXdq95+XTCHPXTFMJSfF
PCAusOtctaVdd201CvesTdnrMrt15m0Z88Yoz64z6+TLUCzswFwP7w0knja9tz+9jv3ZTZm5sGFC
Ld9WbOtEhjZrZCynK8Nuvphp9dfdDGldGDV/UwSbJ+3y3XI9eqPqkAj7Y0YTHR6nDhF8zlG7n5AR
bjwtLrik0ilGkhcsS5/mEYm7ss+E5QytG4YBlmx3aghCwoFnyamLMf4I+SZbTmZGFe+lpV/9lvWP
s0VWcEEo/Ybl6hhPFjRLnvvcLrwPvkybcs8L3JgehjnfGS3hBJCPSzWNeBSV9UR9dmmMb6XL3FkH
P9xkfp6nZsejxo3fSP8Z9j355PvReo6dnL/iUSb4sCMSilNcsiD5uGboxazI4WPscvY+IsI27tt+
eGM0KVuehx5/zmNH8cExg9pji8pJVDlZYOXTWpCqUIVSVVsQ93ML/fwyON/3Ncu69owMgkuon4qR
qyRxP5NUOFWzBbHHhW1EVFNO0ksIC/HVtpSlqoYCzbeimNIf/d5ne1VkKXNHtCZx4VnWT3ntkr1N
eRR7m93Peu5ivRaivfpyxJ8KuyTXUbXyTRWLHfgEc0DwQNu0OGbMrk8tHYXjJHfrm50mHBooUKhd
Knp/p6gJbS3s2j0kLs++iaDWnRfS6zOc/1jUQRXDwNGipndTTq7nPYYJCog1hJ9hTYvnbqR7W/nF
ym/TWiZPQrggq7im7Tdpx3jJAUwe0LLb41R2eOQ6KdpbPeEU8dGlC+Kxx+NH0avW8r6ledtEgjdW
u2KKscpnNpzZNHnGMxSWm4yxnnBRZuRrr50U52LVmNUhL7PhJLJ+645DoNlciUmLN0Cr4m3ZAhEc
9a1ar27bhg4WX5DrkG5aw2aZdeIbKtLndirtR68oeRvGsJEL2sr2xy5bwJV8K7ICxh5yL4krCeMW
+vAj2XfJKsW2DV3Gsc9QJYtNyirXIbsZwlwklZzT6VsOPf2tFbL7OmSDb7ZiH263VKOe70MvymoN
zq48zp0gn0VaCtRgkw/6Io1HY9M5pE8BUPqeyS5vK1JMg6o2Kld9GDdHDklEvh0uWeb6LNxrU3pV
1lEOxcAj1uVX6i19jsxnHcdFzyLPN20eURLyk+6W8qXEsJ6AmDoSIDWKp1OSnnJl35aM+E/liEbD
IzW+YR1G8FxFaAqPyqPzsTua0k2vGBdWcaL2ahjm5BSpIo9u7eZvWLupKmJR+MoAGOpKrV4fKU2K
n2OXr4d/sNM//mTI/8b+fvQDALJs/6LI/3z5n/fDm/sY/dtbvH0d/uPXV//ntX9/CTTyrzv/4t7/
9uJ/I+L/SpH/Xy/+Gw//0U8u/qL1UvXuXwl1hv8rBl71prff1b9R8F/f+B/km/1eZBhnBaYEFWVB
gUb/Rb4LDDyaUIZgYJc5Yb948V/kG6e/p0VWFiWGP5qXtPwn+U7o7wTYeFGWpCwZgTuT/x/2DYsg
/wv9zrOS4l+/RtKUYFSC4PhX+h2AQWsrVFcjv5B7ZWfA3otuU2XsYwtTUySA6ThZXVOgMeQfwzAv
9ERE4rM73CUrVKuc7/Ewvu/7fE7z+V3HVSaPa1ZKVdlBzEsdZ6bebbpjnq1ASg5bj/PtiZYYujMV
ArlzJ50jHXeKEHPYMRoyngTZbUBXYpyfXavlXhODxvWTLRYTfCU0XsnrXPS9qcaujH2VacSWalhN
VvIxG4y5TrsqE64clv7Jt7MM53Un7c6Jm0X6fe7RNLzPwan5mKWqo3xpf9V8TOZt4nk5D6YRU5K7
p3nQO62c0/EJdbALlYnlaKq+tUt2QGmSB25NbkMje9QNfNn1TI64nJDh7c5YXvXj1FPedcC1au1H
1le002tyEYtsywqWxsy5pS63vJ0HMTTCyB5gaB3bnncynzzs5OyQz/madMo227CToQ7RRHnRZtH6
Tsdy2z/1bYeU/IGCLb/lzjvN9cx8CfzLJo/ZmElA+7UvEp50LrwOIjPwztQ7gNS0RXPLfWLy4pts
9UL5SOZFfPODUA7xNdB1O0zBCf2FbliZ29FnrTxHSru+dnO/DxUNqbInQ9tA6rakia9Fsfb7Z89S
wP6NTSUgsIsJNrxMxn53vERhfzKix/JYkoj252lB41eF4gzgk2991jaOzjZtWmp92wTck7Ea25jG
U1/sEp+s3qgOIMFg9XcmFHa+WoyEuVJWjF1lt31Cxyndk64pEtnOl47KQJtdWtWd6bpreplZOy6P
lI5rcSVbik29xzxtbye6bxsUlSsVB73GzjRYPJ5k6Qyt0yGbEFAft70vsejW2kYgV9k5CDq2FygU
nfElqD7wsdiX/cllgcGHOuR9Ewwr8cNgJzE1U2IKdtOtNNnOqYW+qEPWZX3PW78t28zVPKH8Jm4x
p5Ue6Koqvw9zdykHrfpDV7CtbZbW++01z5EYvuPBj32N51mN1z8p1z4nU34NYRDiVSZ92T8nYtf6
EEvlZfMPIjUlYpm+tAETIHsKCmB+zHZU6B8bgF3R/CsRchLh4ryEfcmufxKfLSl7lfF9G4GWBJQt
sWGp2c1jV7SmPbvoRPaQ7Guibv6kLiMTpT4iNgJO14lFauDDZHVXF4XLgcn8SS6I8FPfoH0t0VlP
k+2HyMNUsHBSQmzLTZxm0T11MmxpbQzK2GUKYlwO1CSa1qRfR/1Zttt2Dd0Ae2fpbD7JYSO4WYXT
S5W6fFLngPNo4HQLv10Zm9f5dbeFTqt9Mm5sShySvC5Jsb4XBTTwTautg/IYjBWew7l7dyqmTUAP
gSK2+bHFUI4NaKc0O8w9rPkrAdk6VFaBb3IBTV6g85i30XxdVz3gerajVVeZgXq90E5CtfRuGMZG
5RSN3yeUrvLZRl+AHlxpEcYatI5bDDcrnvyT3Ych/Mh9UTwjTcxQ7Y7Jq8QrTqFsh+yzMPOEKzlQ
K8/BsbDVeDTlzhfjl7mZGEryJvS0gFk7DMnXrqWl48DmWbWQKFaObK6Pc5eNTyWMGgelJ3SsMirB
TjHAaWYu2Uyutk3M0sDc8qrGXeiuk5Nt4MA0imtKiLsRcSUO2GFqG5Mb/LOldPuerR4pDuRxvqGx
XX2tk7B89FSSZgNn4SGUaTHxdhl6SXhctAj1QAVL6n3qUnE7mjbkdUKHuDW4I50A8iNjeDUzLVyV
gV7fa09pEFyRPnSnHO1ld9pBK4Nw8QRty1FLpiV4ANMGHe6FSDeYEfkwX9iijDsJkbFviyVE3tis
LY08Qd358T2OKtleAhRBtFXMAq48KL3GxvhSgHaQpHyQqH2KGl/Xko0Vcsslh07ie0+e17F4GnO6
AG2G8ZdjErmmC7g9WZJXXbCMszCgE6KJOsmejRdh59igSWI+9NmX6LKHMBRHF+KjhlnIVQ9Fk6B9
rhexMziP1HDt4m1C8U1n1QhDNF3OhXT3eY8/+a79mOGt4Hgzb4taH8c9zPWeEZCGLLzJNXmVjN3r
FJDJbkvVbmm84BAyoJekuEGLp59T4lLeOTxfvOlObm7ba5Hu6JiNKcCKKewBdDl0RxjbKk26j8tQ
XgtNZ47BweIeCrzJ1ii/oEwC84QzGaSLx6wT+cUMtjxi0svHCC0qa+2GLuPT4uz9glmLDlhEekTt
8FNm1lVtsrbcQHc0c8deVdLJm3YNfZND88Ody65uJws4hnZa8GKI91vbtgDU7m5bt5X7TqqnXil2
KEx2Z4yIr0BnviQbZpXW6WWx3XOiWtMscNZHaNiWi6x9LfsR37d2jUfRL4GXilru8748oMyTt6jX
7n5Xy3u+re2hRJuuJpNfEts+kd2Wt2ydH2cCRkDXu/TYTet29P0gwPQZXk3f0aetXdpPiZ3sJbbZ
UPdrl33ZwBi6OhCex8RFegJXKqkUdt/BTgk8H6abPRnzOmDr6j3FogoxkdyBi/g9zOjWGHNTYHsX
dxibbuz1YRbDWCV9xppyK17bTo6cuRlcmN2X4HTYay533QCa12Oq+iqWpj+tdDuQST3A1i03FGqq
X+LGp3F4s9AJfMHDyTvQ7x7MqZ1879vxpEe6cBLMrcr2CxjKWV124WYfW111BORrzNxBG/fQteg8
yfwHjeEc0Hxo01LyUqyHZV0PLWmPpG3tq046f1pa+bPLNeZutdlxWYM96q38MpdrAjWNj/mys0qm
/XGd9bHIZdVOiFTdUiw1jIEn4N8fO5xeQeTdBCk23gvf8a0I11XLykwwQ4mWSRPBSKliO3cHcLvQ
KUlSaOF5YDuX1LIjdmg8DKUsn+mu+o99q8NnRMn8UaYRgfPRio9qc5Ou1tSz86z7VnIstgio7XD3
Mg0RWFLOyoPtdbHxkOL2WqYrvREbUNTZT9PrNA/rS66K7gk+Yh5AocXagbF520af8taswwFod/E2
5EidUiBZJ7eVw91kd/lljmK767YuVuBdsXdGi+4huinWbAMRfAdctKPwsBgLvvs5VnGfwpe+LZP2
1BtSZLfrPGyaSyO2X5bl3odq0dvuD2CMltPZAY/+bhNgpRUtuzjWBUukaajf5o/Z1iqY/HPMtzO0
4RzreTKgW7NZOX1J2bRm33qj8nijIwZTdwm0/6q2hE1vBbgy+XHsjcO0Hjfp5FCVvU9YFXApCw62
k3xUJsBJ9yPQN066rli52lYVarRM6HFCk791uUefNuUjIMFAwSIY3ca70RcTPETcWT3lQRDQ9VgB
uzKgiOoduGU45mGKc+X9BNtApRkNMCQSy9MKvIbwYhL4e5+wz7rArqFkzTlm5aRBpUz3S7I1CYst
2BZTrMCoG2po2fXFrr67msUNJx1igLnYAQIvQ3Kw0rIqYwDFfZeW50X0iGda4wsMhGeT0/ZpXf34
4OSWXpXcMhjESJ/9jM79hL44zFC9jkRVSgfDe5p+ij77Rs3A7knef7R9gb+1ZPCX3iKA5+j7GnKE
5YST5K0cV3a/4/m13/PvyxzWxi7ddtFKteB5I3efRRuvdpjtMUDL3rakAIuatKoqF7O8DNtW1HHv
1QEYhn3fS7MdYIjvlbaqPUBdml9KYsKPw64z8BmmttHUJ0+gKFCzlLOpFegnoI62qGk5gJUMzg0L
IHtQcgkSKCVHKbEAESE5szVFt0DkwtGNLq+opLdm1AMf83y+Ibnw4DcWuOMUrKPn0qH+mk2DACre
mSNxg7ktmBgBd5afYywXsHVWfVROrOfS2aLq0/gJJkMLD1YczC+4EOt0Z2n2Mx/LiqblKRNZNW8G
8xGrJ5mmb3ijX102f5zwAtNS9boC2rdyMZdfo6COq0EZgPmpbMyYUe4s+UrSDHA+KTEEUP2F5TBn
lnbeK8dAV++CnRLF7tYhvfNJ/ATcb+MW7D6/yhc9hJMIc8enyG4T1r1OJHyB3MZxjfC9oOSmhDcj
ns8OFccF9wt41Vt/YqU0F8gBq3EwACyEJjwYnR2Kbrlbt+7ZzdPPDQXM92W4BeZ16zcUb3MFJCAV
XcpZR9/LHmwmsLMXQEl0Swg7dzlYvbbb02ZO/chjAVNUpsehDSNfVHb2Aj1HqY4Tg3UwCva5K2M8
+kRQDqHLjxbv42GKqq8FwEiVM9CIUsEM1EylXHWZ4VjCopOVpHyL67d0ZbXPN0BKyGwrNPgXJdlL
DEHzflOmiv30LCJ4ll058xTF4ejWfD7Htpy4hxF7HhbzCIFH7btoqg7QocFeHAZNYGgk+q6cwSrF
W7lWftZlAy66rAa7fdJ6ukHRk2YsEyilBFTeQjRX3jz7OD4iFtCx7yXi2+JIk6HxR5niwJcifdzl
WuEVPVNdPsxGX0gb7iH2rFqn13pxSj4OPh0OenHxRDqYP5okYFuEsQCHxXQPI3UUIkvfQURJpoUb
O+U3RgcGdwLHWiK23fSKQdyRuZ2jqUWVMOpmthBTggDeqylBd3uW39MtnNPVwWoKT6tsGwCgUXGF
VOBA0UaPZlP27BMocwISTRi71TvOP2Vj2VcuTSZIEsqnPl9uZmlut85iDpripFP5KaNbgxLScrd3
38A2uA3Z9tnM4WXrxqVp96SvNSIGSr84wcwbToVXqIFU09RAjZYquD2p8AIsdYPxwlfYC8hZhYRx
Ghd3O2xgGnRGPM/9aprBuhecDDdWpuUjxb04bxPccjRkO/Tgd9aTLPsbhJLhDDxuPI54oQA4+fQJ
2GoKMYLXFohg4c8+zEOo8EgzC57Dmh6yfe4GsHFssJUuByGrffHi+7gN87ntIpaHbNggN4vg1L/G
qVunppDDnp0gYgdUzFwH2VjZjuvK5w6rQ6nE/JRoQa50DxgoTAL/RgBu1bMqoImE2t4TOLTjhua1
kSnd7i2j4jAlcyjBadpsB7ODTgdJTTzl/RxOGQSS7wYn2SWCk3GOaATNxfB0bMkE/QdW7uZ4lEwV
8CUQanwCcVoNMxxzsi/tsUTFTPlkBIIxg4TNLuVe6vTa2S7cUpJMXyxmvj/qDsPIJjl4G+cSl/io
SlVewbxZyluDjTw7s3TQUWUn/NlZESu2p+EeBYLudyLKh7Zlm3oa9BrWs4l7erMr2hrYYOcvK+RB
x1Gu6E5jYDTHZFHS8RTyXVx34HSBUwABFQNBdwUKsTZexfW9FblrQFbhU7f3GMzDdCd1kcUExkFO
eJLoxyzZtxuF7fOYkv06kEx+MnZhtaBa3UuPwkfs5WO/z9dNFS/EB3/uCdDVjXl6cEo8t3o/wHmD
kmbp66YXchgTpjhd5czXAr9Yqx8FRJRTTFWVTuGBTljzNSvOqyZ3dLWHrk+bPkfjkYXsp9HDBYM2
mH3yza6Z5HH1l701qNGs/+ytvh8gcW2KQm0VBsesZja4iox2Arm3dlBlDHCPsYNM28aAEq0JBEAH
IKe3kyqA4zP91c/qpgMSWYHPCIFsN53Y1t+yrrwkedYkfi34XMzbwRtwFK0o+0eatRHMvbmrsUQI
ULKUTdGLpUkK0A0aglMefZ5eOoLVfQnK4D5zBBIXsBV6HrdfebqnsDrK8AC+XR/rsZzMzdKCK2ct
QncJoroi3XwL4TJ4COAWw7bYjHdtcmSmv5loeyr2+WPa6UbK4dETSLmmJOkgQzcncN26KqrkSkR4
SYdIK7x3XSNYXjYsiTAEKVXngaUWyLM4L2ygfGXJQxn3z2EZS4huxbNOAX8piV8Sn9xriDb5AC5L
FSgEbA6Ro1ZuAZoX7yaXA7IJ+0tU3IM1+72foZ5zcZe39lGvpMEkO8ptezILzSA9GmZuc5jrU5ec
8US+Jwm5glUsIfRMXnFZfMOK7GetdF/7BLRw3z2ILb/Z2HYbJTrvbfF5XbYG0quXYMgJDNPak3Cm
7X50+yLhHwpcowt/2kMPQZ7ApMrz5Xaj7TuR4WL39dbo8TFk2SOMncc8kS8yH98zCJJ78ABkCgSk
s9v9SDp31Dsoky3373NXxKpM509wtnXpC4D2oiFigmeZ3eet0I/jJgZOXXKmELVDWPkwx/7n0M9N
sqbQfuGQ/Xd2zqzJTmTL0v+l30nDJ3AeGzhTnJgjpAjpBVNocCYHHBwH/NfXOpn31pV0s5R227q7
ysrqMU0WeRgc973X+tZezHHqe0izeLeCsbzude5WWmaTUKg4xkcaGHSQdudXdqIQ8Hnd3y+UP7WV
GFMuJpv6JrpfuuAWSt1NrF2dEa4/N0H42kbl3YWBmacEB7V4hz1/yqd+MplfYSUOi3wZ5jFtpVUZ
1S6E2BpHdwTtHbqRrU+LAo7/VDT0YIvwpFzAs6bEATuQeHg/WcjtBC51OowoFs3wDk/wTtbuavZz
ZuV6rPvwnDhUVKZYr+qo3Us+nBtpdpxDO/FEVrk3TZmtW6hTfPkvOkxEqrpB7RPF57QfyxPUxXQR
/aepWg4oKt8pyQ6+7t/abbyFJHat2vlztVmBRdk+N/W4Gz3fjetwV4/szrQVEIBpzSEQ5k1QX6M+
/VhH9UNbF1nrob5o+yleRABKIsGHR8tLATcd2OKrVKOPap25s2X5AtbmuW/GKl07o45lP37tnYLE
jUYQ5QzJB12dZNdq2HnJ2zoVb7YRe6PKZzYln3Cj9TlS6201YWFeKiUALWUxX0M5z1YdDBlrwUPR
Mih3gg7PHU0Obu36T1yL5GrW1ZhOl5qFLgSfZt09rM1U5Ek14K/FWu6cn+/jAvIHpf19tWz7LggS
UFPtnhbDcxNN73m/iB3tjd/HcfQlHqLgME+aZ8Mo+j0P1CPUn88diKklIAH6tvhScPpzVZCbUZoy
XdzwIKAWZZuZj5YseKhifpjLFaujV892ca/4VMtjNSQHaeizrNrT7Ns+Hddg2YMtcXK/dtNyJcKk
flOWbjfUW9jbsgE9kxsqG7wSzW7mYpgAs4T0Cm4KJAFYRqiHQpPBFGg+c+dI5tAmv0oViNM2EBT9
rPD8OoK8/AS/xj/yfvM3rJ2nvJwiiA0cFMFTUM3kBB1rvdZROH6uoGbZbDEAf1CdFG5fzOH6wbZa
HQ0a/3PiV/JhHPn4CbLKmzMbZJX4Irq4soAzInCKl1WI/9RFVmzV/djSKi2n4Fk61h06nMZ9LNos
ZtVOLfN8IxcTH9GI3okhhGY/bzTzIfFpooXZmWrJSRBDGa7jKlUUXylooLwGXpeGCT4TqB0uRUvw
wBt+Rdj4BN8PyzSWG+CXht1XjNkUumgI18m0OR5XifcUrWkDTT3VJm5SKLKPQT/ItG9Nnnj5sulo
xMNvPkZ1/NajPs7mshEZG5yB1Vi8qLHMW9lPIGLC9S2q4tetlMGrmPoDjKRxF3J/1DZ8LAh5Gw37
UsZrlkQ+yFkMpYC75mVb1zAbYJfktaF9OhQotQlcjpO4NKEAOab9WOH1rY6d2tk/x2UAiKC1r7YJ
rmNF7yZHbq2hW670FB3V1CZZp8iURzjUgaboNg2qqUojdFqkG85xUh37oMZGb/wrtIs7HY+f2jB8
qoTxKZn7Nx9t4S0Z3ZFw/lSsXkFLgHK/svYEHOHEsOjWzfC0XFHD6CIcjwJCxW7mluaVGKq8cQ7A
IMflQyu551tvsm0dIJ3BQfoYjheJoYv53lAtvvam6q4lm0k6r4s5tYqWT2xYqqe18+5KUHz0VC7r
nbRFC7V3AGMRYSHnMIPqO9hGArzKGPUCTmbSQRwu6ydnqLolc9Cfp2RCvzeFNMAGyk37FV5d2KVL
UIRvydi6VJoE/h9WayZbs9xHbSkgYc90x7RW71VQsWsry/JEPMOaBxEzkD0O3+hWQJU9BXHP772N
eL4svmyCdG00em3wQfic6qWFwo7Lo8wbsDARCqhSrjsIWVBn+srOD3SdV4j03ljwUyWLB6iH0DvS
NtzIaa1GyJwGHZRek/rbmFQ4xFnHrg2busd27bpr5vr4ivUbPSZJoL/RhamzI5t5KEgSibSsmgk/
SjoOaARICV5TCehGqvXU+M6cElYuV6QwYtfYJHwH4YzZHDsgeWXNHGbtMEYX8am7tbQPDgVxy7Fg
/XQgfBzPPYFXNqkutumWaJYXwxDtNfiQ+2AbsBHXwlKb4SnN7zTr2fvo0nNNcsADBdhyKDtvISAE
orp1y8BPfLbzbpFRdYZ4Fe4XAjcq1cwNe+lR9jbhVJ/EQmyUlobWueslzvQqbqYsGor2VAQqyAIK
nikL1cLPZivZNy0UgJ+ttUxn3CbNjliFWtyLNukfSTttYQrmlKbGoxSD2vOOwK+RmVNL9ZG4sHzf
C9vsNIyHIYd5CkWoWfwXBcc1n03LHrqLsKuJUrlsWP1StjA4TVKHN7VeJ9SyUqJG4eKO1vFyP0a+
9nk79HW0C6F87bd5VbtmEiO2Piket/EukNBJALVRwGnpksitgRseL1fUTupIVnvsitY3adFBr0tB
LtR5CS+yfRTGCL0vbFOXu0C57ispGPlSTMlytQHR/MpZVFS564rpYwEl4r1jTR+BnQJ9lTpfyZuh
ZSVJW+Prj2AK149dGfZih3LGinO0JcG05zoZV51ONb5lXACahtQt0eSgFoH/SrdhXBTqu5HgnIgd
K3bEQN6ECOm3NrpXcYm9ICrUuBx9X6LQAwpI4tNGl6OoLnLhwBuHp1jS6iyKPnkn0av3+cZbBp6i
w4Gzm/tiCg5EbUm0j0Fhww/uFlRSi72gRPO8sd3AEtvmbQIBMJ1Ex/WuGjvY9U2yoAwdNzh8qQZN
qDJlYqmOgm7tFVllafeWO/sGARYcpiYTXJrZJjaBhkvNK8gVnDCVAOycFUO7jntLFZNXrRzK24rg
+Mur2B2gAMfkCJy69o8AUS6rqRzokmvGfNdAz+jIl74L4FDKoMNOGwFNW/dKz1BRheJoZfGPYDcA
FV9kqMKjopwL1vAd4Tig86mbebSrQ9npc4kjV8JmEtrcRE7J6qZfoQN/EqJpxQ1oX/CpUyO6D1M9
LyuumrbwRshMti1VRgBxA6qhzWp7GC1F8pV2m/hWRKgpUg+VcDon1aofZOkCnU0Qi7J6BAORBbL3
0ExAi4CGnawcDiK0nctBcDb9ji7QkE5zEtqvPKCwOEIfbmHelv5dsSRbKuQAGzXhHjuGbarPGoDr
sBsAmyZQEDoGGkQnyfZILArqsLd6Ps+Uyc8wObY1A/wzr/lcFABwwiiQIbDZorlRifPfbLOi6Y/C
ITR5UCBdcQh1EMtdubbjkAchfI7UVnNV5j0ox2u+bHS9dhdk5IDKG5QvWrMSzWgtJ3ae+wlqGdaQ
2PbLxmMgD1FS+PWaBzPIPQC5cZAva6XvBugZahcpIBUZ2Gc13s0VU2y3JQxkZjxD4Dk4B+rkerRB
Is5zo4f7eC08yzQlZ4tjdkGHNa/NU42ab7yhs3IoaHxAge1EBZYhjLclQFnfSfBIazgYPM7aDylY
KIAjC0+wE5MIhcKOuI7pvYsDssKrNzrZdfUUfC6HMGTXA+AcKB/EQU7qC1N/WX1cFqmNegZitMaN
ml4+uKAHQAJSJ3JAbJqSZVjBkCGbKoGtpMMiKbJhW9YnoEHgNCGw1e+kX6l82NTSvtXCT/60xGVp
njXAB7K3UYB2PpzUUKY1irbifRvRVd+A0a5s6vB/WWGYlTPO6LVgE8og1+kPcXApgXhQqhpV+CQh
UNMp2l7EKELQsXIpYyjV9RhlcVuW71HrMpmaAOmFh6ij/sti5sLnGhz7lNqg8q9NHcE53YpO8hRx
l/mNGK+brNIlNEO7xHy8G1TrvsH+rJsLSOrcbkj8tKaExOy9p1qj/IoNDtMBakaTgcsK1q8hXCSz
V6Br4kOYOFVmYSmjGB9Y6TTq8LpWVy2tt28cEQhyYmPL5a4fWpek7bb67hyHfQe6cRnAUnWi5u3e
JbaM0krX9L3jC98Ohsdi28VUFJ9KiLzzRwFIY7oagpqOuaqFwT4ej0uSWZQ7EIwDHVyjLQehH2HN
sDRx8fTYuTG83foCEY1KBZ3Ip23sQa7OLTgbbOZoqYGrtMcVMNQeuyHA1NC5IWsaWsMJ39AXotbT
TFxHZjVjXpVhO121TCUc2+KI7RPmBlwK28YEdj88/S6faw43XpSer/vCGTO/wMOUnwoYjdBVSUs/
U50EL0UjBpcnW8vR6GNxwBEYEq73vVtH8QDFgzVZKDaw0aaYYn5dL8F4x+uhAw9aTZ7Cw+YjzWyw
rOKEndays03QQOQLELMpt50SBmdc74u8JdG8Zfh4bXnds4IBKVtFc9Mq/MNZj0RXWWO2Bv60lCs+
i2Fa7lDTrdWeTQygV9UF7Xi2g4dKRgbQ1qg7WVNeT5BHfFrIyH7Wm+n1vjOFmrKp3ZjINhgp5rAx
w6tDiRrF4m788tli/SQQ10IhD7RqAEyVSq3DgRRN8ZZwFfgDGCgtD8HMx2QfuRC2r69LA2prXDvU
YXPZV9lS6QhKYenGG5NUrNmZWgiHE3Dxd0gO0DVrpzau0xH5BoAmA0AUdNB9WF2NVNt1B2oGOwer
LZ9Ovre/R0jGZNpFxRxvmcbfih2HKjhl8YKEymEyYMXQcbcwBMse4lzGqR4qvqYGvMC7pt8uulGw
8S2L+4lsV21NRVCmkrcKH5OONn9LYo5sCE8WMV+2FKqxy+DEjtLvYNc/SW9d4NB/ZLckSpo4CUnE
YkElmhgK8vUHeLTDBtnpkqKpKkZ8DXYi2JrYuOdzMKR4ks1xM4df/ybg1x9/M0ZEBPgrwf4eg4O9
AK3f5cUI4xWk+YbliIaEj7GE6siMAZLa9NMesnSxR4Rryxs8iGwRo5//4p4vebQf7jkOI0YFzE/G
KfJxP90zVLzSbwK/b03n96Qq3TGmG3iJsFy//vpW/+yneAgyXsbggOOf2Vy/oPAcSuRCCB3bWxqi
IQ8AzOWNauTjr3+KXC77x9uigIl5BDAyAt4g2I+PVVX4uhEH4SgzNpC2MxRFZVBgirwwQXhdzxOE
r2ZECbRh8x0gwadzGIXZry/jxzAgFlRMJZeQokMcFhARfroKVOt6xq7BEN3S9K1BYeqytQnadDBt
9zChHfN/8Yv/tIRj3GuUxJKCgiZx9NNyQnNcVPgmcZt9VKZ97RDB0GEOCPi1HMMHowAI/voe//mt
MsG5YIhRQj+U9PIMvlvAo16R93CLyGHLdDlKUp+yFpBQGDv7F9/KPz1OyWOJxEXCIsEZ4/LHn2IO
vNsyW3DMpDav5SrrKz9zgvgIlIS+TYLjr28NOPuPiwg/xqOYcg7anfHkp1szrBxqoTq0BNKweheY
CgDcCm1R/sVb+5MfigkWi0B1h83n52eYrDOOm7UHKDCG7glMbHm7chfvfn075J9/Rkqoe1QAGORx
xC+L57tXNW+A41fF612nBdt3fU0PDeENjoSpzkZIR5kapU9xEe83ZF12IDm6tOFdmcWyvHQEKwzq
GMmrX1/X5bX98K2iqf3+sn56rV1T4GadqHdbVwL+aAAi+FkrfJZBkwkv7E2jVH3fFgn9iwX1Tw8E
+y1eKz4ZRghhvz+w7x7IgOgr1lnTQmRh3XVfbMn9VoXxX/zKz18Il9jYJUU0AqsWlfNP9xdCr2hh
shF49yAkRlmtdz3qvFTWRZn/+lH+fEP4/iTjBGcKRZaZsZ9W7MhAt6N7ryE7EzhlPmpGQPvrEC9/
sZZ+viesVOQrcHLEFGiXiMIfl9IUgn6ZzFzuybrR8Ub0rn7k0RoC7gFz4v64rX8paXPz94z7j7Ga
36My/8jc/BfN4/xFLp7hYPiPc/H/GwF7YGw/xnL+CNRf/vBv4ZyY/YZ1JiTefIS1jIT8v4dz4vg3
grM9QSqd4+/E5VT4WzhH/iZlQkXCmGSIziM1/+/hHPEbkjQRTbAFspBQvOV/JZvz0+aDYDzKzSQU
uAJcAK4EV/6fsfkk9LJUf9h+IlQ+TMYRAvsoOthPu6IVeib9MNN8GLUurkGsQOwx22aHVC/J8FmG
G1UZ+Nr5ZsWnlKMjljdoIcRZdnI56m7ybx79x9l1JSgo5SPUxBeJIGv8amDzaSfed4VBg5zMkMXU
6gykOk2Gb2qpp+O6lckuuLh8YVhFH+euHsCmMvdItiD8SBLIDvBSmkcROrmD/aH2cizW27JZ1X0V
YGZEaqqweh1BWQNyZ+HwjjoLxgcKpoHrHpXjPVOiv3YoZc+9b3iE5CyR5cUMho+yLRI1wTzaye8Q
Z1K70FYTpgxsNNz3WycdErSuCHDIuvqbhZEeZlM1DGuGlHByKqpCo7ooEHDusMtBvC9iARWn2ZAl
jVra3o4UkxQyHlbLS6dWtPBBCDA0m4lqZlQpSJfmFq44u0nWPo7yYS6j8arWrQhOqqDTksdirm9s
tS7HGiIhbBsrgFRAb9Afeme7F5zH6oG4ErKBivz4GXEUoMIFLjTYe4j4QxaSxr9NpYqAjo/NqQ9C
9l5FfbcHR9PegtKAAsEQT0udDrtPBhA/DF9D6LFkjm2noLH1M2yc5Tp2oXmNmrlGbOOS4Y23pX2x
Uwnma2r69tvaBfWzG6rpFunD6RqqGRytuW++omiZMDMg6B4jbI8xbLWqOQe13vjeT/IWGY7kC0DS
8AwHtLwlGqHc0ortYYm7+nkDIfe4OV/cW4E2M19CPeC3l6LkadHz4o2wsgfmHoffxrVtP00amGuG
PA75IsdkzFg1bTdSFgqAX2K3NqNF2Z9QiQN8krWfAHm6pHhU7vJYmYJbXHsWwFKUTQ3RdS3PiEvp
Hl1gTGeQTcl42sZOYfSAMurKIQDzHIHSvdfdCL9/CaJb6VRkUsx8gMi1yb4D+DCGC6jX3hUbMiPK
AuCo48uYCDGyr7REjxWHY9Ps0UMGNxFYF7+r0AFfT6TVEGqWZfgKxZu9oO0M1otJD4gGZ/rb3AYB
9FBGPsw1VHQU8R0sbzDlsJxA1H+0yNa/JkjafGaBdTcBSVymSxMdoZTXJ4RuBqTrxg6mdOUASqzb
cC4KjHFIFwSmvtV0409mMQJRFlV09xYJF4hxw3zj7bA8J3Hn3+FwTE6EFTHq0IZNN2uQNDf1woZ3
gbaty9QUDPUBqsT0yBH8b+AlNNX0ISgkArIK/uq5bBnMra1CVBbkSXUSAoMFQOiACtyEAzzdbXkk
vDlA60ZchvpGzIjaxhE2KIfRDZlK2uahc4D7mIEPUjXOZBSIyi4oIIuldTKKHUIroBSIIBkSXP3B
hkRlXZk08Pi6vnvXrCP+dy0d1L3vVnIEUSwekQ374jwpd2XhbZ3GMHxuWwRlrvCphzkAzhZNlJ+S
8xrxFR7K1F4ls/Hw2tmWzckskMUF6bcGUEVjjZ2kEwHhMI0JMjCu3LJ2AzRjiqHClgYlN0z6pcxa
iHWfpoav51nG4yswGnrHtuoFStN9AfUC5opowWYskwLhXIIGyuoy8p8rXtPrpqr0k6tpFKaD4tUj
NjOEYjZkY15k51pY9Mgn9VlfeZaPE9reljKg2W3tCMT5MY4+imoK7C2F1fQ3WExMk6wA7IQ8GyGA
nJqwKc4+kOSZkjmu7/0MOeoKdCq5ZePUJXuJ2SunCEA7wiBmul284rmtomXvZFyQ4x/Y2NAhTgOB
2SRXf8aOeSXij+MaPlBV9KlolE9rxcL95mjzqkxEv5ULOJdfgWSBb+yzFyVBHX9BJBrEeRgm05yC
OdJ54Td5+CuMbDQTS4dKErCu/9fRMeDwMxJW6N8oxnCkOAj0VdlhxkfdOZdCyq0Ov9NfjQrkXS2L
j5j8ge8SOzoIZELzLVhOc7ncRXUL2LmuwBzMaCIkEnlwXrxJjhuydZglUC34sOqL245I2R4jDeiX
n/gv6B/4ZiGnnf8H+/pPx77oiihVZO1/L+wrQnwzLRq4VMNFY/8T7Avh3uG9d4CJ/79jX6QVB83M
/yH2NVBMawmr+bpdkzyOjM7/CvpqRgAVwlT28c9hr8CChlpl9GvYS/P5REd1Q/zyDE4eZEACSTgI
EZsfYwwxEXTaYTIPKDfkYuN0SbrgqNre7KKkMve15uyhnq0H+ocBF0V/qVIjT149mfkTJPzwPFwy
ibVukrRPUDUbZFZT5Tg2z65lX2QStdla1+Ut1ZHK46JKdory56ZtVN7MLTwEtjRxNntlX1SlAGhO
cOJZawJUvO51gSX6gElEH5S8JFDJyq9YjOlESooBZiccsBRed52b2r0vCjmGWYBJVqCcBvkIMk69
8qotHktmwT46MZCdDcAnl7ZbTo2s6KFbRtBmFvwnxWA2D7J8sSE4IvCJPccclFo1Ousj+NnpClA9
uKpKWOlZV4BiLOL4K5LQl1FEy/0aTm+Oxy6nhTRPc7hAMm1Bl6BYqbOF+CmzcEZuUC8C0a7lp4rM
mO3BpjY3DWqasEa2vHJL85LYOnqPTXnNSk5uewxvISgLMfnGuAxuM5JNk38/TT3oQIE4rqO9S22X
SPAm/M6g8AD3H77vMFMN8AnAK2ZgtJQ4n4+sKXyqR/YxEgQMVkxIBrChPUdtVeUiqOqsDaBsBfGM
EwQvHVlzZu4J2PnUiOolaurnOAnAeiIPn7Z1iLINVsinqbeAvKJ2rnYI6IPL9xY28VbL02x6dTfI
VuMXfYm8k1t88DQhxHWbSLZmbAF52lSgOXDn06MG0XbWTCLvOWGhdq1KJvwOWc+29/R2GKoZ6WBA
MNdywYAoEHT1Y7NofVx7oGkCVfxXeHDLvTI0XlIlQvqEqnTcwULTeWMiNBNbj7E4KHzNXYl27Jiw
qcRIH1C/qaaIRNK2Hw8w27pDBCftI+IJdA+hHyIx0DADSDUJMU1qsfeSq3GHkQSAkDDUgeSVXfTn
AVDTTVnNcMpU1R2SWkz31TggzDDAK07refPXIzodJPY5+4Zcg8dItB7DL2SlqlMoOJYS5tv0+VIH
7rbxgL4I1tmBGmbOFj0GxgFs5rPrTHSO27m+jzGw6cmOCxDUrgLaE/Lkmk9q3g2qaF6BrIYZam4L
NiWxL0JrxHSQA9c7FWDt9ZFfj3JR6x6xbHsdtg5UCYmn5gSEDKAjqyuXBUbCRCTeHia7LGhmxnlU
GUCO4Wnhs7yV8RYj2gk++WWrAwxGI6qUWROH7UPLmydawBzHMC94JnqY4Y35+RBHtt5pjLfZQ4Nr
kFyd9XDAcI1QHQbA5i9DqAEXj/XyBYJLcjBzPd9SDOfKN0/pacS7Pivug92I2SYPfQzMJw3GSWIc
T009KqSlF1/UNi7nbo6SO6imwye9aAFXHDZleYMBOctjV3u7h0nQz9nsyvqt1Tr+1OpK3pJeTX1m
WgvSJXT1mmLSR79ThoQfdSvHD/PIhzzuSuCpXeGn0yCbYF9LaW/ksJobhK3GBvyvXqu0ie16Kwwd
AFg39as3GGQw8rLZG10Pu3LaRJVDrQ3v3bIiME8QiU8jWcAnHQfx++RBF/Z5P03s81gm7FhqGNm5
JcU0Z51WwaP3i72hyxC+ICvuzqCs42Mny/ABmyz5EuKabwUe66kZJ0xS8A0bc9YAbgAdUB042ezH
rooR3CkSjszVVpX8ZabUvnwnw93/oRF9P+3xT4RruB5REkFTSzBA6uLtfScf/78UriGZw21hMLdA
8jPy0y/XaDobY8BIrwSpg/Gt3m5+v7X/UVz/1x/CKYVy/h8rrjdf7afvpyb942/+Lrb+PmsUZqaE
2Ub477Lp38eQ8t+gpsLR5RDgIazGkM7/JrbiX2BJwufFVBHOaEQgNU5/jCElv2ERwYvAn1L4sLCC
/xWxlcc/ippQWwl03QRTUmAry4un/ePSXC2OnRiHWY54Fg9zZmMgy65uEB+WUzy3WYRP/pPpzYLt
ZqPRfULK8FvZY3wL4myYYuEKOQx2D/zOnqOJqfu1r9YXbDb1F4x5KD5Rt/rnTdNZA+cAxRnyYdmP
cktuZ+DN22X8qUYu1Joti1xcXwHwsU+UUMyZQ1DraIir8j6EL4GYvoERjE5zv4mi+DwA9P+KuWb9
jhXzeKdXZs++tOFV0EXr3TAsDTLbiNGHSsUv0xzH+6qS3Z01UfUWoWYBLLHaV8Ka6i7q+zhzMQc/
XjFkB1Ollg1ZB85uqkhud0UvMIGGJxVCNRzBiUqPCBzU3mV2aduTU6I+br2cvi5cqUttV78DkQeC
sh3Lj6uYMfCmLACTwme+weTH6LGukVJj7TZ90MUSfSJtD3qwH8BYeRgpJ4yri943W8X8TtOyv7Y4
Lc81rdqnGkwnZIohGhDLMerQYOTSqbJjdBU0kb9SHPJQOixh9xWzDyaExRAD3GEUFwZptAjGPpJw
jHE+xz5JZxqs99WsHYYfYLjIDSbEkfs57pCtVhjbleNhsavENfoM5Xf+Imck1QHQtMUZkXl9aOEf
IQK7IqCbbPSWVbO5jSg45GAezIfOefoQY3zKu6qwEjBwiDlQGpGBgWzNB4zPUg+6bfWXZnHtlU/K
4oAog8TY1sZhCJBPVgyQaGqw6F1XvcRBlISQs4i7BiqC0Q5FE57WOWGninj+5AKs3wxSYXeuoiQ5
celmkKDOPeFBBFCabbgcYYOQR28FeFJMUBKfMaU1eULWA0oBQn0DRMtkdmEG9sg8Yyjgsjd1PGAc
a4O0D0V2XPBFvu/UvDQ5Zdo/YYpr/YDhR9s9LGgoyk0XyzYF01rs4K/AB/BjADAQsfcZ2KzEeCCD
SXcvKLPYLt6G7uxWpY8mSEDwdxuyYRgDZF7w9kHhYHzBMKO8X0fksTl9MGAH02ih3mAaStVcBapR
j6a76IKYsgp0YSMYzMMxbUhf6XIh+xUzCN4lUyLvoKl2WDRAhiCp9hdcXIg7jqF6R9fV7XnTMQOU
Fgt2lILXGmk5uuZsKcsj6Up7q6mVX+QKXadRYXz2m2IIJXMVn5cCS5CrmrEUhjByOnEI0g53rObf
p/75ph33iwvc9bAhTRvQlpwLLGty1RPkQH3LPd/LNayrjPJB3C+BZOi3SvKFdDIG6t/j+95j8E/0
SC9UVbapWtaZxdgefQWEfcJjQnj+tURgosyQa0C0iRr3gbeYzgCiqJsKoD/EdshwtqtJJ78hB+il
xQwb3eN6FXiqLxj6g2gSEPj5ZXOtWffYDWKatmu1ftRI/IG0ty1/34UQ6cOpKCVqccZOKFuWT3EU
6K+8F8MzXrc6YgpTBbJ1Kq43pMSB6VSGPGBGY0+wnofurQjMclaIgFxHImZ7EqjoQzeKzqbMkWED
3wxqKsUZDmbJ+bXYFY7zrGpbcZ1YbQ+YRqJPiIOiQwGonw/A+pEGmJsFpve/kXdmy3Ub2bb9lfMD
UACJBBJ4vLtv2G02IqUXBClS6JtED3z9GWDZVbJvuW748dzz5ghbprgb5Mq55hxzIojiDi+9sKKH
EcLWhpRseT3ifDv3MnG+j4my1+Uk++9E1PNmNWWjK16Sqagwu2sJXy2dnMWrXgzWdxETAxzWuJsr
45GYuu5XatQAVT01jIfa6eLkBufznK28Ms+iDYuybN56xGz0JmzEsucwIKB0aUQoI8MueYEoVpwb
ZsN4w2ekue8917rTpM1wyQWJ/1QUIyFH7miWtzJw8I48V8roqRms2CIECeHRj53ketBN6fM9aHkO
lYWHyFtL48OuZ+JmcY9XbBMx68DhCM36DiIHyK/acvbY9gTwpyrocDCGzyqJvYtC/S35tQJOnaTR
AfQGE5M537kJDi47SYCeDZdjzG1teBuommwTNrejV9XZrUUGa95M3BPOMlDpxunq/H7qbHufzYPa
witxt8GMWU0irO6DZEyugHXiy3Xw0p6MBEMmOdVxHwtlHwljeMcUNne1MkAG7zo8lPzBkEEYgoZG
LejdE343YzNyd7kCEE4YpYbsM0Zteus3Wb93ubdiPQ14ZlgV+xgenuoUon2TwGdDR0Qh3eu40ofS
yirrvsiAo6/8airTVd3mRJEKKfyrYpgKY59mI3JClDWsSBzS16w6TPa0bHfMDnm5CpsrnKZVtfV8
0GIr0mHZbUh881sxcJdbVY0nRpJwTfbg2WV21zIC8P0aTL6jQ2HraWekkfXs2CIasClrbpkaQB4s
CYih+1Kl3psKmvSNl7DwN9zJO56xE2tSJ4dIt/L1NG+wGPOxDbKmvAl8j8VR7zdcbSJug5ea7d8O
0Iu5MLWHuTg4qTYPRe6Tq60C3s8mGPvnYbYzmEyJdpYYS5X3+4A1R7oBDcSxY0DvAOecMWZgsFzj
Ph+O7uxa3dYye3nfd+DOVm7YqCsAELW1sjs9PeNAsfJ1Cs0Mpz3A4JLlhQq7DXCj7ibNgIUnpFlc
fn6F/drPgyrc4vBcciVVy0EydcFd4RZ4bdOxhcWnjaHy1jCouqvWzfwXwF7pWxjzO1tRNHNx/nzU
t2BT5DTsG5hm97OstLFWBjGDVViyjAtnwK3/sOD8rXH/f6Z14j8DTa9e/2vfvSZx/W/G+V/Apsr6
wqfdMjF7OYhhvst96vdx3v7CHQuwKQYB7ITewjz9bZy3xBd2tbbwlWNi8IOV8K9x3vxi+y7Tt5TC
4pam/hbX9I9mG8fBxqc81+N/gxGN+8afHApEdrNiYGm+Lev7IO3WJqZyh4PwlyvOv7nNWn+8M/Cb
WSaRR6W4MfguP/JPd4ZM8e2YfX7M0IZbi8dmUNo7Tw/rJMwQ4+x9EE74sv2btrj6zz/6z8a+P//k
xdb0y0W69EMSPhbRptG6atoNm3gEVUgB//mn/Pm6/uefsrzMv/wUi3fMhCzA7ydXK5KP63Tjb4zd
f/4hf3yvlheRmBz2ViZSTINYP//4Q+o6Aa48MpM0WwURjAD3Nvr4zz+CiyL/k18tK9ISXOyw5/DR
Etwcln//y2+SQoeeCBMGG7Bz5AgUaehedwP8lNrocJg2mEcSC1o/8K3a3LYgKr+LtMvhZUj9I5ya
ud2YY5w81gYHH8gideWMtvgpefjv4iiIro0xRXxNimk+zE6TbN0hQI1KVRPeuu4EidWNg/l6mZW+
Vbo2Xkbg3lddIOKT4AxGe5ojyRxkq3WdDdZ1Aw7x3SUAN62yIZKwtoLUuh0y3e6156Z3hQidfSs8
Nne/AgyhYU/E27OMsZ3c0f8DZbjoPs2WJ/44OoApgsxbgrvW2s6zcWf6kHnXn3TCKuDg2rUdIzEZ
FOu2bN3w0GR8qvF+m6d6LuVWI2yum8pdoGLcPlf2HHf9MbG0oQ8kYDCVVBrYCNJTODqP2uAAPyBl
maepMWW5lSDY1dq1ou44lCn6KrxGJgXRyuJt5HQ/K10jwXd2RdtDXTry6ZOnN+gFqQHg+zklcWxv
SDEBzh1l6f8kSsEIJFv7EEY2CcYZXGBEOLbvwbiVLsyMNg0eyFHbu5y/6hqvDED4rnC4gY4warH5
l9HDBDb4e9Zm5bWuLJKMfq/3UK70VV8Y6TUA5OHGC4J8P4iy2nDhK3eln5ob0i75GtzrtCbmDzum
VzBvldns2yGd0dffHV3whbW03BiNy53ab4dHI7Snx34QA5SfyNiRJxdXn4S5LG+mZyVD/WCYTnom
EA/1sRhmnSymF3mcmzp7T82wPRsSEO+jwKhySAlB7tukV2D63Nw/8aGDZCnFdPTMsn6ti0Iehtod
NtILxH2ajvkPLAXBsSvc+CaKQvk2RC17ZBb/t7brWfeCC/su7SO58G+a6m60+3qjCRNVN2MXSvs3
phz3hHYNhDl8naSZuft/MOXyyR2tk5mjC6y8KXJWlu6b+06a5n3t2O1DVdvFttSpmW/NkpT+EeVB
/qDVYGTJ9ImZQ3rQhOCANb39FWZuIKkqWHhPtsCi6xv9a9MDlvgVNkeBi91s9DjZtwEbkfS6bWmY
ATRrhumutJNUrfLYqJM1biYcHESYPO6WtujXA+P9g28R5OyHxR1vNf7GJFGzjpUfnUKVTGtbNsFN
J2VUrDAu2M+VDv0DM3904zTx+JW4jbhjmQKyJ4Db0opO3wp/GliAhQzlVQk+bmUJ3kx4VTFgE+Te
KlkFNeEuYrcErxs7djaFq+yG/Gw7XRSU0Y/Ka8SHcgPnvWgFt64+a7fDINtgVXag3XqKEE6WGFOI
ymbu7yJSJGpVmqLdhSBbgB1G6Vcoy6AA6kAs+ywjfrTcuax3YRs7V2lUTkfXE82pNpL4GOnIP+Sy
naJ1S+yHYFtgAvITvXhIKIf4sAyaFdY4xoqPPNTvnw/y/wVT12Is/mv59OG1aF+L94/6/9ZQlz/4
u4bK+LSY0BmSPoHxS1/T70OX/LLYWB3FSCZ9ogwc5f80rFqLOLJg5n8brf45dDlflLnMXFwzlUMg
gVDI7yD938af/1TlBLv3D6csYxeWUCEd1yMc43nY5v94ynaJYXOK5TzgPJUdQ7OIKsL6boiOl3XX
ZU9mxK5MrztYae9dBuxr2IJmhDpTd/mjJyMT21hMQ8aAdrbNehfzlrarqVpHVDQMu0woB9KPcBcS
c7w3q5wfwAffBDrCE3c3YEXnmy/Zdmxt7WXXtKtkElhMn5ymwknXftfmwyEEjYLnL0niA3fU9ElM
ObQVEGvwzbhd/UgMs3uH8+VdT6URnr0G4JGOwMShSrQUX8CCJuJVp17+lZahYkusm9R4NMEhyfx4
RjX1e9KTkoYRg2dC512XZuTee12fPc1qKn4KEl7E/ybPfo1U0pwIBnubMTIAPPdlCx5Cq5rr5cL3
cfX8UOsB8Bgv11XkFNOecB32SfLymr8QQ/gHaz33I2M/y2020DaMh6QchxUHcMsNexBcuHkefIdC
KEkM9t3dbBjWiaNafeTSAoUVzEUGHqgiIewMbqKJkmm9Me25v4SUaanVpC2g7Spok2+kFVP4Hio1
b8vI6x/UshweG9d6H+qu/dF2TnldDE5+tDL+Bf4CwGUkEkCYscF68kYy1vBZyuupqwwfxwF9RluH
YPBt448kxPvRfNVND6AK+lPDmTKW4RbCrAcTePSeQPm3LwSC9G5gb/2dPZl38Xgrm7UZGMv2j4zx
G0p9SigOJDx5ZiO/8fOoeJWOkAowVz9+dwvDvZDcdFAslP/W6Bi+UwlFDrR+cYjLVl/z+J1AEQPz
9T0YHNNgdpfMTroTea/w2m/D7I6eqJmpzirUe5mBUXVoIWDqcdpjB/GkkGOwi8esO7AdgPFdWvOh
ZDVJ/0REk5DsDWA+ccWltpyvOXycF5fA3yHt6m6PYh/c2smo+Qsl7U+z8NO9nVQGxJWmutYBymlo
GqhRfamfHQ2lAVEz7eVmIix6oEAFLjF8+PYga9vYFFDxoUrmNsF6svMoUpldGavEKosUkAKTEGHc
hJBZQ3HLRVZJJ+n9cYd3BCIaYkCpYi6e0zfDp9AGjbKBdTYval41AhtGFknENcBs/WOAsM0APZLx
BM7a4YJEDwrQxqsUZo92FSzhTM1MtLEreK3qDgDoqq9d48WLHHllRoE1rIvOd78z4lrtKujKKTkC
yPLv7FJX3y0nGK6DNg4uYir7F8KQYb4irJWKdWDS6LBS4CX48vAdX/X01O112snn3kx7EPOhWb10
dsl4HKKmAZr0RTqvyPPrM7QGJPykDpRcYXLOsD1E+XwzZmG4wPOM6K4q8/AxtswsBS6V0IWl8sT8
GdtlCv5WG/OHjV5+pZ2xsEA5yhrFv8keW0Tlr5WCwrrFnwCW0bSTp9ntgqfSqVGhajdy1pVZcfyq
aNSnLM3654YAcrkRYeG8FotZO1ls2+j1WI3jf7i53Qg6emjkA/gUyzaOGRyE+uT0jgYyVJFkviHs
HmM+wcWBAuoXmMfnkI63Fcnu4bn1Z1T51BvEA1TbZljxHmFAV90MaQ1oR80lAHX1bFGqAUNZmbvE
jCZv7XQyN1nvG1R5JI5vgBVJvGeiQtNOerWGI4wQiHWmqOkQKjx6qXiHTf7ZK50SzBCfexZBXWQ8
Rp40nkAgJQZkO98+22UBviRxgmdG7h6JWkZdvU4mr30Li3m+I723EBuZ6Ba6nemyMFKdu9ORKYBB
5j7TDLFhf+MmZXGJCSm6G0S56HYcs/gn/XQ/ZVIM0PwBhAcGPlzafKKtXPrpVl4/Gm+RMeAaYjAb
D208xS+i43/5v2VwEUwSfz24rF+b1+K15j7+8Vlq+UtzJX/u9xYc/wspR5Qgl8WqctSvQRubCkoE
IYe977LeXfbyv80tVFCaCpuAj1Tkki+2mTZ+2/1SguPxL9jWUjAmeBbYf2tu+dzt/ksdYPcrSLJZ
pF99ZiFUqT/NLfHSKwHcs95gEGEPIT73EAm+KrxYy3oCwqWERM7Kgt3fcG5rLqXh50YDrZ+2OjLz
dLctK4+YrqfzDGdiN4hMP0L2ir8Z0MFCrEHsS3LJgwU9uQHhZ07ya26RJF6ly5YF5DwLFx4ZBhEx
kBrfDBvOg+BieMbjXb97LldBHmMdCjzlGWprA2fUq0gUXQEAKmmDdQl5Il1jGO+/kc4fT+HnSiii
pulbWvd8u10ut+KktcsCKbBFF61ZL7dPaU7vDdeu0IENOeR6ZwlWXjTUSPiFlnNnVhEJDCMhI7Mn
0zLf5jabsNNMXuLst5oqGCfMbvJpVMw0XPpjXJsJxWycIqs2shM6ECR4Rtin9d6p6nqJzSD7nCYy
VJSJ4UBKvjFlcOExP+u2JnQpWG007cGmHN0dXh1WpVixvks7o7Mqrn2D+xnpfsowiZps1Aip4Qho
dAKMn1TWbRoKApomK+MnZ66dJRXvdMVWyzF+6a2uKs8GjKePdqiKBzev5ONQ+5Tv1HXdoTws5WOm
owEurtJaOK+gPKJ7fh39TgSDKbAFCPuSji5+99CzDhCFMWdyrnO1BRMFWoBr7c6AvnlVVjyzSOFb
j+5cSZCN8Oipq6DCNEIL2fJhEnfWGIh12ZbqXOdxjEDQiHUYuMD75rzIj0nuDK/SFc5Dlan2khcg
lIta6gcKe4o3Kd1wbzeGfaqiJPsxSse8K7g23odmMhI1TLkz5mO4oQY0Z6tVOFfw5caTPafdSekk
/ArID/cgWCx/A2KDD3+dGPF2ngMN9WxOj2PJnLUiG6TPHha+UyVVsaY+rD04TeUcalF7W3og/VsH
88RDLM1mm6ZEEchQei4sgBgOjRphyrHbrn5wIwAJmg7je5NRRGDbKtibc0ONkJk391Yop6sGL8VB
DHO360Wj97CCWyicWlYPQcB6JaTtjuMU4WKddMnApn0ihtK0OnmNbGvYo/EYR3Iu8f1s0Y1j1F52
iUoYEX4UuS4kMnbHbub2W9hG3qkuAPtGocetv49tMj9xZe/lNGliAwn4J4edDEuFvCcHoGA4aJHv
4qKxcDWEyYZ0un3oKgASvo7suzr2xsNUGxSkeqPvfNBN5MGj7+U2HZxoE3HxuTYz3oI6cYlqNACC
xiIzRyaPdNimpOb2vdAp2lGer40AmMpg58Ee8Utt2nFYUNlVfa2GJNuXsXZPU9qF27gc8yMg4ux7
QSoOFHlgng3RCWxthPf4fSP6XGeKYvGczmF91yaRcbLUAM6j7nhsbcumALVsFrZPk5Av9U/EBhcG
YuRG3b7L07JeRZUrL+EwhEce1sPiVq24l0nS3myKnOlrm+iJeiziE9sWVyQlCZI+TYM008UeY+4J
YpTXbJWzxwqu7UftENRWpaNf+fby1ndlt/ExUWBcDLpmNYoKP2c2BazJqVFYyyklhAJvZFNFovnA
T5FCVHZ8D/6amSGSBDrahFz/DgzKQMzdwpvWnqnyS8i8d889ENdX26Tq3SLcSwGeY574UJV3Q8fz
vSpd6PWGY5RQDypur6uSD/8uZy6gSTHOvCutjGFbRnNxgUFqykM0B5Dn+9413kKT6lbPAr+xyR2T
gXfUne+sKpGGzrYsO2aZiIf3KQUz/UJnKF1KdUk9LJ1agjxaTSJ5U8+u8zLnE8OPVbvpShWUD+xT
PxO4pOmsZcOVqDW8uuxbNpiBd4UqyC8Y8gR9Hto6rVeYNqJ9k9lALQEQN1eF5eU/WgELdmW3Guoy
ZwY2xkJEwOlnWhvXFotzBNZ4Bs8RstDjNa+xbvYJzQxkPiRr9MqocB0nn9twvn1sxvM6bfw1t4ah
+OZ8bs+LZZFutdwvu2W57nsVRoquxqLrO9bWnVyUYrf8GFykzrhz++vyc1cPFCykmoKaM4GifnBK
o9lHn+v9ZdGf6Bqu2ef2/3/NCMZe6a9HsH+Uh7flf61fid+/Zv9mFOPP/y4h2V/YVdHy5/iOsP6x
nPuXhMTpAMvFsxQnHDSXf45i8svi2uMrZS8rNQviwj9HMfsLxA5qA/kPGOwWb9/fGcWk92cJCZMm
GXnhsgT0WdosK8dfFzUDj1nsO2Dq4nqi2Qjw82Kk37nUwm4cSk2YkNiLVO4S0iRMB0vpulgaADgn
AGB3BlK7bHlQz3cT5HK6E6ZvEqC5U6fffX8496198SVmGLg6hzQdxDrP+m2tgmccopQTQww2a3qn
gsr7Sutatw398Sk08xeOXG+Vy5laBXNECvGGfoMd6yzcuNpKf5nqGsNaD02nN/WY2Fdwky9RAKKS
jf45QzHb+H5+qYeIYvE6JRYRDXT25CJ7MsPAO0Lu5NETamtNxQV1Ir0PYz/HohI0INVl/p7b0Yys
6gzXkQ2BouuHuyjFFzHN5rgp2XivRhPyoahPMooAtrNVWA2hviNoyJ59cWGMHeDwZTdEWAAbQBBF
F2xBX+dwjlb4eLj1Y7bmbem3+NaReHGmVTbu/9l+ZH+QMwD6JZFcn4e8Az6roJmY1zrfK6rUNjC4
vxZjgVIH+jzNkIAFfIdNBz9qE2GmWiufpEbJCYNoDX4xKUS9Ew5/U9PCNQZUaliz+niA85lyAUxe
sKTRQz5dR2l34RloraBJnRNOndVcmWw47EMOjXdDX9ga2NlSyRKsp5p4gup8b8UmwFtNHsMa6AfO
EMv4iqR+hvTP4ZzZz2k+J+eu1q+z8E1mybrZZANTJbbvbwyk1aaIZ5ClFiU3qie1AtPb2AJQ+iHo
u97EY32DmEoFFc+5risOGYjOnxkxi1Uw4qKI5dRtzdhnBJ2Kh6ZMv2LKqc5tHPGRjsOXIcvrvSoV
V9Gle6woCoO/rJVykJv2vVNY0TrWMQ77xTk3Vj1lFRZFt/7RVkt9Qgul3uPQ3VDasQ0j3r7EcS9p
XZw8E+ue8jzampWhbk0vogxbUuVW0U43GnO8dTJgOgWmIgx8Xys/fkqT0NraHQEMEwYWleTtxs5g
bUA2n9c5tpE10Zl7asEd6H4qe3Ia1Z+62nY3bUcStxI/ImlsLK9Jd4ic1bZmf0Wv0sRpXVZ8yCTQ
V+XyCwX1DcQYVnpE+glYdt9tg0/EYhdYGa5zmztQU6IweGNf9uxGFM50ff1jlumPfOb7mgTZ9WCo
Z1XnPwlY9NthmsZ9trB8C4+LkTXG57IanszeeMXods47GkVUTHna3Gd0hpn7gQlCp+WJkMUlDwpS
zbZH5mKIL1j/33geEU4A/AcTfs2N8W6uEtqsNMiwZifm5A5u+HVLt+Mc0SrQRVfaSI4V14cpcc4J
RXsrfvutaWKuB6e4D/LuO35+GmPsH6OeHhWwsxU+0xQEI2Y2NqfwcXiRh+bDnki2zKQq/FwAdFXT
owgE3jGSVKSmzhaI/C0q7b0UdoBZjwx/xJOqVP2bHcVQ4mP/ZmzTa25KtDCQ2kKw5fPaMPJij3yL
hfc4tA2LaqnZdg9orfHJIVJCtuQ2VuUpnFloGQ5kXIjGrsxHOpKpOvOK6crLcJ8mEQGvmelg8tVV
bJLuoeTjPtXp2Wy973XsvkkjuABaazehV9+rWn2bVP+D2M0lr+M73XanYMaJCd5b+d1prqfuJmjL
B6eorzJzng9kS6oTNwrEc6s5T715KqDzse31MEMHP2Zd01cRYrn0b40a5G1fk5AGblbWxX0bdGes
4ynORRGcghEfGAIcsKM15dI/W7fboorhRjWqXV5B+qSLedNofU4ZdVYK1h5zm/29mnhIsde/iUmu
H4sZ+6fw/DPoY2/tx4W68mmsWNUL5hrNnyd0E7+n8AzWfMNdAm3VJbHAPWc6HldFRd660jNAPaNy
2OtGZ/q1HRpuIMFZTn7pCwUiiOnOsac7NcGoFnPzihfb3Lhu8BCI9kjTiWa/5w7bIHJywlkNFFLb
vc+Y+U4FJnGl5x9tNn8LPP+Jh+BRd44DPxLNX48GjgBhpad8atsdnCkwoNj29rJVZyf21MYyydb3
6Zsqw+FgVwFk6gkSt3DM+TZim7xDqX4S1GitBJ8kHJK8bA30QXyQaXozJtYdS9Zx7aU965Q+Y6lI
TnqbKGOCLJtfAgrJzk1i9auM0heGcUWDHx4sg4MHqr2dMqOW8T4dooHzZlrZAiMt5vGfWd3eqpY6
+qpHC7bnhAifek/igcYT4yvESs2TOJivZtFtG4ixK6NU3EH5MtbG82j1u9khmiURanyHO2fn+PlT
mNRoyZN1jfoU3fJq0WpGn/AuTbNvQ0/M3bLc76mfjpQMYmmvAIBTIznHm8oIdhwm278/gf7/DOUR
iHd/Paf+n/q1+/FvXGXLn/qXUAjvSUK+wbvFqnPpxP59OhVfFtjgkuFZmHvLavE3nVB9Yee5BEEc
KYTN8Ijw+JtO6H5Bq+FQcYHKMet6CH9/Y78p1GIb+1UnJGXCfAzUG/KNQwrkT36vnnGV4lAqPywJ
o2Yr50jJI1GHki0kcILGuBlpNsmDY16YI30AsqPcVQ7VNlV2yd6rVDOU/d60aYevRpZEWel8qyo/
vy5Gx96UdjQdhlhzeQcfttZc4Nd8EQAZsFkA2M/skunAZ4qx7fcqFflPwxiaU1B6YMTbhvZHD3NM
M03xOhHlsFTpcpcK5zmxVzYsn/fWbSneKRz9PjcFj7s+WLwjnSqXZGX8xEZEvxaa5p9A+eE1XDmK
42TQvTVGPKxHVkobfuNpn04Cn/6kB2IiqSqyQ2fr6CCg4e8xEOChbvPy0aLalQeKH17FtNWuZ6kC
CoCn9KNg8Xg79i4m7ykrgpsxDGMmGRdhqEzCq55iV4DaibnzU62ghTIU5+zVWiZ6BvebsnTUJk2s
+zr3L7XT9s1xAPlwaZzYWJKolDEJF4I2i6E+pXqNDcLtNBaQaVGhjmkD5aBnJfMe2qM6GGZmXWbh
cfjYjidfZ2ey3yHPDJSQtPioE8t1T5ShJa8Tz0uHUUjrK9a2+TkZ/LnYx0ia3/QcBV9zbO3wd3UN
63w1ljJnNzu4iEQhdoyEKF4BGCJoh5qaY1W6+y42yIqAOn/RoxUO9GkZ3aM/aUbIsXF4UGVGkSgi
G1lDd9GM9zwPAxLLcWacvLQkT4zyeRBl1B+529g8tYn4YK4SMFrMZDI20adKA0jNf45JtZ5xm8hL
+6nnDBY+EtoJxfgBM8UwSPQMebujwdextySM0IaqSBunSNT1nQEBtKFmpdYk3j81JbrK9I3/uQBe
JKeIKq7v0SJDsYkk9BNM7kmHMthovrM3sqtgi89M6tQSyOfW6uHVfrp82G7tfV/bO1ML7iT41KFz
tEN0mReNzJrzHigMuhnseLnNFi3NX1S18VNgK7DbHBC37DsOTG9PnBElDtDNFiCu2IVwhve1Qxft
7IaLwwUBTy5SXjyaqHr2IvCpReoD9jpDtGQrDbWvpkjW8mHC8n4A6F3kQrouik0q7PaSCo4FseiK
k5Tq1BPg2HlKJq/gzREg40WLBMbiro1oESgDF+G/XVTLCOgbAuaiZeap27HBQt/EsTBfNYvm6bH7
PYpFB/XGLtmlwiEM0OHk3k2LYOqSh98ZRSH2GUMIkeBYLtrqIrOGTtp+JW3KWF2N3R4nQLfHAjLt
bGsKd008lyd/kW3hxTNK8mFKjz1q3pVeBF50IsSvfpF9G6+pUIANPs59mZoGuAVef5bW/LREhNge
EZHDikxIvgjLwHOtu5L86ofT1pTw2NFS0IoUrbq0fsgWebpchGrwUM5DvIjXvIbyFOiYR9rUgTB1
jMDdNWOf39IA2z2DIkadLZrkki52dedTKC9733pklvJ32TDSTCMq3lBoYW8GzjTm5k/JPV/U90ZP
7bFZFHk7WcR55GoR72euTuk2HpQx7v/+If4/0/i9cNz++ng+dHH2705n/tDv2pGEb2e5DpFMbDTi
D6ez+8UlhclODnQjJ/hiB//teAayt5y94BzZrgG0W5Zr/4xwOo7Df4sihXNoYfD9neMZROSfjmfP
4vhXAsQigoLCmv1H7cjos4zHI+0aUzzP67Css4OV2C64KEqRrdD9WbfiAUOIu+4j8W2IJR07jnuj
i7i+S4Yyeil8N4EyYcjrxorCrT96w1k7c8hHb84O+PgMbteuPe0IaTRXFIT8xHpn8GFjPK7rIv9a
8S3bKA/NW0VxstUUWF+yeEI8GVOv3OJVCG+4Dcmv5dwVby3ogl3R0Z1muhXKs1vN2Ku9iqQI+YlK
E/HHimkAOv8xZE2zSXgIPTWOo29mtin06BX1DalnNois0r0dXQrBpiP5Ircq8Yh2T6L3VgSzOH1x
U0LJ8vCWzJH92OoxPxSUWNKKklX0XvoliFiKHld8a8U3U8eShjcXYARB8JSRuOYOXMTWcZpUdD8H
mXFVN0O7oUPZejXDONu2yjSutWv0iD2J3o12la1lQVBfNnTkJZZzlJRO33L0lYdSoA4VXvuQtvNN
bI8/QOndA47NHrK5NI69Y0cf2rTFwWfYoIqh7+CK9CwGUmM8DK40AHJpeW3jMHgIVHXbTPZ8Y7hZ
gulDBZhrc7kZ6y7cEV/yv5pUGuzHoAYKNWXBUK4JHXpvQ90oUvgttiNaDgqWOlVJgE/Z4b2aO+sZ
frizzcbcvXTGYF77TqGvcYajY7TI1bvGdwKyTB2vWhu0OyNWHJx2QTtPXsp16XOaChU3a6T86eBo
u7nFNzPt0dO41OKwOWajKg88olieCZEc8oTtbJ058a0VA2+Yady5RNryXnqXsiE4ES+YUtMtRWO3
pU1FhFSjvJ2q7JUikh7EwphdGmkam9LLaupN4QnssZZbW+GXJoGErtzgsZ7XEC2IblFytbIyl6Jc
rF7YnSLuiAFRpuuSe9HOVFR7VUnC/hTdn2Mm8+3bcbDkFuJYdeknT9x8vga1xQ1+bFR8ZDqnA6Xk
Nx+1z9AUBMmFZnGC0ZYNwtGtr2JsI4Qgx7c00F9l5VG/0PssbHlXlVVX68mqE4xKjbmtgMzs/D54
nqVLqngpzTUHhxYkm/enDbsG+pkpN0kblpfeMNwfpMfFJmUptm5F9FzMFGq2VlJBnxDzdkqCs/Ra
yWuLr8oQRrcZqHvEZ94+JEx1vW5PTZTeKEz/b6bDQe3ghHcDyUttvrMYTvcDo20Tgq33K/1YEjZF
X3DmswWcHuoIo9HsxbvQjHaJbC5dglcn4lqreRlhpnUPE1murWr40AZGAwek7F10Ywd3INHNY9ME
52bq7W1Qk4mq2vyqSOOl4Nr5aTXqxq+n+5H2zuVbvdRp+Vd80Fh68z647L3RO8EednzPVy5/+W3Y
iWE3VN0DCddzmDZfY3bda0/yJJLuhCYM9p7I4WGcS1oe28TZWJaMN/lsv4xtMZ2rgu23ZaoTm/5T
FBcoTaStuY6wZ3vxzLRbCUVnTqZRQyqPsrF8qPZNwUPG6q2t6vK9H6JIpa69z8lYr7WovxYU7zEP
J9AumSt5j20w9qn0SY16Z9sfKeUc2mhDY5G96vvoOtTFVrXRHf3G/MZOsh8LQXNO9TGY2Yml7CEu
kBXrYbgaBu8I+eLoOnF6E0hca2bIq5S3kh5NoU1y03a47nE5rJQIMIoVQqxJm6LRQhnaDBkFH0tK
aBGq8V55hbz2Qrd97FVIraCVHnIMTtvEKdcJhn+eZtadoSlKGF3qt2fbfKsF28d0Nri4waOGpWaw
luM5stK5h/Jp/Dd7Z7IbObJt2X95cyaMPVlATZz0Rp2rV4Q0IRQREnvSSBrbv3kfUIP6hvtjtaiM
zKtQZkUgCzWphxo84AIvFXSnk2bHztl7bb88o8T+ZnXc4tp+KuJujRyzWZhNtIEQgBjKdWl7MHAx
bSr2toPeVTauuQWcKtvMiZ7DuLEA9OwIF72DAGRscrJuNvPgAGLxuqvJ1qdgBkW5bZO8PhDs55LM
Zl1YtdeuHKA13C17htb9JLpe3/nlaFJB0n9yu+SY++6zlSFSjMrLAhxpoFUTiTAu6jP4ioRKedZp
n1cozUtyHQQbWhhPJHcsRXzvsggGxuDu7GS4Ijr8otRgKZJ9ZoKBdJ8zZMKBUxXtTR0lV3kXf0Fn
d8VTedLOdFhq/Ua483km3BexuN/aaryVnboECwRnUGDXNNZA6UwPtcigdVM+qETcMeywd7Ym8f0V
50vtnzVUIqBO8/uma66Buh7NiAzUSSdzLlHGWT9Hl8YoW/zlbNEovG6Vs2wZJl8qPzqVJppAm0g4
C5JD2oKKEh0/shPHCVWxYkI+JzvV0EgyjcJY5ceUyCX4HZvGHe3likiYTelPt16E6pcXveSByosQ
67UTOFPkBnbSavtJ+jEDasQMJDETmT6PGyQfSSj7CCySSO49ZJ47R4tOzHH2rnpbXRAFQ2SzU0CS
qCzS6spymySS0E6evQ39QDSukQcWpuMlbHJc/WvoLu2Hid7WaF5Xo5FvTUSzLIceaKz2jiQcRiEL
qbRml7rwfto1nEYERmV5YdOJG+z+a+otAVtlltpbFOgEH/PsF3uX0xOrOyr/PlLkfTM6yFo+XjsX
r4kvp7D0lLkjoPvaFUURZDkzGI8XNuwmLDEtznVmG8lyojDkbEeh3yLMHjadMaO08gTR3hRIW88h
0cBzyhcdVbAvZEPDcrkyJ/ojrWXS711PTUmZWjQf6jHwM2bRCZJQNcSURKSyjBuAtvXeJ0rkEFcD
yuykJ5okxZABrIjVV19ucSoa29S1X1cCZTBUab7PjcYLSvQkCLUzcehtZAWV3X+J5/qJH5Q+Nwau
oBLymzdjmG3wrm4MxRRkoiNiO8i8szGH9ZsMCaEf4wMmahKDmukL1ARzC4C9ubQmBhU4gSyy1D12
ncXGWs5slv6vRWlUiT4oy6XEooHzLIaVyjbNkhEUQ/ItGpZmW/ILXAwVVrPtHGWYvvVyZDASZWLf
0itAdG67u8gjdzD3KNSSysyRlaZIJ4rVAiZzJyAzONoZVj6GCJBMRDP0VDzswwh1UWXKpmc/yirv
TBN5gyWqod2grOWUhm5zF687YpnQD2CjxPxLxNy+n5ZXdK0c1Ax+kkjJeI+0FxUU8LMLR0TFISWo
Ej2uftclzEwrOaVbKyG5vEuboBuZQTodCdac1q+RfbN/eT3tqaz5guVIhtRKEegTTdtWCIpO9bLv
0Vq0YkcTkFDLxTo2tuBtGDOBwgRabIZyIyicbqauzLSd7cGZcLHzYIjs/XAcUsaCTaSuZ62Zn2KZ
VzSyKHRtegSEI5MMlVRkTJf1l5wpw21JIQifA96URk686zfUcA6SoaEwcaPjnN7i438E2ey6e/Qj
VbOzSBKHvGsPZ0ssebNdcITKcSOUHBEY2xmZKZZyELvdON9Ipz5KtF3HohuIChslTTeH3v04RC+N
1l71DasfKrQNUnz3hE4g+mjZAOXrjfRSiYy5JLhnptNgWGbNYAheLATMMMO7kMLM1ztSnLSysK9b
k0mgow+PtMHM40SbiDbVC1t9tq2HBbNlrn+ZWKcv2T2wvzeuRQSRbUKQhQQwTMMciKx7lmbznBpW
EiyVX92iA1LbWUOJDGaCuErg9Xuf8u12GSWxwJ0R4TAqjC3RvXlgzo33aDhwSitm9xvhMZkhBAgK
mbeUe4L9MKLDM7xwE5avyicBvYvZWFlXzYB01fgU/xolAbX0qVm68HcH3zsBfXHTxc21H5eEWU1V
/9nKnPwkdmeL8bpN4ZrMUdjG9Rn0tiZA2NhfFfrYbrvayukNLRH8NZG92kMCucupCeFxq/6uGfLu
gDCq2mvREl8Za1quFpnWBreXQ5WjfR4t6VCNRhAAtLx8IHSUiAcwIxgODdp+puWo21WoFYDcId8U
lwNiv7hrw5HkuxepSI/Ih7dY06XY+UlenBF/4Id1rWdfchKbd61TLodMm4eLYXZ1Go3zjZiybisd
4R4tKUAZA0m0E1SKDDXa88FJr/Mk+VR4Q/GYUb4+FK3/u8n4v7TbysfjRKP/Z50OUmX/9T+G5/a9
UObPP/uj14GuxSJxh4Y+rYvfGxp/TCKc33SCAbBZsWegpXmXDaCL3zxB6wE/Mysgk4o/Wx3Ob8iV
PZ21fW156MQW/ZNWx1+iAZDvoFd2BTMSD0aE9aHTgfLue85KQtGz2vh0ZtaoMzHzqHAqRiK37dhh
opxydjb86aARd/g9jgUUdLUQfG/oNFSX4fcZ19fpv8Uv9d944rnTP45IVls/VaygjY0jbTX/v9fv
mP93E2dsnP66QLJtIR136PiI9fO8M3YvzPmVmqMCSSj7ScqRT3fDd0/H33wlDGx/86UYL3EBgUVd
oHH64SISho8o3cpi7oAkNu9hpXuRFM+xXs2EFvRjDznfpa7xDtasqRf55uyo+6U5aMw97qEn5fd6
NrPa4jjqtpWwjUdvtYh4cKyYYqy+kawcunN/NZMQoQmMhOrUvaPQGc1txgEs3/jzHN+J1Y4yvzlT
MqMb9bCzmtQMcpWwPXZL2dwls4Tgl4z08BATWnDOwdKnocUg6WsmnOzKbiLtc8zSSC8EmirOtzZK
7iTmLiMsVIo2CT2zjZ5omiCDTvo0Ab2XDA8QZtJqkjl/YjYRFNQiwba8yenf6JwrZs3as92CKPLp
oyBfjqPhKc1souhKoalHvZz6VxbieQtqK9lRVJF5TFpKeWX6kTzzod4Xm24u40tHxuYdlBD1KN2q
Oc3YQRAZ90XYO3Nz08DW+cyGkV9BYdK3kWE250ZKemxGxO2jIkjgbgI6dpIjs2Gav0xg1AGc3gBZ
1Y6Adr2tLzUdzYCVjJwIiCQoKTugKmI5M/tvgHcY3sw1DpuwICUeiZDRlSHc3XifDUxOttQw/iMH
YA+AkPK6C2PwZ1BsEvg/X9e6Fb1FLPkcWTcKSdCjLZv51MZ59txJimyaUs5lsSzzCYV3xphIuUR3
9pijJrNzkKylY3XRN1MEytWe8Oe0suGOe7KD42/HpfENDFR2XrPoY2enHow3tWdWdFw6+dCoDhcQ
6taSyHSFEBc5mdY/ojPw9mL0GNzoMNMMzk2xQFDdjJdag1UAdHDcjKHgzNpeCb1Kv0UpnX3OumSa
sTPFnznmLANnaEaNbUpcFYM/WZyWFc4dtyDz2vJXCJzRQ6uXUzzcOMwxTxklTgTcZihMkGdtcevJ
r53O17UWYkJGgJT3iWySG0MMSm1oaqmLrDVUSj3t9ucaYF3iU61+v8TwsXCQZfaN43Wc2kZFbmUw
anNDOghRxkQMTDUhzJbTfjJlJZ9lVNo1NlJVbcGhRifOZJLcbg/dS+O6w7mnWpRtqFEbNyhVXuyV
20dQuCjDE2O097M3ZfuK4R/gntS5yEAW7DW6FWCNdXfbepN9kkqeVryPndqMyUBLDsZdWM8cIu3Z
iu8HrWsRKM/1wfHj4tRfhBeSnUTy4nq38mVEsMEqsCUxovhi+KgbJCr0s7irvbPeAc46Qau9iqhu
mOQtzQ4Fd3Ubg3XbYU6FA8Shq0IfrsariHxTxqSDYuZpgCzY8n860aC6dbGMpJrg4NI3dhtVQL+o
Wiorig7zJMzdOAIlSKpsCuO5RACmUCTtbAwBSPKK/EpbIutsYjDo7kFFW8BFp/Jm8YZkZ6qkuM3t
PLmro7a7ycD3bG2chKjkPIBlce8e82bKdnPejNsEuRAxoS1zJUbeOFwthxGtN3JOPWZOF+E/m3Pa
CkKUzVeDI3dEba7QU5HBmV30flFeeJlmh5PuciyvzM7nCFInYU5EXbxRfdky0U48kitXhbQ+FK/e
gL5xkwx5tteycZUAuXCbxziJv1pVWn3OE9IJTNyqwBkHDCMqta5TuohXmjOrs6gxzPNUFf6pk6h5
4+RWxOA2tolap0kX4iCZHtOJZb93OF+4dus1wUhc5UNF3OhTlMTonTo5viwtgGlvccRJ50iD11Vm
x1LU1qHrbLE3abHkG1BavC9uV6JRsmA5fjEJmr4lBXfAeoAa4Ei0i9ra8wIUuib6BArIELVfZysi
XH6qSTo0Feu5RwJuMmQK/SoA2wQtbLc8QS0EXYkBQxzJjXEuGkPpX1sVJWelMuYzW9jpNo1MmnwM
00LPV8VXr+fkiP1Eyw4Mj4mLTeY5/4ytAoUhiRnyhZNQftmSAwJqrW1heeg5ivpaARzoylKWqLyX
7jUCoT0GsSWaL3btoifzzZ4G5xrHWBMYEOMpuirSTFzrGnLYUHVle0H/yr2cMlGftyLud3GKs7SL
gQrAACRsxuyy5DTrOOZvPDvHAOMDw9oUiCTRZcUDWw7JtFATpqU8Vm3ZXBdrhEhfLTF5aHSTq3Ca
U3lFsCrHq0ifzg1y2w7l3HOYmi1AcxVZ3RcVMtEbHYAM42/duBv8MdmTIBt9GsUAhTO1CHKT6Sg1
lPKlfwnMpr6WFTm/OqCvm36NdWnGOT6d3rJexBr7YrwlwIydRRpMszjJ2fiWEWOS37Cro2HkHheF
8+C+hcooWsgvvvR3+ho3w7GbT0usBwkfTmyUx85MVnA4ITVpDeYGH2upbfnVtVuLbTyjVUGa8KYD
roxyEGrxsElTZz08lnV0xb3Vb2Ieh7tYEZMjBVOEcY3OgfMnzhJddV8Nt7+PsjVhhyc9P3OQ7GPe
xbFwA4+LpAmjH16KqiAp29FmPMtdd1RLm9+1a5BP95bpo9rUuvdpfTjA1In/Ids8u0u6aTm1Fuya
O6mzq5xERIhfMgurnmu2M30zZ3I58QDpHWM5VLtW79W9mzz8vIozVnHOD+IdKsX3RRwyofeVYiwX
bV5kUm4RGoc0DrrjE11SOv2H6gw38hQ0J0YI4citA+vsNN1lwc8/wF+Ldtd20MlbjORcVMUfq0i3
bWoiZ7py24ZDuISQZk/v6O4EevBY7/zHX5WtzFXffV9wuW/Zjy5HBSFczhzr//9dZZzWMULmkexH
VrlNim7a9o4NJOuff6sfJVHfr0L3bD3u4Cj4mIY6exgG84lB2JjX36ohC1u0lkXt3pUqPeXJ+0Ut
/mMlvl6OgElYFgKNGBKxjwcfBea0NxcNOI/7eZo/01ndFG0Elfzw86/14cf6fiETDwJUHs5rxvq9
3909OmmaSDRVQqXSITwdUG8EOEO/Ys0SYRto4a8ejw/P5x9XxHphOy4nGvHhitnQjT0vc7HNDFyn
W2sbc42lCVUY6XuxzbdR6AZsvNOWBv2OlITowtqJw/yrD7Ke0P79nvz1c3x4TxoHRWbm8zlguMIG
Vm29YZ/4xTFR/9sfEjgbkYg2S+pH3HKL6KYg4aPcqpDxRphu8wMswyt3W58wttwY6EpPfvGT/rgA
fP9ijseTatGzdsSHU5zXD6rWXfrpEEFOShlkOy9E97v3H6IvKNB+8aSudpm/3EcUemgV0SVy4v9w
ucUmNn0o43JLYR0fql0Uqg2sTfRjIaeJ7a8SUY1fXW/9Xd89sY7Tj3FrcT3U9dvpjvHjvg5O0rMi
ZC4XAALYooTg2cE0DH70F8vAj9KL3+/t+y/7YbHxilZgGyP41emRWg/qmehTALnSvO0YYGHMcS/w
WFS7vCrNX1z6b55Xl56DzyLE3QZE9OP3hncSibngSVqahhSvyaf2MItfLN5/exG0pKSbIn4x3/hy
724u873/k7zZv1zlLV3VpbUDAZue4foEv7vKz9NV/1Fb77+mDNmHK0/j7d26ED6r5+9oguNz+fLf
/+P43Kb/+p/1j72/73/1R+/Pwe62AirdNxDlG0vpj96f/5ugGSg8HbGx77wZ4b7rnIzfWFqsNyqB
7rq89H/2/iBbOrq9Jtqy7ji0E61/5JH7cV+n42UTB8p8gdYfzBqsfD8+JJkeL4XRxwYJaehdJZYD
/STy7t7dlKvfl/v3QQ0fL7K21FYzIIRu7H14cH68SIWmJ1ZZb4aoFLZx9lnp2h7U+88v8mGTRW+k
I6r1CGOg2b3WKR+2GpBMhdbBWw6bLRbf3bg3z4YzRSmmB/pFfRv/cpn6S7XCIoHxcf1OYEv5ij9+
LQ5HUBkx0IalfEVNtU/b+ixVdSgFrbf+8edfj4WBf+6HrfTD5dZN8N37TEQH7hx9UqE2ziNwSBV3
5Yah3FwCHvGNM8Tw2kmNVimkjDO25ryUt14Jz2GIkvZmGbEHS+xBJ0KM1UM/zPkNI4Xsyo8ZIRIz
Eh8HP85ucoyZJyT/iU9TV9hh09DO0ExGuHTMmqDIx/wa+8NMUxC+XoJkQY7gdbvZS45xXw+rCykn
QKnPYnHG1LX4knVJ9NKiZ951hK5W9OTc5UbBg72xiBT4XJn2MO811corrNgeQPqmXPYDLbRp06rK
uNQnFuVNZuY0deqoVGedjo+zsO3kqrJLHyGC05c7J887sIN1egqY0ftSS4Wf3Osq6mIxpLfEKZAN
4+gIh2ICQ1vGaSK6LkdF/AygqcfMXc+3Bpra04GZNpK5btQYJCvcPPtRK4Y7PYuXndkLoiOx4Fwn
XslAyU1W15mjkqEKMTczP4fiNJwynOnu9HHIwWBHsbpPnbi+FHKEMtO37sHpoYAz7wfIf8JgULsH
pLSEsaXZt/pkRs/jSvMPYiinp8SVmkecMP2T1WInMUZtuov0qomYhLprnxTP81eyqxLUGwiYA8Tx
4r6fEJNtMi1Wj+1g+DjoDfjJxWTkqJNduw9Td8xvQTRTUycRdGqbkyvE8ri4bwp/uUtEXn4rqoYA
Ts8f93NjLqdJpiVH3VP9LSEN2Yakhf6zn3R8j5hjUI2MoI7c07bPY/Q7SWcvG+gtzaMhZH27Mt7m
wNZ645xUT78Hi0SmCs0iTMJBP87DNWin9htMeP1zTzebnnImmHsmNXliS9XCAZK5bd+BD5bGRpqV
Ds+n6YtDpPWLTg8MkygQUfdS1k15njTjdDsBHb3OEtO4aaTZYmCz7OQ4KA+toCkU7rnKydC+QBVw
OIVzmLsWdt3hoveVrYJm7PMzqwP2vqJer3I3fel9Obz0QxzRkWwnnioYvrvRdZFf1JZWA6ZOV4Au
WcZcLqbpem+SuIEiIiv3SUK7jq58/mCYHj61KSMIzYY11nWeUwVGQ7JW0efFaZxq0Cqq2X4FqJ3g
pe3b0LKblbKtVwYxPCAhuAnVEShiS1PPQC3kuV1xUmvJFDJot64SGc9BKW33vEwxpPUTd0Qf7f4a
q1n1bJZDFVTTaH5iuAScsUcOdkNsQnZBokOPhcLKoW1WlnixYux1tebK82IsAvKBUK53A+msZlEj
vEjGkAwo2OGp1PXTiAecDrjjzl9xsnSXsZMYV+kw27xxYE/sKW2JIDM0JCwKQFwyN+2JW/DuNTHU
O/yc7j4Wo9xhYo6/dbIqT4la019GSG1kJU1Je1rQQLosdH2+Bb/RXCS2LXdjvawaidaAwOmOcVAk
dL5Hf+ZoKsdbjZt5HFUWo/k0uscGJ8Fln4oyZJuqwUTEycmc6PjVaD/jjEA3bp3iL4mswNGsTvJL
dtk+FX69R+dS305MQGbYFaBkUB4iO8/j8nxeFguP8qp4F/OEy9zX8tB0mWNsCPOoEmIwW7YhHQGS
zafdF6WDoqJIffLAYJA9292c3U2t292X2pQdON2o0zq17UPk5MNBwuM9wYjj761MJUc2WPp6U8Yj
MQ7jSTuucFxbst2gM8KojtLP9yZWIIukBlANny2dtyWSVXei2U69NyCyMy6X7VMUy3hCjzknoY9L
9dkRUjQEpaEzI2u5+9QDTQsGKwXQRo5NdeTYQWSeB50iT7EGG+O6liMTufM1U+6bKUkPg6GmT707
z7BezWab8bBfqtSr730T+T8PphfUub8goMNXYPZaFPi0WG9t6vnXxEmjL2A2TO58DJkvn7W9gMB8
bse1HiRz7523EoHapluJG1qsJ/uKcWuQGvEYmqYlT3SNFOypavOLMa49sgEs5JRzzNTJlSX4C1v2
WEIY6RM8gSsTpg2T95a90N+kpbEgthnV5aJVzdUovOrWNhpSZNHrkHywwLkT1kBabx8jT9o4Pg3V
8yZJxVVT1flXDmYUTXM2R0cixhH9tE4lURokrnY5Tml5iQKzDdgik12nVsRS7GvlF1ZU66gNFYvP
2NNGDvWhmvLtSKrZgbhezw1QgTuYNkw/RQDW2weXluJrP/tEl8soH5nSdNJ9ygwzfZZ5MUNHU5pv
o6oin7yqRLW1I9o1IZVkFspl0Gma62d8efHJE+1yKPokRqFs5vUlLXVgT5FeXP28YPl4JqczxViZ
updRp24aq1L/fbniWnblWIrwIyCGQC0fGGNuOmtrVb9qMXysi36/EGYCyKS2TkPhxwtFiLkatXAh
Bh7XDApvyG751fn7xwp29RxQu+LrdASTd5h7H0bkQsP6ZE2lHqJ6RULtpdNlnWG59rIoCX9+3z4e
29ZLQb7gpK+zOmKP+PHrVJ1IaQA3xjr+QcpM0O7Y/J4u9r8dq//qEh9+ml52LipALtF0S1MGmCB1
esO/OsV/vGerw1LoHKE4xqB9MD/8LlVmD1KOYAk090YOr7BqQi929z+/Wx9//I8X+XC3ugomJwA+
I8yaiGIEy50bRm07XONFxuefNEBpmt+v+f+PvP+hC15YUqPe/QZ/OfNu6vn567/+8/2Z999/9seh
V//Nt4hS8zybeC+0JTwbfxx6rd8w/dD6cNbjLe8Tv9if3lthc4BD76Lj7bEchxPcd3PP+kc0aX3P
5dOR+ODZ/0TxYr0dzf59llr/Kf4JxxD0mkAI2u6HEykGCW2Gw9AzDjWGz62m/HMt1sSDncazTyVF
6FehhAztYcmgpjR1dCQtqCfuC9EYjdQ3zlEeu6YZtLTh2Xwi5zr11R0pI+1ArUs266YnpvEEoAe5
i47LPjTRruUMswKVOJZ35+qNslTWQ/I2k4Ycwox6pdi2Mdr8ldEkIimbPRupqe/lG9AJBSBsp5Xy
NDQ2Ll9Nzea8yX2OcigbYULljl1+TldOlO26uORXYFu6U24W2ZtIA2K3TQuJAiGq2az1OcJHNKzw
qTcOVU3ZZR0IOIqPLTduXztsvgk8GrUhcJVZ7RvTCoeqnEM9EcUSIMhgCAbv6xxF4otPUBBVXNxi
Zpi858QahmZbE0p5gwR+uFykj/gzrduGyROcLdOenGFDeGw7YxKx5bNwBi5FsavvOt1pmAFPbnQ2
G7ILRmh6HZq/iXm7NYswSwG9eSv3q1sJYL5sh5fxdyoYfDA9XaKrghL83Kpze9omtSM29coUK8Ah
ghNE5nOB4WA4yVfnK+I6d6UhaqcIQYztklCnbkzXGU4rxA4+U4EmyjbScTHUlqu3ds4lyIFlnsfP
EDUMjs5IS/e5kqS6UqqYDIxXo24P+zDDoyvt19ap29VapcdFsoF+S7iN3XYXBEZQu8AYxkSgK7zH
2FsnSVRV5p9DzlAxGQO2/inywclIhDrHfqnrfe60xkmFRflpcqZxu5D3FFZJhJMF18Udhzz9Kpri
oj04mkamZ9MDYI5Ug1x61qeSs6CdYdg07Jm8vEaL2oekTqYn8w1qPJlz+RwPRn4uKmt8tPxK3aZi
yU8jCQ1ZVArReGcq/EgpT/bl0HT5N7bfZleuNGV0K959vRKWmYvHW6upUWDOk9d0G1GivN2oyI6u
HGMFNS+9hLM6Y7+6nIylAtEi6vtBFM3JlFaAnqGkqV05Qn8uzDk+M4yJN2nsgEPDBsInVbnudREL
8yq1+Pk3vurFYz238eks4uacYKTS3SzmMly7K4DaemNRNyxaaoM9tfikEQ9xWpKckYQ98DtgvLi+
LsScGBfaYKFG7nWgLYk9XFeZh9A46sQIK072SCOGEsoTSv2yfRV1urwypISfXUTLvK4T0TFd0doi
TYFsz7qzY5oLdQLY1JEsrR5hM5ikjaZsftOSeICN55PnVXaTjbF8RXq7K9y7WjHf7pJ7F9BpXC1I
3jjgUqgZttMbHzxrlaKUAxo+VLr+ifwj5Bboy3U/bN8I48JYki02uPhMWUZ2hjgpBW5DgMhXPx7i
B35pUOUMwIr7XEdycoh9NTwitKjnQ9NxjJCqyuCJD2DP3T7LoHhy+NnGJktrgA7C37qyrb4VVsQ/
4xU4ZjZFriX7qAWqnq94dWOYh25n2yNvcF8QarIyZ0i9lVJufGsltOsrrF1oK7d9BBt3JpaofFhy
9o29jbycsr3ocQHN8UmBM41P74Ic4UAyb7HWFQ+F5Y6nhUWgbgj4VPtiv4F41crk7btWhMrXlm+g
V3id2wq5fQEA4GJSNPXCjmvclvQSnXBgxTfpyABgQAQ/sfq8kYEnYhGRzRNMcFs0VX5jzzOdMLev
MKpnua8hZzf09JPXJ/KTt7KHU0L50kBv9PouXdnEMJrAFPtvyOJKWhMk7cZaAJkYNvnkTYrlfJOU
Jv5SR9Femg1r2tKTgDMU62I5Zowq9ghXomhbG6J/VbmGohsEkUfE26pk5PRb5lfuONR0VozmqjPL
RuwingCeKa2SvE3YHBHuyezBNHKHXxR245Eg9D7blIj0X6dUYs4hSj0E6TPgPezys8gqWTQK0edX
IwYeZNMlCB2QTZA+R4b4yaK2htEmVz5tNjgUVXVaYrYMRxj9fRiVSXEte8weIYY0hy2zJZXLztPx
6BZabW3GPMbHAjEBNdoA4eUq5UQCbWDs5Z3F+nI7+Jn2raMJpCBO5u4NeucF00jvDefYHxi4T2N8
h6qAc/ICCWunD5i0IH1ln7NhGARdndza91C0OI0J/OkbXlky3mit4ftqi/MCptIrQi8cBBp+9iOG
W/2pV7FxZBlaLojd7uut47RE+86ac/Rzl+UVXYfzpKFZf2J51faG1tY7wBI+uZptqT9FTuaeQ+Up
jwkP+F0Wj+LU7Cyf8ZU17NFpRDufnhF+1Dl5StFOaSGiJWKWctHbe16x6lveipT/KOWcNkz659bh
mQi6RqRBlJneOb4ustxsaGfCK7VTI6vyW39yzMdOb9eDLLEuVjDniYG03E2i1yiNenpjaYQ/P5/b
2w4P6SeX/+xA+9Df1YUDYVfSSjjLYd1sY09LbnDHdgePWBcay8sMVdLWs/oC06rfhT2ltgoELosr
UgmShxqnlEG314JBB/vKutBU3+xbYmu/H77+Ub39/5pJfp2s/KyKDp6Lb8/d+yL697/4o4Cm4DVA
19AkNZgxcBj8dwFtE2OMi4+5EeIFuvGMgr8X0CRwgFqkwCD9eJ1CeRy5/iygPQ6wzHc8Zhb/GF7D
X3EK/bGAdqDh4LWHdi1YczkyvD/dp8BkDYsVJCxyngLVoShGqvdt6vynFuPhZZc4xRaGs7sryLcI
8s4pcFFoxFuMrThd6IbuIr+oAmeOE57lARehgQbR6bN7EpuGe0l0xoWnMDwXSrudlO5ieRDPtcrM
I/9gtl/KpUUERchB5V2TpmYARBNNQK6SPBQIPMMc7uARCdGDTIcsGA0Z0YVAc4fhDq9YV1ynXn5t
Vxrz7KX4OuNdCjSVlnd54zQnpUYHKXaYc08F/yMCbdyV5xhzuhNkqIdGzo/NQKAgzudlU9PjNmuP
wUpTbUYfy45jN6/I7CBFe+V93rJcmnTgFdOYIJvyJwtv5WaK/Xv6Ts82a2wwJlpLOwYBmg6fN/bq
g+x7SmOzIjx2tSqKqQ2hmkLRmCLMyS4yEj+qXh1VXrZz+uClybLpY7lDME2aUBExjYrVgeLpdMas
2MfDc0l6kuVrZ2bLLul0O08Ue1voatsD8ktXwx6mkIZ8BSq7dg2PNkc6mMmY7gF7ZEGJMm0wbSgq
vX+YVHduFb7EcjruM9rdOPCROUcVBpcOCAlxtfolF3YDNM/YQG0u4eYRwx0Sr5AHjoeJpM4MzsnG
142vchrvGpgDkVV8yqRsw7gGlUi/Z9rKXNHzK3vCK9qZLn95F5GNjHM6OURjcw/DC1dMAamDZK3P
oFXIRs3BA7TDJzFG506a37Yk1kc6DErNc66kbr1MjI/aobsfjOjWdIE5DD5Hvtb6lEtFxmMuLqaC
CVEz29W619KoE7ABjCqSF4KI5EPXjnCTTUxteJeIyjgOGTDuXvFtEz/CVUfi2hbcG3hbkX4S8YKR
Pxueh2RmK0Vmd90NyZ3QNRVYY+SRZel8ajId3z11XDvbBofOXjxTZCxbUPJxAEPMfazSdNhJNnnC
VKPqTHN7gwIVjMMcC4YobBgbc/SBSXZzfU6J3NMZpUrAVAWJ2G3mk8yX1sFmDsd/Bwq99VAZkyPh
kKi7/gpNsoSplRjbRoet50RLEWita6EwAXTj9020ZWZFj90B+seMKLpKsuoJ+T1nvPQ2rqljutLU
Ay/rxhVTx3zKzFCQ+sZ0XlE0BGVd38wo+RgY4O21e/XFqqJXLXZfMFfje3RoO5tezUjF9sIBuj8D
R3wG2VS6AcNGf+tFOqLHnLDlHCpHCCaLmOYF0W6r52c50tgN2aY3qVPl54OOfH8A2LNBo/etckbs
2mJuNgXpKxvmKcWDXCqQyrlzt8TcqQqcDi+XKsDkpVpojnZNULJoufMFwTodH1hquIk50i27Rde1
UIzIkJUokK8PsR/QQ+bzjnMXRgkGC5OxAhg7IlWa/t4mfS0YZgL/BjEerBjde94mBz9DfUr5cmHH
0PX6EQKdIm1a6PEXd27P4nHBS6iFJcJ6p7Wwa+PSLar5YRAcLp2WRyZJMG8NWKvhWp0CobruUv8m
GkjxHRWWWyuHLcgWM21NE86hxdlg97/IO5PkyJE0S18lL6AhGBXA1gCbOc/kBuKkk5gBxTxcq47Q
F+sPrIhMj+iqlI5lV29SXMKTTprRoMP73/uecuofluw8v8Gldga896N3bJqVciidRYc82+nzqViq
O7y0mU8/9kg2Ll914ri7jGl42WSDV1H4Ppl+DHHeG6fbvu/Hx6TN6cmjjiWoNRuSgFLDFusMXKlm
XHzg3zjFZ2jQuekRdNZZ1DpF1TRm+UuRGOlOOPVFuH78eeKl3m5zp9S3jWbLjdDFT4/avg0M/ufQ
ZPzS5OZX7tRnhJtnM5rw0C3PtC0h6HfyBj53ExiegDyft3NguuC4yXpQmNDCQZnr6MRwN5iK5tUj
pT3Zxj1Rf6q6pXndDagQiSsOSTc89XZ5JK3+2MA28bWmo7B3lF9RRxcOFTb7ZliCeNGLbZkiEk3M
kjeZNsLnbsr5RtMmbGBpp/vQGu5TzDmbbwKpwzahZVL3nbzl3U0hINSl/Vhy3eiTgia1yAw8qBJB
pROolnH17OZwFqI2s7esVfT0dpxo61ynHbS2b5xS7qaGLB9L7xfn6r1FzRM56vdZFrdaoV/gg7+B
Jl4Ei15/9ln2Rb19hGlsSri7Lc+YSoHFW1TviEbfitXcP7bleOjG6r5wcnvHTqWOuC64WScMWWJ2
LegOxn0HQuMwpjwpvZ68aXp6IxK92EU5ryWkuhTpQG5CJnJbAvbPemMYu64h7hza+bAxZNrhlxgu
wDU+mzDk/URQWe7odKqC8hD7gUvgjrfwgVX3NhY5TI84fljYeZ87OaidGwE4nbNkS3iKfTwuuVJa
800zgEqwGsKgSzIIFBzzLsmEtqNKhzB30+8mYl0HI88Ouc2JunKnBaYmrJIRVNcOyITlG3OVosFE
ImD29WlLk1ZGuR80su4cqzM/weQTkHo2QPcuchcWiwq81K55+OgoKvSWzLw9mDtZVi+2JN1uNepl
IhNPjmd8bUQ8Xs6WGC8xUFcbNS/vdRveLDAyay6ZKpcXbLH9Bsv/k9uVJzGy/SSedy9FdnTtmKfF
zj4cYuS8t8trFQJYze0SCqlXgRSgKWMzVoRGnAxknE3NPBxMyL+VGX2xpFoHvugZtLKH/ijGvaOn
TO+4K6Xp9DmvqIZxUj+QbCjeccefJLcpXF7WzRwKaSiqT1mP3T6jw4FoFr0Sk1tdQAa8EW782ZTN
tNcixsKVeF9zqYTPgcPrkeEGCfmggxF2zxAlyg0dwAPU3B6SMZkHQBdGFYRedG1qSH0yz2HSjHa7
hpRZO0XD+HYBOzgW6l1O1oHRT7oBJRpt+rm+hAjIc7Uwg2lFWm5pSHyOBobilhZ50O34gLjN+HPU
9P7gdOO9qVotMCOVbBlJQKwp8W1QtPqW27211Xrs7WNPoWdLKCGARMiCQdKFJ1WqHZnOA8UoAIGA
Zm+N3mr3Ws7k2Svm8xSpdNuW3JQIX23nmSfQaZ/UOB9AjxxRP14wiuxSbxDgCjkoZwXlLWalbtyx
hDtbQ3Ak/xRtwx7PjD7GVxYtoYIQfzrisS4z8y4Py/CgbFucvAlhdyhr8MhgDcJ5+OAiS+IL8WOD
XrmG6eNp2xB+gF3CU9sn842pxothSVBuheuewn5t8tRZrUjIU65lwOlgiA4fpKlfjEIQ70kSl09P
eFUyODGbkbfYYj0PuX/DieA+Pnd7ObNjifY1YdEG0n8KJUekkN+UUq0kf9M/mYBi6qa4QKv+Ypd8
RK36on9VXTpJ9DNfV2ISBXdhaCjO/1USIA4/TmUM5ToUOvqCKXx7gkMSNcxpsUfkW4KFSzCaJFt0
6UV+vCxfzAMj367tj5i7J8wwjBmZQe6rr09JVBxs8nh8ujtv49jhV0vj1a6vvXob8hTDQFLT5eJN
OxOAI2rHi1M1bwm3eTDO+VNfiUMB+wl2yr0zqWBOl7vIal/iybvQ1XzXxlhHmCkfxpiLd2OEuASz
2zGGcVdkJc0FkENyJYbdYBnDm4xzZ2sPzCdnZyRjL7xH9u6HsMl3oLkhuyc3qZgu7Rg68ux+LJAM
uVTJAJfL/VAMLBfLq+6454R6D3+i0BEDByFELzSuakpuIgvp0+BTHEhj+uJClG4wzSNpwReO5olS
Ynre9sM8pVt9trVgGnkT51VBWgvdubsA3RVmo+3tcKh8T07eVURhj9/lxclg5glHqKNH2aqqo90l
1tGKU+0KuNejreQnTOivqjM1DBh2vxGE2X2mmuJM+OuLwLnwe8tNgu978v9oNWDNV0tS2v+GmOf/
r/9oflbvP36VBP75Zf9SBRhb6RZDaKbDVFAzIPtjrCZ/43bPF6yzuHXmxoT6d1XA+w2GJFw85vAw
7XA2/2us5vxmMvuiMZtBHPGH9av+BtJ2NVj+qgngdsJuwViJNnYHn/pfNIHRmQhLUe63dbGRHpND
clqAq3z1wv/ljfkv7KTfL+b//E5oI6Zm2rbEr/1n9YGyeDidpQLPxv3wLiJnmtKOPuSIs80yPZSl
rA6ap6odB8n8UmOOckk619U5g0jviA92edQ6NT6QBusvKYuG6dyr+N70wLX45Ki0+y6V4pgtoSM2
Re4Wd6L0RFDbVPVmYdwbGxvBD624loc05/priW64jPXG+eBsKV7MMk4++lZZ+7APoXVEHAc4rXu6
yQGM0cc+o2bw3Uwrgz1pxrFlCWU9z0lUrwwjSoLjmRhyoulEiqepbRmu1Vm96xev2eV2Y35yHehn
zvNRp9FfF4r5WDUkcjmcGlVybOcFp4zEyjnTlOeqW7gaNaj/78wZfJ5yH2E72XI/B1RhhfEj0C/z
zYu9+SILB4P1gc17HahE6Y4IGvvFUELACk1zb/Tz+JMcWu+z47dbXEdTgFWSsgDltTdCuKZigOxQ
qGR5+Nq2QPem+KBB1qenRmaCYuya80pbVAQZTEA25PiA2GOIWngHjVEOIdOpwb71bBUD3RLyBlOv
vFlalb2m+mKetEiGu8nsyocEnYTmGc3juCD1KAppK2sLIrN5055J94+3KrLx1nmhnRzi0shOVBd5
YHqg8c4brx2K57Ib+zen7ae7FEmh31SMjqF+yrEOyt4lA6wpzohl001XIGych36azIfIbPQddR0E
BBoccpf4OQHAp45X3C+MOM+K0+QNjKjsOnYkF3MHe5BJf/ewHIYR5K+pMXPiHt+m133f6Q9IPvVx
pT1EPol6esBG5GMMg9lSgIpJzHPYJtWTrBiWoWqnR/Ss6KKNLD4nSRhGO40/B6k70BuWVn0H7Z12
ih02kvEK4vtRpCHm4KXVd2ys8+00ucZbGJrTQSJ8GzvNVsM5Cx3zzSjLfGfjhAOTHAKLCRMvu6fv
BAWdXYodA2GjFcSZLW/guOallyzx6UExL6ALqzO58VZey68oIcRdkz6mmA3wSxQau8Xl8oF5ylPJ
MUsH3QXL/50S9rgxbR0mTMuuZsTyvHRsw1SXWMldagg2lQId/xkMpHEhqNv6qGMd0KQ5thEtWhNI
Ch/1Ld8uDEi7rVczMtpReFBchcAuHyauvsZOV8q4mQh3PxkhnUuBye7f+K0SNDaqZCmetTblkNau
Y20+36J5MuapehyXZnhvsbb8EG6e3eKkpD5KN2Mcn3VuGBdOFlMo7EKQc3yv0/ryhNUXouDsMF82
E02yh///sPNp0l7X5/+eFXtVNd3nP35+/uO/7K1elezvf+CPPdD4DVAJpA6oKX+EJv7YA83fILZa
ALa/q4P4wl/2QIMtE+sIWjVcZW8ND/yujJPPIOVhM9tjEzQNh2jj39gDze+M4p92QY80AGAPKLRQ
RIDH/nlvKrVhwBuMQcLD6M4nbJ2917HdwU4cwhkzZ23ON9PQyAcqQ4bLtGrCXaq66o1zbrGtJrVc
sFpHV3QBRTSwlsaz8+0D6FdLwGwtyne7kPLh0jKadxcwXURBrpdRyRKBPH7kosUFSDPRanezttiv
2gIIksytOrtAxzG554WOJ1fHnMdw1dGeDKZD5Newn8++5+Xjc21l7snq6uFxcHRIEsucUhHdgZnj
MD04ymQuPPBne3F55JvG5Q5eAKx7dCA0zVDFpL6frNH7kZqh8k0rBmDWzvIWKmj7VEyVuvfiqg0M
WKqoBsp4wSmUwwbBdDMLnbaKpKWLrkGY2eHtCI+LIN630YdJFZtYl1NQdjqU7hm7uMZcm0K0OqFO
JhWOr2cTGdyKt2d0ozDBLWorkIyluQfUJF+GUsTX1Gl8VWWnAtHnzllzKuMJQK8ixYuC06V5uLNr
Tflt2tg7dg3jaIyjdPfgVqOIy2kFCNFMhtgvFkb+SrO6QNkk8YXJmMHrPGTfWhuf2sgM0/ccQ37D
SuZN9VNpMmDliuZu7XKYt7ZLAJv2RiYBRkvjdJJPx1BviFuwAkO0Swhl0nV3WnCJniN90ineTpX9
HFIPo+NuTdRZhOi35EA0PchdXXsAxlq/miqfryTlxlxYazUE7rJ2U9QAEXZSh9JpiSxCOAI30JCY
DAY3da5GvWI+PzjoffANoHLXw0FbPPkilBKvWYwJZIMKxl5tdPT/gK9J90Nm13de2zHEaZYwpbIa
TZa9MmmdG111bhBlubm3Za0vG2xBDmztYnyqNY9l1wvN8HqkO/KqV9+cEVu1a1upcxz1sXrMu4qw
A82/7n2mNZxWXODBPQ2FQMbruHuSkdO9hvRz7ogQc+eY+HlfqlangoS4OLNqt2agtBBiPGvmmiBe
3PVSushbADj2Y5gnaGtTVLNhMKDf9Ho4nmoO3hRu6fEBs1d9P4aR9Y7jyB43BOXDR2dJqrOMEMb8
jkPOC1MtT21gd8hD56n+InYt0ItxmFLaWhpPEwSuwIEbw5WQXudLCWd+Z3LqCmamdM8JvJezk9jx
RzZ55ifZFfFcpnOzi1qvPWqcr+6dmJIxvfei9zAb5jtQ9uokoPjgCQ0NpujhlIb70iqpQAEUjxPV
tnuwsp4IfyoM6x18Wo2npi2VG8C5ACKfF9opn2NaOMd1NCKziTAFPyLvfEMPAx160yOt89m1Jgih
1HPF5gr0WN9pOm3qPj6z7GmMpfmVWlbpbYSRpxddmaWvVpGoW0XQLNpQRW++umZVnPFQ9V+xMkG2
qe/+7WKt4maPpZW7bQbrom+o6q7JVWTMnLDBQq7gMCv4IH8A+UGKi+m0+VHm0+pp4X4bb+k2QGgb
s55zPic5+Vbi0b4ah9z4yKmUOuuhhUHHaHV1Cr/rxWmhzN9DvW2PNqOlD42ShRdtkdbFNKb6fVpF
Fe23sHoC9V1cnnyXmE9GB1clTag2l0wC4FnXg7msfgWU2bUHHaj1yo9e29GHMufijXGC0nQ50J8u
PCx3ojBplC8T9I7eC2+h3WV7w/TWQgfNE4fqu5CdlMXeymN9r2eqf+UYUlwq0agLr6oAjMbUuoc4
tn5qXtcdF2hGpxRvAlDvxLzFcz4foUDBJp6lII1vi08zdonlkOLKb5RbR5fZWi8fjWFxZVtMMqjB
a28cGU77uOrqy3Stpk8zUx2T3MBRIFrLeJJdMm4bIydbUJr4c+Yuh/I7zgzFKJ5CxPj7p5n/mcFR
g0s61+///sRzl7Q/mtUA8Otl//ev+uOYY/+GwdLAKbte6jnK/GIAkL9xhOHXhkmJAwaX938ec+zf
iFKRXv523lsaf/rnMQdDAfnB9V/DjE1qyfo7pxzE7r/c9V2NXmiHsBF2AgsI3V9OOQwTPdyQmLtj
Zb/qyQBWMC9JTZhMv6Fh1sdwsW4wZ+X+7MkYOtAcs2eF11YDCbOt2cwKGph1D0IuwIl812qZQw1U
7+yLrnWPYLRxpCsa01JFocMwl8/96jFQfUEN7QJtpqyHhVGrnTzD3ix8WZErI/SnBfRUf+mJ97ms
GtUqVoWQUVFJlbcxGvejHXCf5r19X6+6lrkqXD1SFw3CKN5SP1pT+KQoeT3IVQ9z0Mj2FlbXjZSR
Bq2YWxB+fF5jTh/huKpqYtXX4lVpg7vpDz3HfvyHSKnIceaqy9Fu2mzwpXPZAKIkVhPmquKRkUHP
G8NzicA3IvRpMnzpbWsIyHl9WK79mqzSYBRdUCa2m53wfjEcFmiMvta3mihDuR1XhZEysgFuK6pj
ifxYZUgNLYLkoOL3aVUo87DFx7hqlq1217YUwRgqehF0S8pkvOiWAbx5dCyKpNkPdvdmo4da6KIa
+mi7CqUGJLFD2JHryWq93A3C+UpWYZX+Q2Koq9aK5lqt4mudOu+sGHd90sPRJRDHiGL8AmIIOnsV
bycgW4G+CrqAwmzMeCYibz4LP1OIM17lgP7pkkdnFYXBNXN0q9K7YhWMITV9hKuEDJPzq0VTNtoY
W7WeXTj9wHCxf6pX9TkS6NACQZqaZQb09UUx1vDKshMgsz3V6R3ZQ6v2Z8RWa1W3ybAeJHK3u+re
Mo5+oOLWmwrMv49fCg7XqpPDGQ03pBfjw+JCclq4ve+sVVhHYG9ray2Ry4i/MUbZYm+o9kVpMeRd
tXkInB8Uq8BI0Bgxx6J6QWAQp2zV9AvEfdxT/J1bXaEaXU11etUbriLrykSg9gy0pqVJcFc3N/k6
NwgBt24GwxYXelTtGmXe6m59oiz3JKvkfk4mxn1MI2wO+XVjmsFSGzf6OqkwFkpxx3V6kaxzDA1a
EbwMzkXrjGNapx2asOpgWCcg1D0OqFsaxBDGIzEsW3o2mZgY6+wEI7YWZDDoZVEfUK83nGvHPei9
n/k6cTHX2YtYo4ka/RfNOpeZ+4J/fZ3VGDVuZ4NRLGsd59HcPCi8Onxc4IapkNsRA5/FZBBjOmS9
pFfDWnahCiLeXDtZ6flAV81NbWcFxMISXvI6WuLJ/FSRxfZMfhKDDSDZhikU7899u46lIi/+xFp6
MzOvogwh2bcCGpZhLRpzTve5W8dbjWX7bLVMYxPrDeIqD7IofizrUMys+8+4ZYInsGxEvcXgzKt5
iczSBu6nB64EXzZjF1+uAzcYr4wAHc39Lq7fkDOE/ZTwQ2Ot9Hy+6BXbtIRgm300VYsLHK09ZcK3
cLzm5lCe8np8ggDFT8I0MFnUVmM62DAl7ArjvVzHhsIUMTesdmIuNkvnyIOCrojdaS80fl5Xxd25
wHR/yGL9ONUJilbRDTtbJrChnIwPU9K/FowSjiLulkBNxoszd2JHbXp36tdrljeNP+ZiAU7n5sZ5
tqZ7MGrZvp8xIzJ7nTcTAmIwDxXCDxGoh8lQ3OcSb34dR7ENW0NRHKZhrBlrCiM4PQphFvsEZ4Gf
FhW84FSb71vkmx1vF72G0n7QQ/yHANZW7pvz6NTDF9NlnNYWuL12eMgsajCXyXwHK8WUw8p/xHhS
xGDeOyQFNk0Rfsyd82ZP+ZfDhAbF7NKKXUEzENP6eCq+p1X9vuNaHixaVV4o+n32Wa0soIB1c6vq
juFPog3ntFnomFwSeW2n4H+5Ajd8puc+IK0gnnj/+isaFaJARW7CDAr/M4TUn642kCOpMuWryHn3
sAcD3TEHFD3MKpR+kF0weGy4+BQbL6UCtbUWQvmpeDKV5l0VDSUbeDCe3ApxjGQtR9zInAP6y+9n
N4SM7+rTts/axI/iuaDLVR8vMhrV8UZM80PX8jTHwEH3Wch4aXQHthbo4ttQVQcrhxOvrdjtzpOg
u9zm6BmKbgNLrZlDOe9JKCRBWVF2GPfas2JIHsAL4yJBrSoe17Pq7Btpy2vV5MHSjHCVdesYjvSy
CYZpiTY+IJHX4LHnS9YoBoQG5iqFvOq65dtY00pgl/pJQVcSVnS2xurQKTlziK/PJfqqg2OLOvLq
UngJE9W+1ANvZI/RMOtTdubk+9CtXgd7+skS9pYmxns66ndTQ+yWn0b508LnPzMUWnya3wIA1/dV
VzZBmtfPQ0JrxKhjK5PZa0xcG30uo7iIdglWkV0EQ4wXUZ7KBVdB39zbmnWuLAWG0ODlJgyquRjo
aj+DvcU+1Pu9jX9a66nYncqrdnAfXSM/RyZqtoEJuVzuiVwCfxi3RMmxCE370avvhqEtWbX4Xnac
nDKOQZZazux8INYAODouePW42aMn3ZAMvOy16DB27o5B9Kltmr0s5akd2RRohmFg3NZ4hJr6NCuM
P+ZQPs45f2+kF21FY01HCKmsOieQfb3WUeRvq6cYgj1AQ5t1qHGxPsYab7tWaygkY6Dr7UVWCp0E
BCP7rq8/rFzP6CLTgMeC/kRJCYYxtTdgTC+NCDRfv1g/vRCPgeliEk9gDVxbELrI7qrupq1KSp1N
ejn//l3h/zUHsGmuh+x/cwt4IOld/OkK8PuX/HEFsH5D6HR1i7wGf/OXaR9TPgfYFSqjDVflX0on
9wYAYzZjPkZjTPwcbMi/K50GSidmBey/rLuc2t2/cwUwvy2+vwqdrgZry+B/2dGkKdeJ468WYLxJ
sVcbxsjat8wnlUSOvrX1nIZu1caPRCpGYC+ZjOGbW+LV4HmrNm0TaThtUCuDgrHIlROXzUHPPcFJ
MZv0q7SsrOslGevzMAjm+w5b4uOYOsqmBTBTZ3vRygsrpgyjbujTzWuHSLUxuMaJjEx81NaijVgY
xQmHW3SdavRA02yViBtKNOJj1E/9dS7ra/inB5IfF9mgxFvSYQfr8xEijdnP6b7xMqx1I20SwAbi
4tJZZkx2PeqXWdvfLYPy1iBofmF0trVfaSRBqwN3wBPTW+TytfJqnnX7pNm0sygaRJKNpFZu9kdm
sY8dHlF0SoOWGFPPh6dJVtq1ZzZTw4sFdezHroZ0p5K08elKjFkQK6wMAKHzaqsnqmATKQ11X/P/
fRJRJc+R1JEWcvoMv5qZDqops+MLZZQC+GDtbXkh1nFSbhJyZJLWFJieg9mXJoUMxq5yEVUnHUc1
GwZl2btickh2DVV1j9O3vves8pgvibjGgUQsf8HUxPtLzYJmfMq0j65VrNFwEyUp5UwAo61zIYfx
ppMsFVZorKu72yT3Kk84smRM5+4oqsgO4zTIZ6N07yDk6zScZ8tblHjySeg43mIbg4+fU06w18au
PDtt3Z+zckl2lmbTE4a0cuq7PHxyFIanRuvHD30WgwfFYayeYnpHXpK8rfaUP+DOtuoofqQT3b02
FoPchCWxWhtzKZ64l3EF6ynr2TH8q/E+Z7Z4CTvPuEzkmt8ooWvnDjInreZJGQhqVX60+G1+ovPl
KPeQSNm987dqKRfgsm75kA6yfDe0BqecyLsHlc7Jh2lZuJQYvyfnkHHpZQKh9oTJhQUbiAnSHTkc
9822y25fpKnYJl2IzUoOXge6sw3NQyvs+nnOtOkadwebZ5IN9qXTwQqZnIX+nRBPB2NqkYW8fxid
2cjUIwxW773jSvPIia74wfyharYJAkEcYNxvbqs2S854x9KdlU0x9ayhcZ/3OMe3VPkkHzYFKEEx
huFlTorls43rfBfBaHizCoufriqM+mZw+n7GNJ9yYyi4/iW+U0nvIeTzgs1MDuZdIwCxgKWwi8uE
LwHGu9r9R+iu1w4jspM3Wu1C4nGm3D4qba3yy7Kb7vu5sk/l7On7zGkcRRhqdr8gyQAa7xfnUeTY
XI69EVHWMgqLNk6v5EqJo5nGojZmGr3tGCQ/Y9oz2J+zcJdbev2UD6KXQJZBsNKzMPoVwuGuDMFY
s6tX0Q9JFOcW+oa+Hypiq1Sicnxg0HwCfeHcDJUOpiPjbaJeamm3VurSvua52dMiy+Ju0mvzMeph
Sut1ne1S14z0TR9plBaJuix2PUSIbFvypJ6Xqm2RxN1l+pqmqPocptDYdq50T5M7W0c+/dkV0cW8
2WSpl4uNjmne4pAjhy3jq7jw+zIvfoR878vFjml94XJUZwGYmASSULz8LOy++ujSOD426KB7uLqc
I2AU7Wu3Si5jcEpXpFCbXTO2Jq1qjrcb3E5zOXZ26gejM++FjYXgBTvIC5MKLPR8Yl9A8Oj0jmG5
w3aJ9JNsQpdEUZiMjEENqTdX5Cj0rTLC0K+rblwPtda8n6JueTGbUNz9/SPB/0z50LQYRf67g8PT
jzxfB6b5P/y/lmD//rV/nCAIBGGSBm3KUYFM4T/dQq7+mwSVyX93HNc0tHWI+c8MEZ4azgkg1AzD
hm/JX/1+fjB/wzThkNpfzxff3Zx/5wDxF6TlmsGHK+y4QDv/c1CKwvnr+UFGTTRbM7VbwwvonMNy
AFO6yX+QqP+/AKLyWv/kGFq/mWNoK1cAgxLDzT9/MyBBMR7izAy6ulx2ehIPB8eYqbLTYNL/8su4
+c8T0K+0O8tdf/I/n4wswBdgDnAdcm5aE1q/vjJLjm1ijNMSdHBwYOyEApCtI8hvTJOfNuHAQsxN
haiGu20iWXA+yJL3KNbC68RNtXO59PXW4eKwZbdisgn6h2FriFl5Nls/n+d7fqfJnnaIbNsD0PYj
tGKfWGR/NSgIb16blv7sooctuZg31QL1CQOHYpWhW0mmSj/UXIaZK301Gr2NG1Vp/ExpRhv03C8I
r0uP1jcPQZRLdze2Wg+DSJ93YxKnV+NEj7LmwBtyOsKFFjviWdmFOLtC0/aRZKjqoGMyZ/XmfRtR
QlO2jntRlJH9aLN3XwvlcsIJ6ZoxrjTQ0hVKYuyhAkVrurGJmanpTbZ8ev2EgzmHjn3qpceSti5u
MpmSR6RmVrxp6BEPWtc5t9AECK30cl8RCflqWq6Ffr6umHVFKTRocacnS6m3qHmTISn/XldaMmYe
Y5XM3LKFVZ/NuiIP63q1QaOIz05lTfFWNDKqd8O6kpcDx7GNtq7vBIxY6fGXPAoo4XcQCsaHaiDw
7qx7w0gev9kWDMheqLCab4up5F2kLt3zmUghuxCIX/GtRCeImNbiTOPHMhy4cPZ3hsYRGhh5FN6n
eqoeGsh1R88W3W60m/LcZBNipEQOfJv5gSn2HuUdrsDspluIiIHjCA9eHmY/S8cUWHPiKodJTwlC
7YbGrZIe8U+KX6ftgCvQCWhfbF0EcFIFdNpmzSU+N8IjWt7YgVY77kEMPV6AVG9+0I5YPi95wbEl
Xy/cmXLGcxPL6Sf96cI39VLbUfGsgkaqcROpAsRURk7csNL+e4PdNvjuNtZQDmSOcm/Xl70B7F5/
8loV1Ihr21bVzZ3NHqY2RVKEb2nvte9pFIvnyEDqqKbW+OI25HY+fdOEZfO0V5c1qPx7MxyaA51F
8ZtXVKIg19sX5lVrAZbfGpkXdj7ei5rmND4N3Izn0Ntq2hpOprug23OCFNjWJrOk7a/luI/ab1V7
4gTqvdTD6Nnp29AOwrKnXTsHzBcwbavf6hiSop/JCuR7Eq9BspJpAm5Eaj1BMPGR7IsuetTTNh03
3sgj55dORRFhV1iXs6ac1z4bXDrd0jBdfHAJ3k062OrcD6I8CMCIt0B1xBUjU7cMIJrL+0WRoMb1
To5m1yx652AJbAV9hQmTd1o/tK90apOfrnDaezyQ2WOk+NM0McdB0bGo/C6TxrqZQ32tiTN5oSVU
t5uYxPh1lcAJ2GiLMT7CXcRODcCeMHvGYnabzdhxODrxa6fEyD4P+gS2PsvivSWkcZcsvTpNzFpO
pl2Jp4zPFlEwLhGf4A2xZoglwv3MnQmam6Rdp4+olA87Gx1YRQ32xHxsP6D/2fwmJvc8jkb/WksM
nn4xJ2mQthHHdBd36ZbGhRwdS5P7vD+avVd/QUQcCdM0zjX9sznhCMubXkNhiS0HbLkxw6bap9oC
xpcxfkDokdYFDC6IVAYZooRavHIc4lOvZbofcRHaZg1ZKhp+8dOYfG5CV3LYawkokFCMDrrtlQdj
6IcLBknkH2tKdw1a34imZdxtekJqXtrmJ2yE6oJalvdmQMJTEktsNxD0tPAj+DTSIQrXOaltxvO+
ClP9yAQo25VZgdTCIHbXV0scMDwnGscmGrRDTTVOzkortXS51HXH2pbYU31l0sCHRTMj5dN1b0UZ
z74qh2G3jJV9dixMlZ0z8JwNmnVyOsvZUhdqnyCjJHfK7Jej8mb9mKZORGt6TuvrMHn4ieKFCjUP
ROVpjgu1KyNqR+E34LrRmEEYvafdDmyA27Iw+u2s+uHY9gZLDUIzbc5VNz+sXLBgHOvkaqHo9FKL
x/ZkRkNFi+UYbjwEqKMZA0eMyBZt8NDiVtewKsD5jzbL0jVBUbn2dtG84Wxycr/TQSLeKaeGQ5Kw
3JCONQ5TGQ0XUMHZO8I5zk9kbMRb1xna1gzliL+1pv5k6sCBrw2Jaq5uzcmGCYKYiqujrB5Rc+en
hrKirRcz448nl+DwUDbNg6LKceO2EYlBJ5/bTSaVdaVhXOT6pZOsy6OEvHBLA3PiDHuXDlwybfS1
Iit43rkcmBMAClxMKqntmlEHAUtmYKPlPsqhls6FUEt3ScCyPU7GHJGx0ZjPmTnPqN9T2HHD4muf
dLuhsAUITHciKWYeHXYJ2gPTcrrkku1tpVkzIgMHsHErTTsMjt3um5wNZkgBCxKdS2+4QSQfxtyL
Lf9NnKciLG+XIS6ZsSXOASUgObEYfoiiKjAAKH4zZUWv44A3grcj64PWpZx1zjx3mycdLHnJccPR
rcjXZ6lhoMlwh2aZSW85mPfrtJIl15628o2FnAVmg2I3h8W8IwjNFZWHEaPZIuj2aefXijbkgIat
cWtRH/pBJCb+nAEQ3iyj9r/ZO4/lyLEty/5LjRthuFAXGPSg4Jqk051aTGBkCGgtL/6mv6V/rBcY
KSIjLTMte1ZlNXpmj8GkS+Dcs/deu/1KPax40sZmuppiK8cNUXGxjVwRvbUTMZoVQiZdUIZVqBDA
DG//ymXXQvalzoYdmdnkUY0weSoxmDfDiFvIhy/LnWV2WvMm92bvpcQduovNId5rqudx143tXNDG
2G8rq/e+19/9JXPtg/H/+1DoAkCmSQ5noGUYuOS/D42f325jvjv/+z/E/wqqJsBLzTmVxi5cc/fp
pn04hHtrE2+01bzzbliAE9o56GuoCut2v4+3/0SxWyb+HwbTXx4DhDxbxz9Ag+FPI3c0qiwB7MoV
mAN37oa7HJiV5/A//QFtOK9BSXWfPU1AaMEFTBGVFkOmbaNtECc3uRuQyn2gvIu62HWJR7kLrnCK
bGuD4Kf9UKbC//tR+k8Y+o8X7YcH/JPRvx3xKFMmlW0sKLyb6a59sE/5tbUpd9kldsWNr70B88Tj
wk1xTWT5+975L9+0j1qLP71pP/z9n44NKDhJ0SwvGE7kMvMp9t0U2+jkHDK/eMzemutu1+///jn/
xLH+85u0vIk/fFDcJi9GdAja4I9YtplWKGgA1bpObpvrckvq8p9e5GVR+6cniTdzoaLhEfn5uOIm
dZUSGMhoT9BOHfUC22GrNg6VBqd0T2XpxrtGgLuoD9l+ZW3J+ev75B8wfuyr//AQTDIjLC/4WC5b
c8dZMH8/POcidAYkxIzya3nplP2mWpAx0Ze6VYe/f3WNn//Sz1/Dn85mgte2sYif8WTTt+dq7eyM
TbtjX3U9voH13XDFviKZsIJb+chGi8jeeqnO+HgU/yrD9N9zeYFd2/1oh/lr99PxLfzyln0t3n50
P/32e7+uLsxPNk0p2LwBmog/Rp0s4IIWP6TLGVogZ+zflhdCfDLBgRqegSuJTpzfk07uJ7rU+O+g
oVnff/IvTN4fDM7fvzGQWriQux/sFVyNOt7xP35c+5mRoS84fXtJterQNUrzUJCYGVJtXcys20mu
y+rCIWrdRfVDlXhwAypabKJLgisbc9C3Q9IfHLoWpQcsjMTNTN6G3mNmlywy/+Eyxkv28/eL5Jcj
2QKYDvZEBKA/PmCC5G2JE9dda07svAlkz8chADnnJuaiHVi1fQxVkl5OkfA2hHUU540ArbmIuuBQ
Ou58Y7P33nSePWD3pIdvMtHgLeI0h8i14cQbWUwLiSuao9Qb5xWMoAFVPjHoeXccN3lJWD0YPtNp
+c0qyvY1za3xWWCeqbdxNCYnY4rSp8xeku+jjYV5H1X9M8upUFEMRsv01chW89IQRnGogrjJV5Ui
I56Pk6Y4ogQlIkYUJUzLQGty4lKuMnzHHZJohyNNvRRsPhkIgwDPyhxqw003je2h0J3om9Mw7Pu9
DOcDZVZ95fPM3C3njnzYVDkL0ywnwYUpTd9a/dht7XRq1/aQUx3XZERnLM1NV0G9ODUQnY6a7qw4
uh3orsKtMd4Wo3mKG685ZQj6B9ELtRNdHhxsEw3fH+lYveMQ7UV+5Wj6c13Q2I1pgCZzbZzoUub0
z4EpTGt69fDakjPnBnJFLXWz1cq6uizNGeZyH4TXDdidfTvI+MzZNTl3Fq8PUHh73zSWw7G0TgKs
W8F0l+sWw7weuw/T0BlXDArBSrAn+rLQyVlaN4ZiItMLnLs1Egdh6TjEM0eJp/s41nOzj6LZuZ0S
XiUi3sbZaePpMS2Ucd1QSrU3Q8gFOIBzmA0W3bDS1t6htMx7KFPRZdxTA4T1WpT4YLTu1s2ShrJA
Y2DxQ+va61iVtb4mnIOuF4e8R3SlDuSc5Dy/TVaWTyTlwxlaituhUy18TN2neC2DfokzY4MNx9v1
VZDdxzUStxaZatuqVPF8ZHlLbMc+ZnPn7vXM4mir0cQ+yM5mdQREqILB88RO0mP4sce1A5f7Du5H
c0a48N7LKqgPCTZCoDrJeJB912GYglUxWXr+iLYfXBkqJteFpQziDSWuN73eN0cC6/pjN7ntW1gr
6yLTA4oGMEiQoBuTbnbWVLgGhj9XmCiBeBH7XHMUbNtdDVGAmNWwVCZFsSWHkzdXA0geowW9vmJ7
2xfkyWbyaikNbmSvRAevBbAB4YIAT2Tvc/QYPk+WjRaW1BEuxIqm6xcvLOYbeKDuA7ZNkAwqCZBx
YEjOkI5SDvB+0YXxG1Wx5VFFWuCeCNgV7TYp8gxA2VLz6SyFnzoGLGM9VIlWs0Eok6+4HOxsLSMD
tl3V4bhbuwp3f7H0iWZtzcdgKmGYO0vhqJgN8UV+tJCaCShBv/3eTlrnssLujeuEsxDm+7wISF0t
paa5mZBtTpeq00wq59Qs9adC04Y3ihTURbuUo7ZLTWqm5n43OZr3aMR8GH2v8SgjTTVxhOQGHSlt
cLqEo6afLdX20g+XLlZlGEBRp5yjZEOBHJENs+e+r1L8ckY8USkZlDqx63Ic6Omm8K/oNjU0IJ7O
SAdspnmK3LQjb2lZIAMTUfGwJ9iYHFqTBllq/qyXPIAV4hlmfTUtTbNRwTGvammfNaKivmUHn63j
pZtWDGN9kUune3Fka943S4et6Sxr2prT9hV2quJMPAT0TbE038a17a1zis54oHPXv0QfHbnwDsZX
gk9hTlyIovK/n6LEMiX9fgNcGprMBeltSMtm1Wx//PzHec3oGVIrFK1uzXl6jWJ8EWzlzlhXO/uf
JrZ/+ls/HVr4DMWxFfK3xpW+MlbFGmdQutmSX+VegxfPr977rYu5Zc3HA4JK5P8TYVz80e3MhGGZ
bNoBTCAieIypfxrJs6GVtkg3wxbwlrXSU6Zyuk9W9ivZ00pfYZnZ/MNLvDytH1/ij78psX4IFzHG
/ZkDXs68peS10g2FV8zkET5Q3z10vtxFl0S3/qnQzPj5Zf757/30HGeSDAR9SG+Hmb8ewnVwY6zm
+3YVraGUBhufklS4YGtri5gY+tH3A8D/TMT/gX2fGZVX868n4j/JeL/9zq/TMEIeXqDFcIN5H9MN
b96voUcJDpAovMNgxyCKzvfbNGx+AmbrsW/SxZJ9xKn/m5Snf+L0j3GHiADYAKoWgQL8i4HYsv44
YH6IeWw4nGUWhgYo5MIG+OGCQOqQZWkoWmokiuE5rmX/deKWc7BFo251o4rPRm0WBw5/xUPtatar
VO1EPQHO1TKPqBXtevsqjEZqRjx612U12VzdHaf5RogguFZFbLFIMrKnRkTDdWXT/hLi+yVZXzpE
gHsTRmAmt5TkoZEUZXhIG2Xda2yAnrBcN5vSk8lDXZPUQruAcSusJvHbdsq3Gte6+3SiXNIWpfk8
VtQxjIzkzAxmP94L1xqRWfAeXzr5IF6KySJ0zjEaE6NpebuR5hk/GSu6XwlZhgdRmPIm1dGRGPln
YF0GYN13GQz9zVSFVcZyE2MTdh2TawnRHUZWwULP73Rlbl0H6iZJtyHqFg1GTyEnWSFLgAq3vK0x
d7uqAMjCZjt5TTQTWkFrkGtbp/lAhLLTUvVKLJn/aI3H9RqVyviqFaV+B5DdOAbM51vg391xsrn7
ZRhkP1uqdl+UPkZXXTN59cqznKZet/E8cXvBCoMnpuIUY3Yu0pkE4Htbe274PnQVRUYEWvUzAw1w
3yR2MAvI8oPR2kwwY4TFXT1suWiCUy3qLeZDT+7YnDvl2rJ6s1+FkBBaTMWOZW1jC34r8fGSGgd4
4c8IjzqRdyv60sWq2Aee3R96LW9WTZrnLS6kWn0e2UgXu2ZsaIkB+WLuEwLmGMNpGTuwA2PRLsa+
YWtDGfKNaoOyw/VsBycl5l7zx8KezE0DyYZoJsQya+WxoHsrF8NDvlgfMhXPew4y3jOaYPXWeAnU
xlDFwVYfCu9YhG7KzRczRRmm42VHdfMWP8sydGbONTA8m6c2JVf0E1gs9dMRzmGAV99zSt7/4EPx
ZGGJ+ql9KKFhvaiiziKQFotUWi6iKZCF4TgizO5G12jPOWLzpW50OiBYBFd6YRAEFhFWdwMgDYsw
OywSbdmbyRbrULylu8XywVhUm2TRc1s+F2zDAQ7XmQwu6kX3lcQ5WflX2rPbLNkV1yVDAnHP5s67
yifaTJheHTjF6Gr9Ii8XttUdDZddbmDBcjIXGRoaSLzLZ5zKXUFaIOJq5BvSJLgh8mJTLoI2epFz
YTaud2aLH7+bLpTZZpHAk0UMLxoLtXYRyGOnybeT0UzHNpPkOybIh1baI5EMLiatmjMZxntWt8Wy
xDVVqF3rQCE+VFulAAZE+RXV5Qmdz2nQ70qOpgRiKo63q6wDpA2p0HbpIQvKTFuheRiviskth6OH
4T2cWDhDiBdP+rKEVlHcnt3QCr/ay4o6FmLcVMvaGkbS9GJK2CbFstRGNNF4mVl0h8vKuzdIzAzL
GlxlU09gCerumDfRCq+4tgs+lub46PUN7s9wlZq8ikWtphsKAyia0Ud6ZCaVAE4fsgCDu8weIfyA
AVt29vqyvR9Z+h9JV7fXBnlBLFts+UOqts8S1euez75aQ1Jsd3LRBQIQ6r69aAVg1TEELvqB+yEl
pHHtEvesRnvNsYuaIk6N+hc7EWATjKwQX5SNToBaM7wCoY4OCUeho8xRx3nnXG3T4Uw7GLUGNsxq
vIA8zdBTmuCGhCFaC9Kdo7VgGjmpZpzVamtbEheiyWiMj/3IJ0SWpn4ooOFfK46425r+tw2eqOyq
VwSyR01ap0Gk4cpwFAwoK7Jfxg64eWU0kOAXHI4C4qZVhzwkAJSNFvJrGuc1gcXaMXcchnM2K3nH
PxPo9Bicl3Yxc+kZy6kp+tLoZE6Ux8WeNivbFD4VWsTILLI+zOg2FCsrkt0z97v6RY+WUjOYSRSc
yUJq8kJTS/GZbYOw8AGKa49BUud+bMdUY4sXwx7jk2PN5qG3CRlFqTN/i5ditdqo9Pt+KVtL7KV3
TY0Zlu+ATYUNfOqZb53RrRMKC46aufS2mZNCJ1zK3PqmWyiyTqQ/cOZAXk4FMGaKwYc3mcQBJxmQ
7Dw68HQntj3dFltp+cSfS09NVOR3WD2yWwy7YmV6hGptWQZv5WTk93kjRr+Z9GYTLHV0RqImKDkf
LXVxO8v9vFTXOUNTnuKlzi7KiJijEVFyp1XtcMGtWst5nSE4rkM4e0C4zNyFvjWkxlU9G9MX287n
bQgL/l52S6OeF4Tko8F75d+ChmSWqYj/QRLoiXXXebdzl3a+EiBK4ysr0rY9axCiI3MS30GuI+/l
aGLwu6yNj1UeJZxYc32+0aHEAdB3nOFAwySl9SH9hjtHM7DiLYCktyZMS647BITa1ISEFgTNsTT0
aaNkPeFNLCG0tfB6HqjW1hlTgjpE4sA07FfCqC6tAVPupsBj+zLO3rCjxDWHGIYZtFvRJgJ+hQuH
ds+arTpPZlMfSR1NYIuH8WaiKQx3Z1BcQeSeH3uoqlvb1MbT/+yVO3X4gkCmC52dLmPn34zRX4nV
/rhU/v2Xfp2jscCTfcWNCB3/l9Xxr3O09Qk4louV3bYWyNYPc7TQP6GxY3AHvUW/MCff3+Zo+Ykf
sFLkoVFXzr8y/s0YTfvvHw59LJYlJeHsvD2W10gi3k96l1s2rAEyxwRSU7rvczokVwMhOMYwAFHf
HFNLH4tId2iYId6z4+5JRl8XuYZ5tU1P/dioB1jL846WDXL98iPjL8w8uNI90m/Q2j3BDRqdXVYJ
Ya+SujNvFw5t9ZChQkMBGUKiHQ1thNt+MsJtnOKa8KvBIU+iSsPe9UioF30o1W2VtdG7u1AKdG2S
d1nkqivRowlnC80gW7gGA1unz1EF62BaqAeUhPRrz4nlOqIP4lRQjMdlYyElKCBfj0DrAQpM2rQl
1TpfO4XIdznPHdMIDJEnMyrdEpsRJavWQmQYc6qP/bZL85dmITZMC7tBjYHg1lNMF1U9g3aQC+Uh
oB/hKV3IDzDu7TPFu8aTWLgQ+kKI8Ka0A7I9NQ3QEP7VPhPW8Gx3APBAYtjadobPfg69rP3GaMg6
NFpoFCkO8p0ZGO5d/gGrCM05OwdQztHU0er9oWLzNS2Ei4jR4ATayDKpbDVhP5Q6N3FgKhTa1RjS
kb6MyxzS6bhxxsWQHliGfOoL/Cp+VQ3uJaN7cRV0k1H4tm7mONIz8SWyLPVuT8R7/MEBp2p1Efav
RGvHO04MxkYNwXRuyZRww8jo0jAU1Uar2kuLeylCa2BTPAg6OMvRfejGJGjXkr6IxyYKcaGg596X
yshOou5yCgv7agdsO78AVwmnQR8zbeeMSQPCuc54M7LqYkzT4kuiWod4YzkVexv78bpOpviVV2zi
2sq8f+UuFjStD22gTY0DyLS1rXQfi66/M8MZZ4XVyuk8mEXwnhXsRJtEpzLHweOcrY1ECJK4dTjc
almj9SuVTN24gjspLsKgb75Bf6fcU5sT92sYSOOuMOL83TMwf1hNB4Nc6Mq7tDtXJ7nUpc1lKar+
iBWwJCHnapQGkqfJcDSyaPZ7J0ofI9g7m4phe0u/BChj6vS8bZXm8BJH4sIXtdDDA4erBUGFtYvF
LwS6z7XbGl/HZsi/ZmkT3DRRgmOzLTxrHZpkzYy5ntvVlBr0PGXSoC6D2vpiD6aTJnN9WcKTEwhw
67CYDzDOPmTLsp5Ws+ku+ljgtym7fKbzcs8CDjV8WfW7wxifodsFux7Q+DWYHXUdLOKAXGSCbBEM
tPxDO6BFcBNOvUkCjEJMllhNVG2aD80hL5romSvLxMiuZPvALmz+HKpcvzIWzWKaAu9QSje9jpVx
VfW48YZszUb7SC3E2hy4+miLBhJKQp3toosMg/Gi9YUbrho7pzgitSGAZaEW7sgWBBtjstujKqJs
2BiL4FLmBdpL6/XOvlQhadp2EWciN4kPTPjDTTn1aDf5h47Dx9V+Food7jamKsby+Zyj+owfClBI
QgUuF0gFfQXoZSLPt+hFwdQXh2ERkdQiJzVWbHI4DzWCc/vIkezwGKbSp8Fsi2tyK0O3TRaJqijd
8SVI+Tr6Zl8gYWG3Tl7UPPQJzOwWMLRWevbrLIV76TkFcfYPOSxUnXcIwTgeaynoby0WCS36UNPk
IqyRXmJCX8S2UDnJJfHi7JjnS9i8nF26iljrPDS5br8Zc2W/WPB45X7Ik/nzzFacEU9rFedaupZS
f9ItviUywZaR2I3Dt4rKqqeopUHIRlmr+Vx2icGwFUSMa5V4JZSCHdCqA+05Bsh7F9Cc+dLz+j/V
DR5SftIDQoKKWkLVl5N9bpwsOtS6DM7jyBqjn1L9KPKKsgCwov1LH5bFTudKQZ0LcK7ltBCYfs8d
iJxQEoUgcFynf84wf924U5Bcz5FbvjZl4p1toi7uwQ07ItZqAcZIhKNLgvzmS5DkwbPo6vjx349I
/9WihAwXiLYs9v569vnPLvu//6fo4s8/ldH/8ou/zj/WJ8km0MQBT7/vkgn4fY9ofzIchmDueey5
F6X8tz2iEJ8YvuiaZz7CRy+Xbf8vkQBGI4ODEUcKLEXkAL1/tUb8vib8fem9COtiERZ0lu24QJwP
E9UPa0QZc8hqMCdtrIlqYF/WThv6BCEheKTp0NG9MI2YpDSi10YAXrIFnMno0TbbcWyTh2I5MXB6
I0gEIrA52U5TscJp4FbqSQ1YIx1fWWjF29imfEh4gOhBJWN4V3rNVtv7gj70qGFi3cZe+ZZmwXsd
j3Ktlyrae/SGI9O3xGfhGkeXbB8oT8uFcRGMIUyNCX8qXHE0u3oKzFMbNIDBuqG6gstuXk1DRTaw
C4D8NoVzXYE1Wve8GwdqLaqLBIGtwS9YFRm93UG3GxMDK4pbDTBOQCJnbmMm/tTgZHSCzWAPm6HV
+XZCxtwsdaEr1+4LbOZNepmNmBCDynqNJ5aITmiiO6ZAN8ZKW5ZBDhZNAGaGMjuMjFa+HtG1fDtJ
xEXaT/eZtKJbnkl9LkJFn1Wo7BVVLxOeUtqxm0E/lL3+XAgHkHBNgXSM19UvLfOxa+xXCgiCfWuy
9DEkDPnSFa+RUTUXZa4z4aBjrm27HvelVAeVJDdePTmnWQxvfP8PXaxDcmqnTT6m6iKJAXCA6M7X
tXD6jU2n2iXQeODuBXYFrxumHVuSdzzRk++0OlxXmhM3tkJzzzW72AQgVFY1d6UV8KOzILawI3hm
1ytTTt1R6EMHpLyqo1tKiaNDlOB3CMkOPrQipyYiir8kJnx4UUy0b6k9aBWyi8n8TarsFQokOYqI
Rz2LiFx4W6xJakhmOwAybViPKw7+9YXWZS+4v7MdebYntxPODtk5Oid6yqptHL5IU72ACWUlRdiu
aO1k1XkM5INL6JwGyQNxkRe2NddY4jufjkXozbzF50UO9QdDvZoZlBF/EL21qgg6bGq8oVgMmAFi
UQwngxKSu1kU8Rep2eO2qztvM9kuoqRZW8l3e8m/0m7+q11Svx8NF7/f31xToXyUxVv75yPl8nu/
XFId75OJgLKIoRYdwTg7f7+kWvwIZYZLLuY2Vyx2zF9SVvon8ORyiVLRkWuREfpBm9GsT4YpHBL/
SDdciheb5r/QZhz5R/XSMW3+gGMJE04y/rqPk+2P2kwLOoKbaZyu9WY0TnHOilheJBFtQ/lNoVUy
m5etatXkoFdsma+GzmZkDwvzmi1H+RrZXvwlNbCim5NZPodCDDH0pmrOVwKg+y0dgsQ8elouH0sX
43apqjLd5rPstoHWNueZsPNlMIiJmGCcuRuu1nTmlPoc+1D2qpu8h0qbJmq+0md2u5QtBPI4oPpe
unrEWpV1/bRlYdMBJe9kzllhIqjgSqoNaVK3rg0cSPEOmjy11lLTr9BK0l1jT30P503o12XVWNeu
mVtvVRi4FjqKkdwxajv3RgK4ruwdGoKb0kTPqE3aMqAHxhvHVsZ7S6sr9RLDlN5Sq+TuBqszirVy
ZgmUr8A9q+WJ7ous9HaBN9A4yHK7BrMc2J/xKuBgCerCZKk9O1cNx8Ibl3RGQym8lh+S1plM36VS
gO+vyt60zMRin9ll/0DauXihyLu/tOq5Pote2hNueNOB2B+o7iExmuGMOKS+pXZLWEfqhXZhmaa4
hHK/bI61PL6sFmhIlYtgM3XLHzETMxD+kBcZfxAky97pe++pntT4KJqweCt6kxGXD5K96UdieZuU
lZri+m5nO53TewoTqJQ7jZPLlaLXhuYrvf3Gs4J8VIyNuLcia1S8Vlr84qR98HnO8fp3HcezYpib
XVuW7m2ZFH3PaT75UNAaRlhWhL3uN3xPvtF+4a74LxebUcr+JmlKZ+sKN36mNnKofFS46lK39Wg7
O4b3PmDQP6pJRAZUL9pGTXOy7gMtNPZgnNUBIngMMjTNq1eoRuTNwRBDwJnH+LlPzenCnQssHbRA
9XLNLRu1A5onpya8IDdO7YUbJ5LNjZs7zY7aycFd20FfFT4yoabhNKhNKAHEfveU904b/AnNne40
0WPQVvIKOMy4bnKnRjuvmJy92Um2lVbr01VCT9k3QVPIiysIYocSQLEveZcONrGTzI9VT/DZsMnk
d1NWnwO0z6vItpMdBED3aGt1ddCmLnqrw6YjphWW4QmD+XxI9aI9B06V45nL+9vOsZojRT7Rl5Zz
PwSZkIG7UtVDnwI46PqAj6aWvXdZUm0dr3cpoB1tPx7CEbw4Zm4D3M9h9rziKkwcXP+gl7TreOIs
tOKsJtZRPNu7iuTCM7ah5K7M3Zg6ITXtc16bk8u8dJ/OjrrH0c9KHOuvy2ddEHnfVWyvBcUIkciB
t9NYtcg9zYnEXMkBuLAwY42clMHGQCLPqVsZyEVIZJOb2iMm75s56xP2wSwQ3uJ+sMAI6SoDb5YH
nMpUTCMTVsLEt4BYqh0xE4qM0NRsD2xbmCcr8JPBJsmSCBoAPEuLOE0OxqZQp65RAbsAdIK90rLp
zLw7XJCysE9c7zLvwQQC0PnpSLxkFVkGGX6dUPzFGIcRH1RLm6mzmQF/tU5HV21AwRxoHetqBjGU
rkYvZm61AfnetH1tub5WmaPmG2bFIOFltEhWDrPiWtOS8BVW/CCW1CYGRH1wKLYAkAu1qm27F9pD
Wfzn0D0ysk2hbq+ImzVfh2iE6tjGjEJTl4Ao4noGtwgPQPbgjHNiQ85DzO6qwr2LWV+0myR0zBup
maWggYdapawS5kNn4q4qg3T+UrpO9rVNK8qRDBqzTgNXZkYjHIOCC9gwPwYTyFZbr4g1LHuB7Dar
Y/NFYaSzWMo1/buoyRCtZjRyrFu2eKUhNNlF5lQRmauy4QGIgbOf2Lvt61yT64L4FxOxRrwj7du1
lXbmQS9lex6KPjsS6tXBZ8ZBsTZpikaSIn8KDtCbW0r2BCgMVVn6jk9I9oK4APmXNUCK4a2ZcGfO
ICieRl1yGaHhry7oLHUxmHNzZppitzs+st5qN4y2+YVmUqHpB6E3hPgKrPm5sRPtPdbc4s7yRPKV
gz6MIfT9o8e+40UvhNy4WukYfpSVhUE2MlHfbDGmE6OoGR50s5LPsWEHe8ttBdbH0VhPIOSYEycU
skLvc2ygsqjpfsvKU9lp7P3Kgpuez2Ixf5AQqwhE01V+HJ3ZeOoF0dEBRNyJXbLaDUUezIQbSW7I
SLj7Lh68yzx28m2cJ8YjxOJ5F+nUIPp1OGtXxAddvoNj9NlL+NhGMLiITuld7zupRZdBA0Z1MCqx
SSGtvAlUcaD6YR4+DUGGx9ZIY30/22OXkxytQt2vAdbjS6tj5z5M7NrxO9mMFBONuVqXvc13dE5t
NOm4ppC10w8GhW4XdTo0l46NL9DHIknvYNtqlzQMaBzQhHVJMxSHClO52Tkmc2qvW8VWHFcErQYr
nTPRE46Dwsd83OwbIKb70APuEXKmXf5Poo2wWROxdSOILZEqhgPrOFiBFHsTRHWV4hPDNW3Yl2Y3
hms+0MRxZr6VTP9Ncc74u+TdFnunqmH20/fdGTetnVOHIpL8AtJEdV3QxP0VVMX8jBmi3tFxLIAF
Yw3DbJzvIrsheCWVul2WyibmcLPc94lFWdPgTdmhdN36VTc7+W70ZbmmApouadNlo+I3Goj8nctc
cW9HBJdaZpltBFjynA5mDTMn6I96FlYAAW3v0mi8NvYjz5ie8Gwv31RR3ELHLS5sALbI+SyhLC0o
HyHicPWZ7dT267EXn/Wo145THQ/tbjIn+S5R7d4AXs4XGD94rSLLnI+tPulnzZqsQxgHfJWnSXe+
gbwxjl4b6Kdk1JqTnibZwQ340PoxUiFpX7vWN/XYspiqeGkPVEOHr0XvsBwy6GZ7dpJRDX6WFdiA
G63ULyxG8EPIwZTUEzPY5ykZm4MtzWnDGaw6E/rydqAY5VrzQuosQs3uj2Y2j3svbqmFG3OIyHAj
cY2GycglNY+98N5yjB5bKFK+hwOEzjB3gfbHy802KhG0EzV2rAsd+Gx27F0EJmVNfWNKerXr5D1U
c3TdKqvcNA0eecA7E152DJUn5XblWbFO7FcmXcsmYqCX636EVMjVwiYGGXsF6ovK1UYLCLOusBeH
u4IHfBFPSpDPzCsDwlotcCdIibMoKqV1LxlXNsY4kzkkz9q/uSJNlZ84EXZHS4OFLvIeQ/A8Vn4Q
DfGuhGl8CsOI3KkTSLo1p8jKNqKlb9jLKFDzW/zdhzyW0Z2RWu1WFrZ0/Vbn80AkPMNhG0uuw8J1
TeozbewXjddVe3cJPG7Gvsq3XtRGF9SBE7ZiiWLSgaTbO/ysUnJUAORMNrS111NnjntngLrAFcqQ
57lgoW9ngdWtSiOYIUtLvTpg1dYh1RfJib7x/DaLhuaocwY/2ZmVcJmkUu065X7yTSjXoDPQG+dT
R2h14m5N2ekQWvUDGqt96YZa5K1wIpgYxBx8AXUjna9BnQx85+ELfG6MvIOVh7VkWIVDHu3L0uGm
I3vjdgq96R6yU/OcGpW3jXtTe/dozcK/zbdog+NqeHRiO7inv7R0/CnLrSe9kyFt2Cp8UZIjToFZ
/3o04Cv7Xtsn7zo511OCJ0JftRz1dr2Q82thDIvegUGD/UxJPTjOat08J5U5lNGuxS809iunjRh8
D9hd1INn1ELRa2bmn/tBqYOsLICc2CFsFAA1nip6bYg/6472uSnaxFrPcd0wGfVUmfuzsXTCulZG
hLQJG+znAYam574uydQTEq6TnYXw1VMFQDPHhgizN2yAWAs2I3Vdd0eAoOVn8sz1/8dO4L9nwumX
zcHfbmPPfdfnb+oPu9jff+/XZaz5iagUZ/9fWW3YM38Vo+UnCqOweuLNlJzaf9gciE9LPI7lAOEn
h5Oz8/syVtM/4TYx2RogYkvj+373X2wOgEP/QY5mc6DjLHXZPbu2w0Z4Ycn9uDno2VJMI1+F9YTd
fOO1TGvBAWAwVak1W03rNq3ciW+sCLrPrHMBwJdWnCZbz9Ap6bVl8FpnGje8zqFYNqlRYafaudZg
AjCDO961MSfjPsqijIZL23KvhJb1BeDCdrpss6j/nOX5gOd7cK0bjpsTBh0KopO1W/dNsXInNBcX
t+hTK8GJxhhBnpOyTjIfOpm4LjTTula9sF/aHMLw7M75FpvktGeTHcI0yanIzBOIV74cG6w9oxFx
cZutItqMuZWyZmPNiAA+xxdYGRlJi2RRI017uPJU3F3jqa3vstapLuBK6Y992OnXC5dvpRWZe+FA
T99i1+lOYVyH0vc8BlG4jAOjOD4hTWy7BFDlFsa1zeWCuPK5kGFGurMQ6apvGzjGadpzNoFT+5ni
T3xiE7ScjKLRztvB2VrO0NwnWNT8P/LObLeRJEvTT+QFd3Pz7ZY7RWqjdt04JEWE7/tub9OX8xz9
YvMZq3uyplE9QN1OA4lEApFSSKTT7Jx/zaeI/Rpx+SptDVBzSxV41XuVP8Zt6xIahw9kLRXAEIOZ
aaBhnIYbNRrOLkxDjK2MlYu7ItjSfMCvj7kp6AUOGxkDfnhRMe1Uo+O7TS/KkPhJSblsF7e3dI/Q
Sjd503sGTvLLgfS8V/6AzCpziQPbZLbb/nKVtF79hfTX2kOLm/pVfBCNiN67OR/URicSPBHtiQAx
H4aamJskBEzFfcCUWwVlWq8aT/FL2p4INwwoAyHSZpEcE3IDnpEdGbcyh3G1B0P8XgKEbbLM1bEP
ypOwlxBpUt9/h6msNn4RMCky/9r7pIvBa7Ow/kUT74wlxwBU7pcRKIk0luMwd/UhskZyY0ZPptS7
IjuGNLR3hZYis4S3f+ZJGg4TUZMfKnLQN71DX7jfNnw63NHft8pMd2NCgXHbjNOPq1XPY5NFSIaw
hPWuMV8WrY5eRDv8XqQzvCPtmO6BsIZdrwVCWk10XrRoiHbL6dEpqKie6yq+SDN31qYktmQdRYl9
X17VR9NViVS5GW3cgxd/yIH8vy2Yh3ka/q5fMgLdZ9DN0XFKfPOl1yonEuIQPCE57C/IozuWMRkc
UG3Pvzx3Ct8I4jX/VFW1tCib43kEnuscduMqoUDYqtRjbzfAc6ATKNF8niuIi/nFiqWxWWiMcSnT
KgJrJ6kfvulbe0aTFnSn0pq7nm3XEtYqQ4nwkLg9U7aLSWXX5S4F18R91A+sjOOyt43Sfe8Iw790
Q4k/nZRnH9C7RsoSREPyq/ZqcUrKhQiJqpFkS3ftEt+l9cQOMk0Tl2KtqEKfqMwefwwUtN9LL3hA
C9+bSIojVsEilglrovmWtTCRbWklF48WhbsaDx/FuAzyPaqPi6nS8pWVOjguk7Q3OUKFe6u365tG
VmAm8FEcF0O+bs1xfE3GrFp4NTLrBqqre5h4oG6jUUbbQarkGUZffqbKEB1S5RlUj5bi8VCMCxkl
eVrtetkw1Sd+WPyQ1LxAPM9m3WyQblBV3RXpa+onPHaFsNeBzYwDMEifsG8N4ruWcXbTS0s8sapU
Z9SHNhNwLd/jMCL/VflhdemEgyazHmecK6NHhjD/PeUn7iPkx21cMF3SErJJePO2KZP1Ea46OcY1
VoLzaM5dsEpDJb5mMy4OiupsuuEim+wi6X8XZpDetWQAfZvAmy+R4+RntBc29FRKeFRT+Y+6c+a+
xqN2KUUoN5wh6WeFOBLFushiew1aKfdWLbv7VMn4kPZGAuU0UpbnWjOyu2Jh9an8ne2H7blepvkp
ioMu4nhrvLsIB8KBlNrlAQG7g8NwNLsLrV7mpawQbAoX45kwy/Glj1ji+2qsnoduIQBpaUEw/W7x
TgurDF3m6WCgvsn8+ntshH9Wo2XT5FrRHdNz3wErskqkiyguSGfTHR9oCkHczn8w+8okInuISvrB
lU1BrGd6nPseVR/AkSanWj8FNSnRrnouhI9UNR/H8sdLhOuTENyX3WqQw3jyaX3+8OJIj+2EEM/r
1raD6YYQI8WwGAPeImYNvee0VO1bDQrw4dEGJNc40gAPTUhF+ETZG5gwLT9/FF1LiLbRRKm/j/qW
QP1eOOolUBOGvMWO+p8a3dsFQNu9bdyRnd7L4/jV5SB/sXpWzckTRHJPPH8sALzF+6pZUEWpWN1W
eijvp258nB0rxbk2xv4KoXDa0RtSy40V1d6lN6R98/8/k/8fQ+D/U8b4+jXU//6//hnrxJf9xTpx
6rk2OkawM3h8JrP/nB0pSLNxGkLmux4Y0D/Y4/kTvGT8Y8NTkdkr/vLHG9bfhNBfQ00oAyQG+n+J
yWfa/K+jo4Dasvh212/rO/rP/4HJd1HAyHHovDW75/jBg4ET06cAqV/Pms8BzuPu6FEJ/hmGwSLV
2vbU2Z9L69Qk/fg+Xfmh3LSyO9G0/tYYNX9E2FT5YqNRAwsMxnqb0V2wB/vsLlbljK8TH2kwJK/e
JK70qTvMaCuO+V86/DsbGKqBeWa8t+rmj6L1wvbGPy0L4yYSArxokeIMmWcdLSVT/rUkp7mEzscn
grGwRlqMXRdzdlvPmDdTneaJ+98uSImIesa6lhDcfdjSVGANvX1ApB5uxkZR5V7z7Bst6U+ctOTS
kQa3KujOmDaJNWLYzFzzpKLOXhMdkK5nI0EaTPWZLhzNzRNhAf1hci0qJ3NsKyn9uo+JQqtdC8vY
EELbbFF8ITEqKrmzK8IIPNHTBMnpu41TEWyqDiWULJpozfRrrywXE1IukIz5LtdWR1Y4OjC33EML
gSRWlrepkVatJwPQrWgFvRXuZN9FRNdoYWa36Yps2PYOzZ1WP8lbghDig9EO1WEicP8h8gzjT564
Jgmknf1hcpED3Yjoj0vVypYisJLjahJbAzr1nC+iAdJP2mEdFqjSaC7KTry9wa6MmfCLxcZobuXi
oCyzdlZgy/K3Q5OlzvaCSUv9KMFrDTSxDhkdeMmq5CXCDPIewIVskIpGt2WcRhAaudnMryZauPB9
iRB235O5NYsvoMX+OCIyvQ16O9gEreifIZooBZn64dhaZB8xp86bTIzXP4he58wGy8LA5K15hcFV
MYbWFnpat/g9EHxr8KjMXsXYCldj5Y04du1E2gKT5DvZSprOHL1d6Q2gXEXmPWN+KKmnqQV1F5it
P8p+zE5OE/KTh2jaMtrGzsmQFr+J7lNPyGqth6DvAdKamUtnJFxuR4+TdSbyLHygk0BtM4TzL11Z
xJ9NK3EBVH30pzIN1HOGOyU7G4f1DpE9i89geMUmsApz3zhhf0QFMtxRAObRZBZimUpJ570H4h9/
UZwOOAbY5eyl3aTlji47p8YHkbiPmlh4sZOu3lUht0dZpv0FJxIfd8sZWY5i5T2KvHIvlpHAHJkJ
uVU0xEL8CKmQZSTxhY8on1aELgRJV2YGSs8o2+yw9mDcCAZM1hA0yGfNCY3siJs7Ytl5MokiwU7n
UtKQUR1DqRycUpYFOOjHdMrOHbPd19TH4fewtDSgJx7uiTgOcOqh2OHOikxhfM7K63Zz3jsXe8gA
6SGGX2JZepDhmOjvLK71c+qRzrwK86gKibVTJE4kVfjajKGzyyLeSRi2MJ09SS+gnE+80stnTB+8
u/Z05NR66jq8/Vjmk52iI4G2BOwYqKzbsvyx+9n+M03YfNnPfAGIWfR3HcbAA9W4BnzBELZrH/L3
JmqcCSmdtPkGnSf41LqoX7UYlZRDFmOZg+0FhmZmEcI2U1Gua6ekRKiBVq3xWnWt2WLs1Ta7qguf
/DoVp2pU1AL2Ktk3pdnsEMI6RGjWr3GSGh/KFvWKiOlonSDNG7um2GNewcNeO3pPNXeFlUnSJZd6
Tex1uBbGBNpVdS0ZKLQolswWWxdGeOdEDsAsyAUvRWysG6CGjS2qcO/R8XFnk5l54OEGb2QCZCmY
1C4rmSFajKFrFTv1scxQXibKI0yMv3LlabSNPaTbuyDRmPqa5eCaSbkP4Sc+6yxGUzrFxqXNMygH
v0++8sEvDuggFk6CwNkVtcO6gwLoo7Dd+GD1s7uRHRguJwiGK8tW1Es69o/jBxGbIhnLC+rFtU8Y
1FpbonZGLsZtUSYhdFQ/H5SqPRYhOzmmOR+2mh++isd6XQZ2fmzs1N8lvktmlVdXWyy06tT2brp2
URjf1jhitqwtw8YcFaGb9mJ/OQPer4AVbUddCNBqh/NkFY+KQAJf90+QzBDvwYzBqyPZvU4kpP60
lkg3JErQGzc2klQJnGOS+VdPYtWW64VkmjgezlPTewcAbXefFdkp07n0sVMGRB0QApH3w2stKmMT
JeNCLGi4cH0P7iswFLF8bl21BwRRC27VlvxK+iIUkZKGCo1b084hdzOrafdRvUiNDNP3ZNmSvXiG
kn0ZOzWwJ+KUTdZ51xY3rgzb1zGtk5vZ6CUvM6wsUjG36Hdd11EDjdEmeYsnkR0JE/0Y/ElIvlVc
3gUoWu6SqkW1Ena/m6yIdy36eoL+nRCyV1EDZWNxgCcs6IJ27JslQ9Q7dCq4GYuI5Fn6vQ7Z0Lar
UkQwT24dfgAsRMSjNOAUKUmkU4tGAz/seGvLXpFA3yebWCblTtHpuoM+hEZF/XufIhUnhYb3Ee7c
/R5k5K+dcWJTmnBXrWTttRviPbrHpnPsU7N4xV7MvbNFrpGjBDTZpL2x3CIj9N97RMePCLVgr9WU
KX+VK4PiMcyg8b7h6JZ4ywr3bLp192HbTbeLGgkTWqGXhJZ3XZuuMSedghdQ5/o4Gq5xS0czWbVN
ri4yNKG0bQJk3Dx07tCO5xfSBdoT2fvehacooiiBJGPySKQaeI0KnyFCGEq9NDweW8+vy/s2WMKz
40OPUO8irIfJinMCFhfjkoXRz8ILspu9wX0Mp9B8xVuqkGnk4Q+iH/ViBG72xgQm7iseh8usUnnC
yUDdSiusAyk500s6h+4DxUU8U+lQt7CRS3k0uxYHx+xQacRVubWNyIf1Sx0CNAEi7Y3hJZBtfkMJ
QxV6hFSK5qHCkvdSFVKevdAIHICIdCHvVA5UIMyARPgI8uY8y9LY5UFi//TBQHnV2MbbJcuMQ4J3
/mamgnJNviNgDkmtGSH9iXeP9Kja0JFbIZ+ZebiU45wb7K/vxIsYb1TitQ/42eiIM5JieHQgn6kj
KLm0EDdjTJuNpzS37SefqFJWVgIuL11uLc/5VTWBsv9QaiWF0TXZU1Bl6j3ROgvnqri4ii+gycI7
A8RErAL69qDDMEs+O1rBMUPW7pRdF+teazzK2KhfQmspP1utAIF8j385MuluSasZLlgR4mcfRPIZ
C9JyVFpHQhIrkpJQq0uk1pnQre7fMuIw0xpzeB60HgVQQXfwapWKvApWZJ+O27l1sPxqk87G1NqW
UbbiD7H3CF4YAzIKuPv4WAZLiyBGa2MMrZLxHRm/ZsXQPuVaQ9Nc5TQl1/w+ow7EWMm/C26u4ptJ
l+2Fiw/LH6XxNtAqHUx9y53Hfw7bxCmreju4XvdHUOZwaEY22B3eyuyA4bL+lAlNZmkSJ0/IucSB
hEz5bGvRUNI2CXZ7LSVqUj0gjQUhPyjPIJpR2Ne/RrxUP1hkmtusHTnPUPLMH0zudUUi0Vi6Kyh5
uPNWi5uUQiw0XAVPHKF7F67psyIb5ymRCb+gTqwmnFKrphayNkjWRkkVzLG3Tzk1h9U8586psz0k
BP1VgDXNg7NtOz7+K0D24qvVWq3RMrJbKrDDW5eMTkTReY7iviIu+xBHFMIGtjkdGu10L3BU7tOu
pvjVUoDoih9obfZW/5ZeVWOZFpAlWkpGig3QsW3F1pOF197YGJZpnN0IAVo4ZMmrZRnFG2yT02x6
Myq+PK0nA9HA3QyJF+4ymfYtToFhuWWdwSCStAT5UhPA8ADy/4MzHlUc2B8k3eI2R/RKGZxtNoYI
vEPanjZks/t7A1/Bxa85N4GCYvvb0KqNbdb7iIC1OK+kQ37c5jP61lW9GO6zq3V82FgQnGS0Un2V
Wuc3acVfcxX/BeYCXq0VgUU+qkMBAkFA1JiAYebT+P4/BowABPjvNbDrLyru+n//t3+igeXr/pPJ
InZPAESgMnX/7iv4C41w/4ZmkJYBrGkSn4DWuf6HBlb8jVojC8sAUlfhmeZfrkqILM904bICaCfP
Rt4PM/UvEFmu+L99lZAySHDR2zqmtEz8C6Ymuv4BjQBpyzyrMolHyKN+eMsQkxDGnZIZhFO5uVdF
Et6n9lQ/eDX6ELrBrKzYdnYyzaRgjNOtuorHGjJVg1VNJgCisqo01S4fXf6XZe5SihTJ9voYSjc/
JKHpjLv+KlJTIbTwjm0w91dU7rm3gRi/nVTL2nLHnRDg52PIJ4kIWqRvnSJuIRpGVjsjbdx2pXq9
1cSeLDx2c9lXjPfU+4B0Os+dgcGP9ZmMJ2DH4AF0wnii6Q8c+Xrp6OtHJfP8OtZ2/GuJJKpKu6uf
g6qPH4krFO9OlfufdNt498ZAAAeOIsvf91mWrpto9m/MQhgPS7wQlZ8s9s+iL8xCX52GVXOLYoan
sRKlyaGNRP1WLWZ6GdvQJBFJX8DUuuJWdUFLQBJoG/ftBMOPvrPJ6tL3t77KzRIrhz054amZe/Ms
6xbJVJ8yAlhRIt5U08T3E5KVg+tHBVg82EXhVcNejWl1Sa2ov+9Qcb7zWFrnNFgIYUgEw7CePQrR
Wq/krLmPIrbG9dSUvIR6WIkEtsVADzAepx5aQdUYx6Sbmp0qK50HbdqfxnX+GbQDdzWOgwo2pEIj
MEr1uBTrwanSIxSlDPbLUPKiTsWskEIzb0168prmvj6CfhaXHnPZJZntDj0+yXCStPyz7VYj5TvG
eCumLtrbreQuSxvkHWQxBJ9sHfOfNCFIsqDfbT0l4/gtrVq84ZB3t5UMokvvd82P78WBuQ7Don2M
ctN9aGu6TWFFGYDNInjzxKzeSmEEezJtlvscF8U3dZvNS1JMHtIVZSF3jJ3HHu0DHsVpOLGCR7c5
AWgp2XF2eBxsNKEran883lhFfCGamwglsF0ckUHGwUo6Yf4kvDB+mJZa3U6diVCRTb7PdpXqvE3U
zBG4EwvmjTAsWBHsbTOWBctkIcWNiXCkmts5Wfmhuxxdb0pvEaN5+2TOjAe0MnLfB0bxudR+sGuW
xd74Gfta1eNIhJRMXzovL36yHMIOCVB6b5a9s09QSWx7aRR3YvLUF0xVSVR8YRw8psRVYwSKDI1m
fANO6N/LKM8ey4DIgK6z8gdAQHWh+S4/qXmiUqMn07z0wCl6bnvWF6c17/ApLtgXe+RdIxWGNWfc
vVllyYUDTWzHxJrvgwRVUo0vezXazqLnRH6vWbW3hjdZDxkH5dE2lP17QKJ148QCarEK40NX4Gi0
cgW2N+r+h5qmAydfiKineWJD7+r8hWpM3LtVNR4jsy7f8ghMcyAXLl2V+YQ2jHYIdGBhFB3TsoEz
bhDHPI0wTNtmUs2xL4v5veoHmpXCrL0x/YYGjKQUW9+NqFSqMxrAy8Rb53DyDy6/xmM5WOob/R3D
TM1IjWe509FIrZf5GwJPIEFDP2SymGT7XQRVpPb8it6X0YxEC/Z8Vg+5bfXnTs2CwzUv3tHD8qRW
DXnOWH/br6DzIM4o/KQ0UvaejqrEAE+xtMrwAMfVHFMs0kFZGdlQkxzumsalxtTCiNvPz2k4ZmcR
ieqHU7m6k0PTf2MSKj5Qyw5nl0gnfx2Wk/ooaTpJmJdnY2SFr8pbQkral8yBNgF7DJGD9mGt2SzC
VV0EalP1EJvDcOd0BYFIVY9ySKdAASHlFPaB4o7U3qO9m+eCh5p+D6MkCt+nNCFaCXOUF0+51rAN
q246qoWk/oxeyR0Zi8BPE7s6vVmA2yxsztAcOfWpyZV9R7u12RrjmwOlWTEjZpDt4ArQRmzWvXki
hBIWDOlVvxpMO3PWBkVnd2VNxQVpm8n4EEApwflwoLymUbg8+0ld6nJK07mE2FgjImq7iZzDeKZY
VCTAvlnWAJ8YSzI26NXnOtz14CsIgkdFnycxp/2F9gv7WBeB8VSa0UK/KJ6WM/x190XQVS0OiVd0
nDHEDa6U7XW//BHJBuwpoi4alD1AkiBC0m3ElvNAjzDbFLQByePcyEW0TbLJhjMzq+S+R5Z1IomA
r0aG2XZHi6mVyHh+qztPSR8KdkDES9dmNK6V4BTds3wPA7Zjo/gWfSVfvbbhpZx7ajhWzqjTdoeQ
xXQdQ+2iVMVYDiBf2oquFGxXxVZOGCbXWK2NpywEY0DYYiDmXIQGMBOCl6CKUSfUKkAaF5ut9+jo
mC9ee0i0cGH6VqoM950XgqvNTki+LD/4HzJSyWdymTPIl0woh/EFKaRRmyQbaVX2e22Y1npALfja
6hAyH7HchMZwjEnTb9x+X3Zt8upnfUR6AboJk3Cd50bnmg3liJsQZJcGv8F+Mhzyz6bFV5S+hryZ
PP8w3zQyAFeaNcgWgoYaNuQuu6oczKSZbzItfSiaZGYCMunogU6Wh0CLJLxUtZ9RZJdniNZjnf5a
SpKx/aw6Fn05PQmtskCzROwNVcveGSTY+aiUNz4ApZYXzA00bKg6MVcmuUPAB0jzAaBI64Q0VIMM
V+gnKTQShhyewmVUOT1CtvnuDQ36YOQBr9R/LAdSRMVrqtUj6VVIgjMFCBjGJnroY7P5jrXmhHXD
P3H+uPeslNG9pQVvSitUbNxL7Cdat5JeJSwsHUhseP+dW4BU9ZCQAbaZU9TcvO0xRnVLOjsJznWT
aXWMfRXKzDOZF2s+3e5WXZU0mW/fodHgqTKV9KBMYCCimwUlKY7rqzwn1kqdNEOzIzJnoXU7sJvb
QHbFK05qEpOo06Xwpku17CdItQTI9BTZQfUQNdG2IwDuTzMHIdQ/za3kSKEiKmI0O9Q/mHcKhcVr
ptVGqKObp7mU3Z2ntUh9Twhd6fsBtSJaqzRo1VI1FZwCzGvxVnJ5eyuSJZA4DdKHRBuv0icv0fZ/
KjwwG8wHcqDJ3CoqtUVrkAGNptkPWQnW3Th6CKoSEMn3jGS/naf1Vp5WXnWDaErYqiZDItPE5DRb
WqdFPBvbZlZNw0+mdVzEchjvmdfnj2XZjvZOoKk9GISk3nllhQxMC8JqLQ0rtUis1nKxqWiMT4em
gq/yqiZrYjqYwIURmXElwr+Dqtny0l11aIbyyF6wrJISnkAmMYOjWNQ9PedEDEuj7M6yMdWvTjsb
4r6yX2LtdrBpD8f4EOGBiK92CGdR/lNOa8izc7VLSO2cKPEGD5vpaqgwEtKo0Wc7za2vHRfcsdBO
RGtgxOjEEDHCwE4i2g+JhV1ZYQYdwBoxbsOrm6MgUu1epu6ob5vSOabV2D3ye6SPFoY64rTS2n0J
bEk7OWSPAIq4Okbw89kU+JJjeCsamT/6UkSnFvX0uPK05WQAVluQbgnAUKXtKNHVmZJeXSr/YzZc
tr3/fsPdD19j8tX+/icbLl/3F99OmhixnCyPJJd7/j8EcNp/c1lQsce7EDRarPmPG66QPrJKzcIH
KD3+j2/e/JvryAAVJ98KtoM2EPmvLLjXbwXHtRCtoNORyN9EAOcRDip5IogbNf9LUcUIou53eR4x
NhEmXDRd0W8COFVJbWlt1rc2ZBKpNXEmICDs7qOZJvccGeDkq2QIs7OsgoALLM/JEWzygauSg6R/
ZCoM3jsNURu5E6x5GsmnsZWznb282leVtZxbDW+PGZN8T6i2QXMtPwD6LvsXGeIcjg6a+lM9JMUr
x52xC4q63PkaT5caWV80xp6RmHMgHM3Z4iair6zN6C8K7fBjyofwhhHOXjmdsvd+BnpfR9V0mjWi
72psv9Iof6zxfj647kpqDkCn7axcENPtGHS/Qz+gB14O3Z1ltnwVp+alBld7I0k5XPVLmB0rTTWw
n9JMNKGZ6XfYGtIbCyF7xMcRioKwQ/k8xdLn8iybRC/qsBlBni4v4B5wHGY2QaxxtkxbalBgQdqE
iKEtoUrIzYwCFS2XiZFu4jZO6OCWTvYmIpqhJDvbShnMu66FtrsLyvJgLgrPF61BvkGnMS+ydyg0
dYN0ztgEEEBbOy6QRGqxXLso0uLGCfOngACq2JV/ojTvX31ND0VijPcjkziXiqaPVFRPuq4HUomh
Pd550I9wHUJ9L8NoPTqakOo0NVX1rbihX2omdc80dkDB+R4CD4rxSmtpgosHHEMpfpfDKHMPBhse
rNSMmJfTaTY7sGSe5stqZZprjxHkJugmiApp2lheu5Tq1VDhO9A0SY/d39QkHBn38WGYTPNdO1WP
JTrfvYp6CjlURWMj4MInoVILGk0rJuiIrj1nojwXoWOzT3GxHDrXT2ggt1LMurW/lzMqTiJ91K62
8J2UQJlHM+OnQgpmrBI+1vxuY6FtWFSCWXj/XE1JtvkU7rnYsC5pwlKnQqPdgFGrU+XtoinKt97Q
89IOhC5Zmvb06Kdax5oKnZfSWtODvauylsy6cS43VlXU+xgONfZwlfFGN2xGs/EBb8SdnrnMzpCv
LHDN0RGDt8XYFZ1pSQifPD5nIEEVAUja/eg2E5OswSVHYBD8LrYlNIBoWjad5n+Rvk1kPsQe8LXy
q900LtVOEIG6nSPkB0qOGLvcWazRwHFVcbWMuw5G4tajBOnGNtx5VzMxX5a4nDfsajWhBRCbjRfF
G28Iw30UOM23qiiwj+FqmHfL6uAnKSF3WePddqMjbmxmimNEjAG7WxNb+6kTkIhBFh3cVPS/3NoO
tigns8NgWOmO0J8Or0MS3y2NET0krV8el8KpoUj8ifeRGM1YFNMJGdSytaa8fiBpP9rWTeUcAAbi
FRieu5/JcUIG1BcBY2Y4YqakHwSfCiJWi+3yN/QB6kez7actuqjosyhoE8RWkj8jls2fWhE0N1FM
ixuJwCoHGeE98Gnd24uU5sSE7Kw3UrqmO1VLHxyop986LyyNllWf+GjpMmdzQ3rn033uxtauHbP6
c+5U9dTJQuw5s1E2wtoMP95M79eRVCMKrQOzfZ/jPLwJoZ5/DLtHTcjLui3wDb3ZuLz3VY2YHpPl
QG0peP665pB+Nkoy7kmOKh+SmbzgVTUxKHpznp5RWVvNiiGLUTCpMf8c5r7oTv3oRL9inDn6Qc7K
Y8imdQsuUW9KfLU3U+0v5AfP6bFKUvUlCMl/pt6QM7AWHOeWonoCgMt4FVgE78elpRZZGqD2TZYb
tyHy7N+KBA1UTgqDG0kWfrsuu8BD31FnN/BgJbxn4r24WgMexv5LnXAHQFv22T7DA0FDcBI+YMZ1
bsKG8i52dF6OSY3dOXGN/KMJUZqotmjebdssEVT2SCIDExKb+tg7O6/NPYM1p+zgttjUZzwE63AJ
5IFQSx325RSMV0vXMpU5UWpzHHhx/8ufTRoM6Wgk09Nv87tMC6yohvZ+1ciE7yRZUhgFBMqftqTa
rfYc+6AKz87QQKb5qSthFI1sNO+QoCNP52fhvq3K8im1SPKc+EnXZt64B0wR1lMZGKzqnZroYSXa
LmKYzXOC1ke22Lb0+amhyaJLIJz0xpuEjmNwyLW3bSkeo7lv145RsNEZ9LmjqSzc7AlolYoZpDsV
OEbHSVCayWuL4G8rYIPvo9if+m3VOJTz4bKL4Z1CK4Led8JtZ3YBngdHgjFDsy8P9hwkj7aNusij
4QCxqpz8V3h4954AVoHS3qz3aDImkKmueS6CiYzaMHbrj6lK3Vc7NhIH/6QRPHXDLH9M1q9sVUSN
BTzbkfbCTgXPM0r/GJDKeuqKUB4WkJ+DFNJ5CmVGkE1qKfkUcGMe4zBvt2afRfdh1I3nGJHHsBpn
nhJ+94rg6xp7In/xzP4PMfqnHN1gD52T3+R5XvxCkRQ94qfKPvIiXN5nA9a84QNyZOLIX9qgFI/w
is3HElnxtpVpczcMlbgLuIWfwrhNTyYBiKTANclmpisNRMrQl6cwqWF3ndHDUzfIg+Xr/OJAYTUt
yezaG3lAMj+Pyy9ZZs6XYxoY5fucLBgPtdARl1tNwaDAqYXKzM2RGhrpEUKZ+WAo/HujtcvDnCXW
uXSm6gl95nwHIlU+l3bbnIPQSUoiGaf4sTPn4lTU6XROY0O4264qqo95ItVl8sJkn6HKQBySo3Zf
LYY/X7J0lCtB4d4DmlznvvY8groNHZpDBLv7Jr1p2nDJgQrVWQXIb/f2rqwI/fYMWxtf0fTRUoPu
N6jgkGPXX+47o7dv44ig7IXIIolzWQpclVXlrWug2fvJzMdXW+LTnuM6/U6KRZ5Ks+3YrRf3jU8A
WoZ6ytC+zdb9Ejf9TdgN/ckrs/Y+YNzdWhDUv5UThj/4oe2dpeBoQejJXUYrmGyaKU6f2POjNwzI
1W7opE3ZOnG0DiAUVfIOhcObmRbbnbICccEeQXQEDj5yWvFA4hIcrJdW1NVXTtDQN5GT9OhAfJ9m
pMziZRF4efxtXSEACK8IpqvBTPz54JrlJCd6Skg0JmPcSN/CIJtpTYYZSbadkkOyHhG5fvI3qG+X
ffNxtiIqeHRtoY/EdeNpiDXRYKu6wq4agC01FItWb36vNTybshhzuQHZMkTrjkUN5KorpltoeLcO
J/vL4gJYOcIU65aql4fKqpKtgjbdqIV4l1SjxBTIxBupkWODEW/diMH+GPNs0n1PaB401iw16txr
/FkxeP5ONSbdJr71oDROHQxpdjto7DrXl8Cs5AwNAbJNgpW9NcMxuRB/GNxPGgGvyB+8o9512aUa
HyfUDag8zSKTVBUui5GMrLWvMfVAo+u9xtkZr6djdcXem7B/x2wzvrUamUcYGa5oFzEOQuP2lkbw
57gp71KN6psKF6qrkX5uvXIPqBZ9LZoHKDUjQABocmjwLmOVgS8gTKD4BMaXaIAN91aMuLcdzTB4
mmsAXoF2kH+nIK50BAQz1AQUCDRFrhmLKiwp7SyvPMaV0gBkgC6ilLi8tzTnAQ40P/sF4CFyBTgR
p0KLR4ESTEkHUnjpr/QJPpqQOgJNqphNn50LUQc3VCrPxOxX1UNeT/7BpT12U4JevxBG2mNMxS7T
ztG0d7q+fzcUbA5mda4EHp11rLke5AbDxeV6BUY0u+G71KyQM4BXRbkt3miIKn9NWVnfmOS9/gaZ
Cz6xzLg2UckBFqxBRXtLE1AVRPzJnSf3Fovf/2bvPJZkR7Ik+0V4AmoAtg7AuQenvoG8FwScEwPw
T73qT6gfm4OcyurMkuoSye1M7V9kRjiBXdOretT4+f+LZrDWo/xbzSAp//ZfvBpfMPf+SChef+53
zUD8gCOMaxPFYCXj/ZEMRf+GqeGzNw3HtP8vh+/vW3Hzh2ra4Cr592RDHWvl8P0O2/uB/VxFTkBe
J8r/V5fiv7XW/EEzIEBqqtD7kNqBDqNE/BNseOwRJljbq16i9qOhbuy5suJAZ7N4ypQQDQoWgnGC
qU3IxpAup4brJjdJKsrrzEppwtOhKiYqedvj7GwH5V7po2ib9oZxHa0syiFctkuP12tEi+P5tVzS
olYM31RSB4N81843aQIMiAuSreq0bnC/RlZVfZPd6ovdL5A6yA/h+nCwlAzGQtHAiJD5Ki0lvCEc
HT4DLsiumRl1ZgDbRqfmulLIZ1MwUOXboXWzt0k49mup4d9WMiN8cVeXKu54tp1p2xhwipZ2a4xx
iq20FtXFMnL3cWwcfuOQeiy/CZ30wdFjTNqak+J8448uXjHJzVxrTPdubnNM+c5qAccOu1U5WFe6
HfNeAo//kFFKfUw4U1NPz4rkER2n/NXyOgYzBGg/ds0GP+NSnJRJh0da9JiKrUMXmk18xElNrEDy
lGBSYxVUBklhal+G3XANgiR3Q1uUAA2VqWvLOaSGzsfPo46BW2rLcRoy/SFUC+1q4Pa7yUWOm1mz
khdyQnSz5TiX35fJje51o1y+LLCw3A+KmX7yCPIMDgArMulrc9VI8QS7pBSWgTXv+ymps50a9onD
dneoYi+ShB42nAlsYps2T/ystBcsfDDoHjJ3Ga5qXhs+b3S2TTnrD1yfm3Ov2E21XSbMDUIPYbtA
C8mPVCpWbIHT+HOah36PQmwH1GIIblRT9ExOQPAL9XYgFSYJWA6G+BmlaneLxg1EVSszMgMDnQfs
LGoSUmYqF1ICCRGpqcQhiAVk+J67tMVdIeP8dUpm9YRNraM2CuViO/LmbUtFYQugFR2Vs1omD5rm
Zl+sJcR2SnT7cYziEXcrBBuPLnPnftAtaiAZRXdAXaZ3Th8gFHOoLoFR9nTWpGyKNyhuvLgT2j5J
LYpnUBGyuzCJmhsT+yCe//Ufxf0wXLtFMXcJ39xdqA/W9xK1C/yPdt64zlg8mU4MN6PskWc2ACra
EzzWrNiMSVdifevavdqpbCidsaMXpe2Xg9O6MTUoNX88B4KjUZyCUR8PRriD+tC0K5ukOYsOGQif
fXYCpcy4i3MClk4piCVCq11/KFSem6RNflXGaDJDWgosH1gR4jTCOHxxoAbvuO/qr7lR5A+jmHIC
PvRUbGIuDx64TkrKwXtFvojz5Al8Qd55ShWJxJuKXDuwHqjXQhZFvGR1I8O9OyPRTNUgDi4oS4zS
ln5F6c636VK2nT+banh2gVHznVQn7Rk+brhJlBpCpRpZByV3cHrojvJKhw56IgmLcQtDsrjHFjJe
AbnPry3ZpXMdpzaMICKH1YYPd+zR7xhfcenQaY0wNTJt1iryGgTMbz3MS0LKLepJC/t6r8tReTIz
4WLm0DqSLG1yb4qWljY+NJSnV9PEQrw0891QG+EvTYeLsphWvUOt0S92ajugJxo8ecRk5Pukarru
p42pHWtH6045Wx7Fy2JHf5i5PF+wlBu8msOSvoWqEsGncFvQ4k6sfPK9iQKCMtqBZwcOCauz4iOW
on5P9Hp4E/WQvdvjTJDZNLlv6rOzPnY6J2CPl36aUxYRWYm14ZnYIY+lqLeWo63K6XtK+mm1oosL
Ax3TbJov+ILbyWDCc6e9QUHfWdqq9U7uujzxhWTqWNz0MoOd++oJFB+S0CGGgZJysFwn3g25WlJQ
OAjNp7MovIQ2EafCCG3Cq/X4gsAW89ipqvTWGWDYwxdiSxiF4lhNAm8OJaVP3Yy5elPVk8CL0uvf
oWJbb1y5Fy0YpyQhy552ToEKZKGxuQrgjQJ3IkX0sWoYQTWFL6GAyYz+abC+8zNFl7s8Sx292Qvo
TgiaypCey1VSQYCyoa+uQgt0UfOhWsWXuAXZaa6CjIk/gca9VabJV8GGZV8YhKuIw8oP/WIVdtiT
t2+aIfpT45TGizF1VRPEqw4EpRFJyM7zfmeEXfxW09/xPpDDD6go7P181ZMGMPv+smpMEEW1VTCR
dwpvn6/gML9hyy1eDXatOx6s4b5aNasut6hJUZScvT3FWMEEKwDIi25C7Efsoj1zflpoor8uqxQ2
zZwcpNYcJPV2/HKKpvipSQR5Ntgpe98RIW7rAJ09ZCZw9qISxc7VyyjAR22fS6yhO9WVwFobpzqa
bSUPYZPPT2nqmPtlVfNEOVe3S6SxAu6cdKuvqp+YXTco+yL+zkv8suOqDmpLpe1MgXsGlh/qYadJ
/ehoc3wXF8O4la5S7qNVb1TiaDkRUWl+iVWNbFddUg7u8hBXQwnvFelyYojZisFwjwRMtEu3lpyn
KvLMpmyIwRV9aAZRDEKOBqzxCHBneEgzHZUUgzvioFsS0K1GteEESRVYwrVF6MZd8zd0brVepUWE
chaiLbsoKjss9DxQNyIxay7eMhu2hVCma5+E7CTn37I+mk0f0GwVUm4SfYHBH/2WDFKcNr1q2jD4
GHjTHRq54ZdytPdKkc/kJuJol89oFPHSuS9dSvAoGonJxzULQrgA7jmbJnOLs3/0lDFSdvbCX7lx
sX5fzK4TQDZnKlH5gu3Q26PjNDXNXuuoEpWznA5cU/SdPWCLYEOKll8X2Pn0xSo9NsewEBVh3/EA
S+/DyJY+WPDkQDCK3FGe8NdznO9amU8buGv6PdQDvOxE3E+i16pTL+iKMspM9VWpyV1D4dS2J6rM
WoCJTIepvCGA0CKtcnNp2q7ZSptUcheQVe9ldUozuzogbLsXAOTd1lhhlvj1zAPBr/AmCtUoyDW9
vDVHVIQOI80+yhZjry3EWugfZQ+bazGtv8OifmmhW/mpxaQ6ariRJpr6DstAe5MIkYA9hes/rptw
WRNlrkUhAUVlvHFGzNm1aRpTfDZt2L8UpFJ8HPSLQ0MdobgNsIcJ+W6ZLAuEnyLeu3KpXidwBrmf
m2UEWWlarLOJe+85F0L5HGuFeGfUJxEOv6jSDrNSZ/dyCOtkj+MppEA0n8uvYR4qzqMilDiQ3Lp+
jhYcijQbi/ahHEzljomUj2PCl/LbjCPnsBiR/dA14fhLqhluyT7sdmPTd9sxTzGVkvwet24F6RVh
28CRSTD42bYVoppGoj26qrtQDyygpQWp7mAxz0DcbsZGHe87iskghbD6+84JFLFi68fmoTSn9GcV
18aABoehfdOPKjJiIhZXY/6SuDoplu1AwHfLwzTrPcA17DHXEmPJM41PQO/p3jJOjmkp2BGk2rz/
9Qvn/8vYoTVm/b9fS++HpPz823/9C+zQ+nO/m7WtH+A2hWpx41u31X9Ijls/nBXkznb7D8ChFRmv
ARXCpc1t0QE99I8LKXdV22BQImWuqdSUCvFXlti/Ee3/vMQmmy5Mm+22auuurv/ThXQwtY6CD2Xx
Me5kZ201kS1Sv1sKYuQSJh9+GPSkRk+P5RR/jMjRmHFYp4p84vnYcCWIwpxw88y8r8lfdQg8T0R6
vg6Y7uu4LrSsFML3QtUbRlzOb3vNCA3K52w0u1DTmMyZgnw1KuXGAJSN8AjZjscSBseJ7iwlwWRU
2Z9tMc9BMS6fmHlQVFjIeaww343avJgLxieG36eGAXAT6/YIjqh65tEQEh+BjY4dEhCyW14Ml7y1
JSjQojRDBrmhvrci7oF76vRXCLLlidl816aL6XGK4O/VK+bEyZ+UxqJ32UEA5IH33GQD30N6tD2r
Q4MMZXzto7A86Et9TsyB4y5drAvHJGD6yKLw0cZ4JC19K52iIJppN3tO4tJPbBHfjHT+bTETuQej
ph6mc8Y3LeqivaYXxi6aoFGkFW05VpjJfa/q2WdkcuntQhbOGJbkW9FlX+wnsDkpxpeqSsMba+tN
GYtyx10rXgk6K8tMv8MyUR9UDV+XlSPWjqVe37GdupsMou99VVZHW6n7OytHWE6HKbpd4y5YnWkn
4r1nrWhXZ2spLi2+Kidm71+ZNtey1seGcZYm/UWEXz/GLMadY1marzOjy3D0HZVacBeYVUmSaDMn
BE4NhklwyjCty/yKFY0Xuept2KnmPfbfdNPr6XnJxRGQzUsIetLT2uZY6f0bCn9OQjcDU2+BT94g
yR9E2soArp55IVh8NUv9J4cQvD1i+UXYPaXF8OTSwg0ixPolFTYjnTbhskN9SdbNRV6eckyQflpQ
LD862n28kBqG3/mB8+yUQqHZJE26beMM+DVFz5vBYrAYaGn22Q3sQc7cGOw0tzJPoYRCf2ud9WYJ
CmAIzdPottt6koCj4vgLnkigDBQMYBt76hYC+mV/CnXlfu6bG1pOPyjA1jGOTcexF66noEdjOZhO
GLLzN5Wr3zwC6xvietevyoVwmbFIdOyVcXkzq+WKTYQ6uIWNkVVal1qLzlkMYlAhZqD1NBZwtGxY
zHJbFcapiZV9zqpUbd2tGbkP7ki8FKPUyaqmYKGpMpfpw4TJzCs6GiHc0X2LUvMjIuMVGE1pBl3Y
71NGd3yLNjcw7hnFFFeknopXOZUZo+l4H5n1XeNSsZDAEvZMw3xvJ+sUJ/qlhRPM/VPP6I5yDnwi
9yyisXtWXRdAqiTCSnJ3C0TowVXq18R2nubEes9dXlt+KQNDb0o+WW33HQrwTQwbezcjoQdpKb/1
Phz57Mx4NZrMOsDVLS99Eym+lRuI/aRSfTtKuns1TgegETQ35kt3Did0OcyO/ZtdRVhy+ibF3lZ3
GLXn/5TG/VmS5YT7389MDx08KX8y3Hz8KzmXn/393DR+qPDwSCrpwgAD4pB/+h25YnJwruXM6xf7
z3IuR6qxUlVcQekc9DewKr/LuQYHqyU0VdXAtAgqfYy/cnpiGiDD9Ac518JIBtJFF7qJ7mjBFPtz
xmlCkaix/ow+2MfZM6y2u1+mcnyiGQyome7ML2PfsPPIixg4ECOYXPy4tJzcy4XVvSZ6pAJitYaf
yxTKD/Ac3V60Np4lNVTXQbcOtdvY7CxC2kkEz0rrm+3YzM5KQwYtyWPwEuEQfqDyZwrMsAKnEa8c
Ykc2j3G4xBdKqmcKojFRVGT7EyBDhtTMzp+ElR6McrWMVwQEQO0vl35C9AJ80Khn2Mzg3xrzPYHE
cXEFZF609HiX1Mq0Av5crBXhd98BztiEul4/VOzpd3QcOH43Eaeizoo1PdM89pVYfyzGXm4N+lt/
EvhVHnsWMSA6kjmYUp37djjPuxqbqR+6IbUpYI93i4isQKhj61OqTIB/bXGpcYAcXdKfJ7WujRtt
ibVjJCk905kGPpJF9ru6VnG02BRYrnhh623orIEaMb2K76fZMj2Jce5QTb14XBaHAK+UoOTBLr9q
iUsRLdo8VrghjgB4NPETS2GsP+k4HXSOSGrWFOIs9LtoTdDFtbwQWh63dTIm9T1sCzikhEnOi1Hm
vslNNdBanPbKPIfzplG14hd0rfRCWLrALDMt82eUgA3zuVqH50jv86DikXZrIx9XvP1afmuZc0sp
SWue2fpGt7xqDuAyy5DnaM7B99gsk6NNwl0ET05p8t4ZZJDwiXf9fLc06Y0IjcyfVMht5jBluDU6
jil6WtqnJlJbTAgxpmrMl9jZzHahZ9Ok8OurXnSAu3lIzV3EnwbCnx6LC1pcGzhpg15DY0H83KLS
sJ2YTQqaucniqGvC1H0WFWgAdOhRuyP93j1g90DjRhNZKMXjMKKFe1Snr2KxOJCZcZPGV+KwWIK5
nAwXwXIZW5wYmCFv2CHIaY+feq8xO3p2bF2MSoegJnC327dqbOr1u1KoffNax6p1VPGd3cUYUPKA
dWfB2rQa3/JeYxKJ2dHtuiU2bnCOcKfO1AbhIx1s8dEaQ31f6219VhL0mrQA5QIx3BZ36L4azQ7J
rFz7BnkBgC/iABOvPJExlrZXNaG7xchf7HvdTl7LKmwf27RM9zgoaectl4XFZF6v9RqJowvSAgjc
HhJgiNAzCMWz6jA8yHmIbtwlybZuaYe3YxmSm3Ui99zTDux1QvQReINJewujRGNJ1IOTKcfyM4t0
cuqFINRFgfLwYM1q6cslNvkdtaT6GUaOe5CNBhRkNEfEg8mFnCLVI/bp8invp+ImheN/nt22vepx
anQbQ2krhhVb2S1x119Net6vsRO6qT8Q/mXdXGYeHRtDhRxA8mzsI/0mMfAHpkvf3ohkZuNbqOVV
kw6TFhjTE22MypMUgtSYmqLwcn+IJDDMzNwBSxhUDERZ+hZrk9iycCVNXyaZtbeLLHqSTiy9caDc
vC65tHpcfe2HhX9f88a52S8p5/kNCGb9JCKHHdGSldpdjN4n0c4lDBEH8CRmiYIaBZwCIug7dEh8
LTqlH2gn431mRCDTYVdWJPnD4mgjDQA+15rbOdP1bUs14mYAk7M3kklSr51md7rRw00CfwAvyGz4
8o9VGYxWGV2dhoJEbibkxyfYQRh61e4GR3zxIrED3BclHsmwK7pXIBgI4FzcNRwxHcFG2LPXNb+C
42qwoQbHuf1OrCNi9nALzWsHY4CS4RQPTq7xiUqlHRMEmNPnmXBqQLByOBuaMpyp1o0t7IrD8Dlk
pjliBxADU69rOjuhRuotIjhu3a5O2tPqqX9dAzvGHitt56dTKhoGWycMhFX2u6XS7Ws95GQAzKpg
II9nyhcK3AjAOdzkZBu0Sm+IWFCBrSj0Kxl6W/4apCyfotmdL0XuZteE5FDAEiu/8LxWP0MDB0sJ
LpH2pkQ3bmuSO9s+btxTJWr60+tWeaspr2jYhWjlVvQqIldT6+NbKOe83YSuU53tWnVuTV6H5zRu
cOIVBh9Z/pfdtaBM6oVsVGPSo1fBaYa5xenR5+GLo4TxESAl5WAVKUxjaCTaeV+eiI8MO47fueHb
at3yazVfFLqLn0o3aFtsAEEvmnsD9uJbrLBBo6skuS+LhuthLEhV8PXM+yDHp3g35NlyoN99OfVF
rtxVsRqZnoWNyDq0LYBXLFTFLSWqyq7NhurWaMnnDRWn9FhVIKZwCWGe/u0SWpsTRHJL3OVWYuy5
0dJDWZvyJemj6j5EzbvUIubgjpcmfyTzYP0HI/2n2dT8tzaDx+HjX+US1h/6fSg1f+C5p5l4nfhU
i/j9/wyl1g/CCvRaa4CwcA2oEKv/7jHQ1B+a6TBxErNTHRsXwD+GUucHFMD1B2xbX4nPNPD9leC9
za/2p6HUJqrJ6sohO8FEqol/GkobPkydjXTrFxJfLiX3hcfuP97lpL0DIn0awxb2aZW60n3sRuDW
dHlbLoZ7SADyeyyS31udZQiIDNMzDKbRtF5qfwZqxsoZ1qaSa9890Rdsfhpeo1keSOoagUvlQRA1
zegniqKRgVian+oCLqucCp0JQ1F4JAH07yAtLVh/A4tXctsRmB4X/NuVkt4uZtHClQvzfQZ7jQNq
UKCumFyhtd8Kq0YaQPtK7pzKBfGqZ34TGxj8e/a7S92h9Joskzaq7V5VvdnR0LOnqufcLhy2FfnV
M16km3QEU6opDJQcyofBMVDg4UN5WUlPhAq75uiyJdvwWMOeQKHPhjHBwMvPuKMp+JTs1H3Ri54K
AlX0F1r8XgrQo/t5LnBsEzUIzLxGdwI5+GnpWLnbWFeCepn2jV79LMIC9mG0GgMpQiRZFIHB7yg/
SVtBpYjo/EHlMSi721HglnezFr6OkTdeSORuW6ccRBhNXYifteHpbaVRnce7VDAl3PQQVP2mVqIH
LO/T4wxgyBdTSdUiwKENobVZbmaqNzalZcqTXqQgazJ38PKwfR7wzWxMm71EQuUHcQBey9jN66/c
NeBUu9XkUSYae6ZFdfSoqTcGssGO+oXJSxd5Ic5Cg26pPpuSDscqDwP4P99k0HXsU+vzLJvoueej
poyoSQp4nA3u1m984yQR2vlnXOQgB3Lcl86y1xXhgDNWoq1Stfhes3IGANTnHxwoj7FGDjcn7xGw
2SOIP9HfkNUAIKvRuTOy2YQHM7mrkrTg/rCWc9473xTPfvSLTVHRCOMbDN+IvRTquaSfyUuJ8hJb
XXlsLWYLWxGjb9jmeEzr1vU1omHMjyuym0z63iGE6Q8h3Rb6WN1YOsZo3KgvUVyJC97jV4sCxINS
K2B93UkQ2Eg/COK+Rn03BDErTjDj1RyEGIMYMvMaQdDusKXb1Wls1QvPD0ovZ+eZt+U4otuSmVxr
4Vpoc8lqw6uM+KYmsb0vU8P0nDwyfRUXylGpGR8iLJdbS63ywxJiX+W4oBN7qh+aUV2wQ2gGDD+H
u0lnvva9S6Um83DFwOQp6dzAOoMpTVNUxgWVXAP7RoZhl61Wi9MTLh5/kTnR2Zw1D85sP2YFXwUT
7htXyfnYu8tRl0oZFA333FTm27omnejo+Pn7OMblYdYeV7eU1qsCuoOZP1hurK2uX9enueMnkUIt
qO3lg8bTGNZe+KRVpuO5KoXiokve+ViP26ruv0D8sS0adJKjGrsyLmtsk7Rhg/8l9mDn3MpJlbg7
CtvXzWneCQ0S0iabskfy5LcQNg4xLtaNGID+LLP5kiw5XyklyT1FGNSLq/V5wRvjm+pyW8EG9pIu
SnczuLR7EoAw7amfC0xl1HcdjjIaR5TuCUMx95q5DA9Ml/V2bSc/wKVM9osikfM4DJj65wvWgmUD
G3v2eczdcXHIvYI18FfInhVrRttu2e1KLxOy2+B25gVv2nKfsyzE5RgDNWtZl9oJ3exmOTzqtXPQ
Q/teTOkF4mn1Qe0YX6suWwNVVX+VkXYrVPkysw09EsYQPpGnM0IuTaQGGmo7F5dm1gYfsyzpgjGj
7llWu2JO6iCOEOtGYUX4GWCoJCmOmN7OIsoshNziNcHTMFLjZsA1B4WgoJPZ0T2WBDwgMQO42/X4
qpxeO0iDhT7bfno6p8bEPqXriKtDl3Qbu6W7APtEAIMPP1xHPG6T2V11LCIDKKozYGC2jHSPE2Um
2NM3Owo74KyManSmNwdolL3UO6k6bCcJ+xz1UYitwdm87RzWu+5iDxtqGo1drmBI0Ral2+WFgzWm
LtzDhE9vbxlz/xBnKu6Wqn2nfVA5xXrTE5Bupee2Q+3nNtZyJep8kQnQSlLFGIG1cEN2o93ya887
/KfJuW710nPnLg4AAuT+qCchuXWu5VKLsOPXY/iTIzkCwlnqB71WIY1EonlRZzIJXqi78AuAa+vn
pWqovYm0aDnX8O92VkJ0auTmNVtEfRaj3WpzjoO9104j8YyNPQHrZ7nzFYdhtDUddRVlFSq8cUWf
s4w1edRpd0lRfzUIZT7NRdULfeQcXWG7gIgZF1+bKKTVNHwBtQjFruoQh2rd5OiZaPFhs2jwVeba
QEymg0kpKVUnqHKcaL89ETtfqWwh6YEhlttqTn/lq599nOtdPYfPC59/XyVG6KXC/Bq7nPgfy1Yi
Ffz3rOFqZToBBYGjv63IasADw0vSV55kiRmY+qT7eaw+gibr1j8SB4shnuK4YInKX6aDqgx0WTXQ
A7rBT1IaXUL8ALe5zF9rlkwc2ekc1I17Sd0RjnamCa7wzbPjZF+K0dzIvsuQSPJ7ghAh3dlTubGA
0XiLwjapFuUd2AP8wkqPhZ0kR4CuRy3urHLaAYqH/lnPXhrpl6TUznNNm4OVsTiO2jnz2yE3/LZt
P1mSDR4r5pdkhdpYccZiIRpmapdmUBPaON0ofGs2zejeEmh+MIVs/EarvjOs176c+2tfLR95jJ2d
Lw9VW7kCO81q3QeKDrwqyVgXjS2c046jtaZ9OnD0ipjDwAMsK+xs19f9Mw2MN0hqNIU7Y7ids6jZ
8fIAVskZDHlV8i2kV8QtAS9PjhqR7UK/dlP1Sk98ysDg3NPumNDFTKuDVH5lbbuAS9LpkqIKfS+z
JsPtZVJh1zeBk8TOsVKM8ljyxz5D+ntPUiOmWRzIijpEAeNzRMGv8ZErperzzhU7upHBrQ72FQXY
3hHOjD3gKvw9XeceqB1hlopEiMuTJEBFVRZJCY6Iqe1IBa5XPKVLbu1sEHfcZymuhgtyqO0+9vKV
6ElRLy+vLl+quHpbHHM82MVoeiM4ube2JVOoYgLdqBAyUT9WpL8Y5/0wJMbObuLRo+mB00boYO6T
ZGfrdee1BRwVn8YnfqxWPjWm6ACZo3u3oS2/OnJkaVJHb1YGR7ImsfogrKb8nkSufVlERSW3/DS9
hqpNREpTlbuBIomTXRGdZC7S48DuHNVvOUuP3PzvpS4Bzeol/3YE86M48TpMuVuC8M6trHBEhtLR
PZG0TwpuqxbgAgCHrecRz+OhXISBLIyr2S0v0SJ5TcOEU3tihq9wK3mjgjg8V0QUlYQkqyq7QyjK
6iT0mAYpVxzC1uV0LIq7PHFelLZ/VamESNbW7YS+iQ2/ROzNac2ITzDwlNh8PKkHZwIwadFjXNj8
x2rwRye78W+tBl5cffztv7mH/pP/ff2p3++m4gf3TnIjWAfsP7gMbJYlhmlhNLAMW+OS+Y97qfND
kDujZ97WDAOjwXpl/bv33fhBwp40INdcEy+jZf+1TmRrtRL8z7LEMQ1bNYWG/V5XCe47LtH8PwLh
WqlacZw0OrN9R2uaoyhUz1Wm9aEXLhti/OeExqPKsO6LlAuVMSXNibJj9w6ZKls8ijko0uoqo3yT
bQfT1MY3zaLCcT097VKeb0UfPVcqAUPPJjMGz6ZTGm/pYouscZbb9La1Ez6hNGmvYQn5GgfyEB0Y
NELLT8M2fjWzpPk1u0q1o3o5/sbL2Id+ZmEaZm1ShfStLgOkNTsLA5Vodr2RqTne46c1oDllSdcG
dtFUQEu4hNkM4FTebjjGwAcXmJ3zwKLTpT7kUz7fxCTUPssMEAbnFO5Eq7Dcr36Y9J7pt+IMdidq
xybdDoiIGoj6PCeQZfMq8aNM9pJHYW8fOtPqzb1R4bzd0E2TXzoFYG5hi45d/shv2ffyQWpiiC86
CyU8ioScfmLyJUYEtpK2Y/h7qqJaT1wJjWubGG6Kr1Gx8DobGM3szFSDWVOLM85fRhc1g6JZx+bF
6Kif1mWxlUZWfDesHe6axh1eix7z+q7DrL0z3RjAfQyGFcEgqXfQ49Kg05eBBbnRHhyo6zthOG0w
12Lc6qPV7ahaZsQW1OHy+JH1C4bdJfeqMnNuSq2rH5d24EKo5hpm+nks6NVonXFdePOoFqUNP6Ux
kiMftPQbY2l/ToWdBy54mK+cr8wvGn6KXa2X4SP5M+zypNvcK62x0W7iE3s23Urddm7RHDkj20cr
Zt2kq126V3vJ45V8nt+aMf1CRICPwGyYJ5dex0vPv4OHpvB/Eu204SObHLj55NtlINrsWW1lfCuW
U/2qVodaAYSZY1VozQ1LBOeZx3/yFBPePMRDpR6YXa1zLrLWU+uqOwLts75caOPkEOz+ruAL7Nds
CANnzpengf35Vi/76F2Lh/Kikohih4YN16mZlzah0bGyU0KbLUrVrO2R3JGsynD3UUNtEXjn8peZ
YPbfhKQg77Sw674yor93hkwwBFLX90AcNaGsdq5xW+Oc3LCk0W8K9nenKo/4uoZ2xujStuI4t073
0PFBJEkiG5Imy+QVKZcgWs+l9tw3cpqRTFzxs29A3zKxcE5jUmSXMClHC/5FwLxll1CpDO1jJOX2
4tCmFO5CyrvPNY2FHFINOdd2HOBE4wVGxTezk5Gzl/HJ1VMKmWJQfMXCvGos0mnQ0jFs7PUl5DFg
YGLHKgA6NqnbRL6G2Ay3yBUiZ+83LB0lFrmsIW1gLM4T7M97UTlqhPG0jYjPSyv7njS1+7UA6Xtv
YQHdDT0KO/StlkcLZsThJldSDfsMsAHISXr9mbja/BbmzN5MGBprFFAGKducNiVAYFoDtlawixKl
H/rt7STDpsY9IfhaVpJ2Npa/CVh31p8IedlPqMlEi53BfY5QlG8mY1YPsb2MzpbKDHm0KAL6FfX6
fNEXqpm5QfaJ7tOkk903kaNf2HV20ONV/WiXqHz9WKmXmUUYwPQk+zDHUfOgLcxvDnWfB2tp6ECu
KHg6cyu2YZC18KyreaEHlFq2uBP0spmhMzwqyaAdVCBmfLDV9iOxihIaVrP6plzyKdtwUKd3FrfR
vumd/uQSP3lvW7P92aGFfgLlqHatLMLDPEvFG+xInEK+QPAehuHCFtvedxNBwnFI5m8FreSB3Hs3
ciMt43PlrlUUszGnj/whsaepVn0GTUEgCZ/HrUvWYZuWqvwcSpzZvtPK6HURznJfde6whYA+P3e2
S6V91Jb1s4t0c2yLdjzMdASeYs2l10TUzUvfKy1FJoC2DV68aWbBEKM6PRch5hMLwTIY6KinvInt
UeO+Rloe7xazK88u3a9XlVZyz4Jn+H/YO68kx7EsTW8lrZ+HNhCEGptus4YGqEmnqxcaXUEQILQg
dzTrmI3Nx8jMrnCP7PRq69d5yaoIDydAiHvP+c8v3ErKlfeiSs5zXe5EsxuxnsgiKd7J5ZDgLnXt
Q0WaYGaR5mg+1WuumG05ld7Vw3VKI6qnq2hSKGSY1irdUgGrJjygjUQ4JUVLsZsUs4aITNJFQIQS
IIYqe8/rmF5mIBb1xagBvdDAis6lj4lUQCm9VrNY8c5NJzlynkf3oCDyvNXjmCAWvPF8NR9LElDE
Rl2SL9oyii6m62sLKjUM1/iERPXEOpxko8CzAOaDxQWnJ8nXCpWlGjtZrONlIulMw4qk7TbSiIUI
AtqqLTddLGslwDALBIykixiMCYmnVYWQIB+N9KM2Em1+kc/yvJKb8xYw9TwnzVML5eIi+QYy0w9p
kKMZ/Uq1OYj4BJlxcqIBz8TztFxckBVxb2L97qRHY3DCoCcw5HgIiYFVMDg2hD07tMzcm6H7o3zq
BCsrcbWgkzwvW9z4YSb2g3+Qi8YTpzXOo7y+qG/OmG4TP8sqW5Yq++wlXbM2JhS8Siu1Vl15qlpk
+1wu5Hu1xSKz0UuuaS93Xny+thhNTZRk2Q/lNJAZiTupMSYz0uAFd2DIHTPO6ktXv+riHlQiDZRB
bFU8PajNe5zLAQG1E4Oi8pAFhwkasQkM4sESomGK30Msf+RKVEjmJWvl3Jq2xgnXj2gA+FFQU2+x
ErgIZqRFEloNyJYaOKMoniSdtNcheRZ7Ib4vlPbk0BmQ5IIaDoDhNFzfIghkdldl8uaM24WXixH5
0Sc5pUGsCh75VEBjODbORIdSkVLQraRUG9Y1cN/VZv6dqlRLbe1e4BQ6p0apHRZnZTucwXWSrI/d
iW7SYINVHCpPy8VyfcJxYKYbqLORMQ2h1N7okGPrnw/Z9WTyIh/mdFtq2Mg3CLhl62Uvi20j1ui5
UHuNZtNlI4gDBt9Um9d4d2qAwqZ4anxgDqz5V/HQw0lTs+4lNozDvs5yYCr+1r6eL5nT5RgUGXgT
WicRouNwAQiOQL0eKyVm3JCe4ZQa5wuO6bJ6QHynFu80lLlzOrVjkDNw8SMCDFFTpaU7SeFg6rJi
vHUTlJp4UdaWNDaM7fExIO4QPQQEG2N4op1uXRFzTUq7abXCtaV9i1VMVIhXlIntvky6cGLIEeo/
QW3u5XRQ9jJsmFuuWHr1ijZtPYy5NV6BYQjQDOEDlQ114pKrI9GQnwVxVusnbTPNx5ex4Mr14rlY
xHnaeEXVnk92CVMFBX8yq3stQfEFSRBH4GZW9VPSf5tBOLKaS08nfTqsZQHL1C4ZYFKWLKyW1tTy
PJ7cBIVdfFkydS8soz90x1ihGgbobNJ8lmFMJFvZRagCPanrhyni9A3V/ySMcY1jSpUiBThLvJOE
HZD3iY91cX8xErJVYhCwXETo2ePPv5DBMl+1WoSUWiqXt0MW43maCiDuV5k5sNl17cRHHu8riZRg
IxRlixz+BNurpuuPUaJlq5o1RbcyOZZE4pDZ2cFHzvVM0U/0InWUC+ClMd2/LhyK97QXsS5MkZfe
62Oc+lfot4t20ogPdYXRfEcJg0eQFjtjDgEpvSBYNYVChw2GFyE6vPYMHkVNMOzPSTGJzJYc2hU7
znWuVazOZjXCP7iCu631yRQj5mGkMbO0SlKelf6ShE03yE+YKSRvxCYIH8Qxd7eJQJnuqqvYar9P
gF/H/xW9F+vfW7Lfzl2+LpJz22Bl9kujJokSrt0Ioafw5xT4c58atdG4SpWAf3TO4GBMnsh6wcNU
/r2Z/0+PIt4+5nM/+PkwzFF/PoyUns+ny2BkzsRX91dXcFBy4NPVWIOruie33yS2bv3EM/yLb3Yz
hvt8TJ0+F4U13w80VBS+fDWlGTQDw8vMAeW1oExb2U61X4sAs7V16n1zsF+uIweD6MzIgoGwKupf
uPWkq2JQm5fwkRzRlRwY0XucBGxxK4ejp75kIVli/+UvSAevkp2mKLoqwYP88gUzprSj1sqpM77S
GfmNl3iT/WjJVm6jg7T/Px7zMx6j/C0e8+81Bsdl8n//T3aMit/e3n/bHc+//fv5rSZJ8H/8hp9y
n7y9n1+T42+X24/a42/WsT1mMF9/xXBuR/oTwwGSmTLb+0P5Iaj86A/Sqy5ib4AmDwOjH3TYG8Tz
J78A1ivOBdASeNoY/t8+8E8PAwkTAwHbXv4zxabwv8R5/SEI+cdbC4R0Q4L4HP32mPFQf3nAZLnH
fqoc4bvXJmZBpSn3FgsrQRvd4vB0eEuww3rBwXzioNaObRlnwEW5QHhWMJwczGr2zUt2Q43+cT44
PIBRSShhRMZtSGuEGxvip5gBWVPKLo/GxE1qF9NxO3HYbRSrbZGi4bBu6aurU9iJrSkWtvSC8c3x
v8QcQNnV6UfxujdUUdXxnPiCaqWymhTU0BMH3UggOZRPXmqTJ41Br2NYWOcH4sd5Kx6bXfwMnb/+
Zq2efl1kfhwf0Z9M+DWbs3r7+U/fnyDpoUrry8SBUgfs4OIL0NchbjOopgViOjBkzB7heSkPUkV2
ioVpWuqoxN91dH6oO7zpS7NTz6bups6kteU1s8zyffowPFxug0CLYqpcMGRX1iOjFevwLA8bpss7
3fn7Gyl/zou4XUhRA7SElk1ABZnqXy6kQgizOETnyNXx5iJ+zrra14B6O5vg7zcvkZNrZvYgIl58
iuaaBVdfW/SO7JTewbAJcRQHS0rcZjI7LPVl/iB9tyve9FifnrQfJwgnBCxUZpby1bsDvUpRY5BD
kLnV21P2DrnFgNZUB4tx6s1kdj61Lzh2mdEd3O2LYTLLE28rr3twRs0bz0RA+39/0b4Q0P+4aD+d
0xeuTz9tW/rNImJIt6F9calO7e4Jt+/sg3PQTdlKnbP13S5z25l/fue+Xokvz1xRpi1mZBy1d/VQ
9DGA9m479ncb6E0x98txCH6SJI1VR4UN9PnZrsERx6EtI1fYxEGV28hc27cDFOyped71M826uAcC
4xDYu0ROXWzZOYexc3O+Ln7f6f7zYuV2Ib9+5Z9ORbs9vT+9Zmc5wjG9qJiyLmi+vByLauKnzfMD
KdHewZTfNbqB7d/f3b944tjCUQ4KUyJdcbv98koczomcXNpTyhM3ODCWqyU9xvNkVWzz+zporMjJ
F/K2t0aHPER4OlM3t4UXSNaJ+8dW/59fgNu6/vkCcC5MFthAGAvAYPt8AS7Qh8Zp8eNcdA/RmzbT
p6DmdnzBGNO+mWJ62E+SK8KA3QIab0qn+Gat1cXP1Lbb4/75JL5ckFqG2BJpnETj9PbVrkLJkj4E
Du9od1J4JlKjdft1sT1tJ4aJXjAzVhjREQJt5hfM/MQPsbLLV2gYaWaBoTctRpgW5iZ5jm+WmRpm
dn6aYH+bWVdpnpEOG4yKkyzVjbwidhSbjkIOCcBk/iV9UCNbDLLHuRASzYzoeZ4sD167Rl9XLWsm
wT4CJQIxwp78gqCd12uyLryJaJbBdW7MCALBLhPHfoeA2KknWdixwkz3+7lULhsswyUTOsfhvlnS
lTFAPjt06pBTXiW6mNq/rnqbczDM04X0duhqqq+segTPUlgMDPRBatf9a3xBlowLog8TdjDZftWl
6lzQNs4kxSwn7nk+2owBsaZh7rw9zYge1xX3kvk6qACDmtF+Ho6CvBFjSnMyUxakmUIXNI1XKG6Y
WhTJo6i9ER810b18eV6fkW9GqzieK/1yGBdlFSKURKF9I3QRdUlAx8Gt4YJUs1S21WoZ+YcNWfei
G7Ocjr4E1+m5bqzKkxlvL/BUSN248biY8Vsc25jNGeNsRHJ6dtIWb1vum43HZJ5a8krmDI6niqbW
JkcCcDNm6gIouFbWxlzZUa1cH0H6Y8UhSSSBXG1pvYVSp3U0CPrG4/Re6ue55rK2TDsyTddKYZ+s
bAaupd8B6NdBm3/ANYknTj6fHA9zHvw8AEUQOXdX28IWLE4mFpkmUOTgHDxsy6rRyZ3UPUCgP5mc
mo/vYu8z316S3XC1T+Hk4QynwE9PVv3SYI7rvHTwCPzRb/1xe910j+/M2mtTealMIVRDguHDK41L
9XE6xk+QLUMNjAYi49vV7O86DwOjwuv2N2djxWa+XnhEyObW1YTjlVuyn3sMbRM2+c0UBNi8KzLv
aniDJd81DqkJZzym582eQB9kSPfdAupmQkTuVnqTF9kpLKyX7E08IP3lMQXiwAUgkHj7m6BXtkwE
rsaeNMACR0CUnOq2aV5zYpcOJog0dchM9isghhL9QRBt2ocOnr7qnMuHw50Ku55ggPVkT9B6Zd8i
6n10UVMHTULN1X2SOOVmXUU+llTxacV1xixAKf3bUwsJ24yRhzwomLWCxYT0kClsnAdMA4hWwRCH
Zfqqu2gB9MHv9VB/r1dd7MsHCxUTzdF0eKgeZcGRdp1LWsuSJdSf+okMwwM0xDo81tthpVDVet0M
kY59MA8rGEStI8mmRISJ03Re7kGCWLS5rVmnRe0T2MdnzfEkRuGq+6MlbjQPW7vwMkudahVX1mC3
Fm4OB0sODBqzfJW8DoFKQEZlMZKXTltxuiHIl2dKosxwR5nzx2oHh41FsdYfNfluLN/lYpYLyxg7
qXF2yVwkQX2/j6R7Jd3xfVpmMHzF1imX2FS8XuSl0AVEYJXTFclAe20Ge6lDcUHoJUS8h9hVnEGa
j6Fy4dLbIBFPwGEMmubXZRKQFrhGAnPpLGmYRaTMnPzT1DlDhPiQduKydvK7iDFatyVsQ7HE/Xmb
MB9xxokjtWGs21xLeJpNAJqWThzMpVUUmKYQXNxOYtuaMqzd6a4qrqN6lSfOeD8BVB3mQo5/FbkP
fnnMVJdIO1kIcD/EKjl6ykT/Mld4aiGLDbaDO222bNblTW9sZyhvcO7w5X27PCUYY221GhWOKWF3
YpaWvkXcvMnd0+PJ8CHEifga2vU7k1Rn6mqb7rV3+AyH1F8ZYykfQR0uPIoj6zNxceva8UqHetx4
UomLoCXm675l0hB2wO6gTQVUKrcyAiPM/GZFRsbpdcBppJ9DeS5aB0umdCAT1+odxSLIZXIrsetw
6hbBuMSf4zG/kyNXJLK5N8VFvcyOqhtr1vXq4Mi4HNgWNopHzfEIzyKeDbuTjRy/V5luW1fsGutZ
U+2qc5BGvvZEyYk3kI19ljwuGn1xeEC2bN7k0ooN89sclECbmmjP2umsEXYk38CR9jq3YJnAsW1Z
oSLxo9c4LN/Tjf5CLmJ3p+VhfXba7HY9sZ+8x8jDOtmT4AI/aV5bk9Ej17QvcTV2pcJX8JxcwS0e
eYHgr0xt5FdSSpUc6LMmwLbYu3hcKp/pAS0iTtpLQjogm9em/AZGelgKL5lnzK9vBUm1D8ZafgIm
V/f1YP59rfUXlbQsqETmabjeyCI46ef6JsVKK49hd7oMx1Qe0Z34EnHaG2DU8ggBrtshrPK71tTm
3xz51yqXIwP26YQcoCa4de4/l5Z6miUYoP+orJKl7J4cpmHrzIRe7TJRevjmaF9ZGHh9fDoafI+f
j5b2MpY4hzp1o2P6pvl6KOOW4OlBNOd+5sI/U8arvxbPn4/55drifF6ivEFEz548rtP5aJjREiuF
OcEahYkdUYkz1Z6HYAwbgq1fxVd8eg3Rps4Z17AcHjpl0cwMCHqVLT/ehm2+PB+eiakUH9WQcLt9
zoarbqr7dG24z8JHHRzCIkx5xk3Sd0N1WVEvHjxGss7orw4s8ffJtphdsJ/5yGkq7Fv5SEb1przD
RtUury9MMbFKX4w88W7v9Ed2ho+e5pnSc9MtEwdLOL9z5Q86jz0LqtfOEphZCxGCsyk1LmsODOsD
Zdybfqyeo+foPYfYiEoSNHAJbet21SnYj2j8CL3pg36FIJKiiiKPSFhIEhK8L15BUq+Srapb41y2
i4WxVO2WMbur2iOz1TG8ELv9dHDz+fl4etMl+9q4GRvwzniewhAm/4aIdiYktrSO8R2uA/Z91rtk
Xd93j+IzGyDIvXMN+6MYYgFnZSs8FZrFZKk5nY1xDFsTLmCO7JW33Q5Kon2917Huh1Nu9pp9KlZs
BBqOtUeWezuap4UPBdiptyjRBt3st/mTER4eERPgWIzjGwvMFS3DI8uk0JsTOdSO4mheR0p0U2My
TjbkRw4jx5Rcrj/G3w8U1pM3mIl9Z8MGrAkyhyNqIZZguGs8dXiQDSbz9uEBM9r45I3T3ajYZYi4
otlBTv4nENbbw/q5Efr8MH8FwHTy+yIIRzSlAnuUAxLgwaVjDqPNbpAP4mr8UGAiYlcEnPJffn0V
oDeIddCMIXvcnGF+fn0buSdHLC5y19gl4gLlBE0g26vTynfQBq1/4vv+2vh9OqLxpfNNSviPh9sR
R7eprGwOUn91EBbhgumnLoJv+3JdjryKzuHh+75Tua1Hny+3oqCJAhMyRBGE8yuIDmcsxjaLvC6o
H1iaItg7YtH+ggsmPEoGWqZweRb6PeURjBq2TDNdydtk4mI4h38qSBfz55xMg/u+tqL5gP4jvQGE
BVAJxlpsmqUT8aRJs3EWvaORXpGQ8XG1GNjvLv16oqzFk5NtBIQe1GkED2f3ic0jSIv797f2L7p9
VQDIw55eR1gmfEUyz3CRmWwOCagK+XJeat26/sSwCMTzE6frnWhBwe0iXHaI0oPh+5TyhCEpcZrv
YKVfF2xOhVQWHQ8FKIPil4ueQ07AkFJO6FGjZbwmTJUCFznURnIF+2SfrcN3c4tf0T+8cQ08iATo
XVND+vJcE2eCMpRwlx9QBwEQIdwKQKU4/A5U+osHilwBmfnZlOgeLCS+bEZojXOVcMDEPT+i5T0D
HVS2lH/Uh0VdBynaED3/MOgqsxrKvXMF28lxIjLxl4wK8mDtsURL5qqJgwTLVIXZFL8/Vjt6dZOK
LR+8pHNEcVFIeOPM46tDvauk/qW7yxts8BxZcdurM/RWBBPJhhRkzOtX9QBL34PxwQrHrFeDkQV8
8vLNA/YXd1WcArAqqiyD40+/XGNBqlMUT5Q4NwBTsjQXjCFSXAQT24IGY0GzC31kjofSJLbgWIWS
S6G3P+3y2vtuIZN+fa8NCcRevllogOLrX24DCle55seRe9jHGLmwOy115tv+eX3aEnbSbYpnrk3p
TBXr8kaIa6m4pwOWAbPzZTE5efV+QmXANP7vr9EPlPnzcvP5tL6s7vFFveRNwmlNvcjvtozMnzov
demzK3Ygqw3J3WlAmmmSc0DWy2O8vR5xn6s3jHHPHuuDra3g3mUTlzJYWPb42gZGIG1r+7t35i8W
DN4TxrS8OTJvq/Rl9DEk5zJD7Rm5LX0bcBjOptOqQwd2lwsQBJ+5sXADKFloMW5GmR/RFfPbTVU+
iQ6Cj6iykUWzNxNe/s1aJgJB/7JuG5wRYLkE80xkNfm8UV26A2n0sB1czDI+jAiILi4XfeSkgU7M
89k71CbaQ0OG2mfh0H6JF5A4J+UqbQMII4noD3gvo7I6JoSxBRFaurAOILWf8abttsLVaqdWNNoY
QU1DLYa7gFbfgjRjYtQV4bD0xNz9cp8mTgu1b7QF3UKgb9RBRwFDYqKVO8rLdA8wlRTOcMwjF61i
Li6mH4bh9bkLhVDL3Ivg9zGWTVbOlXxr7zBgRipBcRf5aJnml7CcG4/oCaItvzJ47dm8Sbl0ii6v
WY603uu+h7BopgegBM94BVYbYEjksDDN7K5mFpyYkxVRtFACYPETuUxq4ukJKGPq8D06AMVJYRZL
GHGDNtOuuyL3K2we9FmOBE+1ld4iiitiY0LX9w6sVSwLg689Vc364KV4QQrWufJxkTkI/jWb39Sp
hQfKV9MLUvfGHnxNrK7rt0nslRCtLRF+M/bHfWiYRNsTQ6WY040UTsGeMkBd+iBAOMMEeEMZGwco
RLpQCGnZDqZwbBJLysJaMofYmuzGwjwlFp+pSh7AkWROXtUb2PQmm4dNSTFdWopbVUvS9EAQYTO2
yArOZCiYuB7SgF5BPwWHMuP+4shz0T/wD0yASPeWvUSN2j2RFO6q96zPNWtv+Fj52LjelbwLRAsD
zi4BijLyGPACsIXMIhDEqRa6auHwccYJonNawydpR7o/OZNtuZru++C0TPzMHV8gozyhxq+WTBtQ
lZRudzXJUA40lxCexXkVP6mWgJHo0+Fe9s/2LVLSCBA6lbhgJTCGNFtsHo0b5IxdF0IM3Ef8tAHc
5Z7Er3y7dlc/yQfTgIINFRB+uKPMgoivN4bZLg/7XeoST6C4sh0r+wmsv+duk9k41JLBC8ooWckM
JW+5w+ggu5OOgnPrW1RPsOT51c6dcZa5xqwNDpt+buhIZqzTDP8tq14JR57lPmjfrpJF6uRccyn5
axXkD3i75QvGa56wYmm4ox0HQkgBMnnAu+Lp8h6/XoAS38ud5k7IU3ex7Usi8+qSYNKym3SGJdyj
C8IfHVRO2hdwUs3hmXyHDsGNlUIL3Eebq8m8zAIIaAClB+d6lzuVV+xheMEbdy/uxe6XXv5On+PQ
DTGKjM354a6HmVuaWoMO7Yb24LkrLpEdKkuQqt0rnhFEBeEBMsG+yBIW3AP650duoo1rkjl5GZbl
6uQ3x2hGt9c56oJRbZjcE30CA8vN72UW6WZW+OzcaMNfr0+Sd30UtoJijis8NA5Wtpef2sguRBAc
Zri6o80Z5rYuinHmfTR75nmeBmpIZGeoB/kjzOjFZcMGRV9jl3bnnHvz4rU2y/S85Y329WUJ2A3f
y1Q5neh43V1drpRg6xs1BPP0Bu/wQYG9VtxxNywgtiWbEoe1pWifHGSaNEABvd6SbmlHlzusx3Cd
6kCcZuL1Yfsw7Wc1qkKgr9Kurh6X2Du7hdn4nQXSe7kXFtGz9NTPgmqDN2uANeuVQLkgCQxPdtTX
ag7uAS3PrJfJWwFG/bE+eQpmvAvdFv1xV6+7e5YtXzTvmv1I0xff0yDWzFNGkybV6u6l+yrUHk4A
rNTYmdsSIQz+rDjUFZYQwPK3y49oMXXYtlzQ3HFXAXHjFtyYVdjP6aKb+/NahdB1pz0CZgJRmkjV
F+d98tA9fNRg7wjgqaAaH2aoqYrW5WUEPvAv24458UJm3B8yiniPXhBzfiR2t5p4o3UBnRwXIkdv
G0ufd65Rm6f9bU7fzOnE7dY83eWLZN4tTvvEiW26dPdkxa4QKNvWMTzvEOh256Ig8M6OMLvMJncq
a1SKVZIb7UicPszOr4yVMu57UPjRsraZp3OX0dLGKtoT87z4GMC3Zt2smEmL5l7B0IgxxSPcVAr/
0b4oT7KLb8r9Ya9uGDox+PTLKlC9G7cAE4HNlKtKTpYpPpS7yRLdGv/Gglc0JNtpWCypP31jxvCB
/S+5Orpiyrsbb5zS1UzvoiWKrekGQUnvioFO5z6CF5I97vaP0dXq2CVJdnk02JOaJbru+dSquCvi
K9ELtRvve7e77zbRTKzt070RqAvBujDAOJxCLJpOOiFoqPF5Ofhfdo56YmaNU8/5GlnQfAgX3IfZ
7+I7wdOXqZXkLABDZmsBeQ22GGQeXgz8Znqn2NddvDAUy2B8A37JXGvHe3gBfUu9mykiPD9Ws2FZ
B4VqXizhWXxtnIOVrCLetqlX81hTZ8/H1ehilrYctmy0PNBWvNFhRjX3bdCu+iC9awOVh7OhzyKp
07p6SJxj/7LXYI6zzGLzb2neun+QZ9PBSkKI5xZi7Pk4M5zucdyULwP7VLqkGkx7lJ2hNkUTYscM
OUqnej+FqEY3yRheO/fKXOAl/egQBZ8iP5P2U/lBTylOWLHgos8aFTqG25VzTbTO5GS8Dj92ckcP
Lx+Km0HiNG8Ak8eLUbJeJ0994kpTO1ERP9njTFgPvT+BjdvxeuJselvZARLXcmPd9o32pYCJ6lQG
rzjraMJUIFoD5uM/VtauUqPANbHzHl7xsDjlFiZiU9NwXgc79gW31C19d3APb7jcuNM6kJh3sL+w
kDIHuCctHOYskfRLoDCvt4rgGmZUYp2VLgFCutiOKcTsdslUEq03/7+2iRSFJqF26FPX4EBjuRzm
xfq8nL4qcGU4gQavVSsTfIMnGzj2dSTSO7duCCW/11OOdFa8BPjP5xXmtPLtaG2FLag/fSR9/IzL
UZAyomYuh6s5BqWELtA2L1XsTDsMLxEwoLpCZ2xeKGK2h1W5xE97pktmwQufUybC0JzlQezrbrPL
sllH5BNmHPYp26IVztentfyRgDVYEecxBGlYW9PV7U89gnArcisfvJt3fSk7Wb+SHU68CVrrMms9
I6zcYk2tKTnSw/IE3A5HxCmPEadvqsAqi8p9QHVmjRaaLqtwRSdZ8za79bJ3WINZQPGHm9VWu2yP
jE4r88hdcYmOEQ52GkISuGM0u0IVUpkhlHTmWSiwTvbtB9HjDaCBFbsm7exJCWvdkp8jydTvZG+8
T/3qYJ4TrAlNiLTq42md+loo2ZqHVlz0pFclhLTKHKUjJcFmIHobwwjE+G0lPGcrS9J9+YgyGnUS
EWr7hHLCYbJyVVzJIBEEMe1y4vXL2yNwXUZv6LW5UdwJ6P1ME9GL3F/m6ZbIAIplR/7gwVDCai3z
cikjPHLkKa8Syc99tlYhmFnynnGEzpYHJV8ANzXPDpXzMXnlUnmRnT9UTuqnjFvMyr/MyueD4pFN
aKyTh3ShOsZTGvYbPHjlPXrm6W2qcsO/aYgltoAn/ZFnl0kIUewAl+6IAn3GJVZdwSXpPF5my1uR
a0ayiSHjolunm+FFnXUH70wlFuFDbwkMXLXZhDkmug7O//CoDy7pDQzRjOC05kEbKZbM5g4jLS4C
UWJYbXCU6Vx6KGxpPmHqP5fm/TFa15ELaHul8NatpjcPkafwybAB+u2ETav3qrX2EWeBMprtnlTq
AmzyRRcto7OnjNA3zIeyffVwjmi07HHfbpC82DHj8pKeFNcfe/oQ7yc+5WrmxRvaVmCRQPL6JxJd
F9FKowb1aws426nBJtYc2KbzsU8t45kYBbV1cC7bkfaY5O1lLngFs6zrorTr+cU7LArNVILD86y0
MAE6WVC5jvjBamy5LBPaYlgLq/b2gmgfF8NrAoCUeAlhNTfVu3hFhIs3zLMQ4cIqsVNz4qW3G348
3Q1Bbke2YmceYJhfMiOSd6kX8Ric+FadFRrhZcdNvKGil5n6kts18eUuvdlidHi+ucYP7SZ1Yj+H
HYgNrFWG8Ybh7PtZt8ujYDOau2OOF2BhsLpaDOErs1+UOA08tVvpJXL3g909Mn+cvubryxxa2jyX
EcAjTLSEu1Ox6IJ2a7xfHe04dQ8PRoiy6ZHQg1lhT2fy/WXXod1u7k7ax/VqThR7eJtED9p9czNX
NrGeKPdQ2lalp7u9dx4t0ijI2zR4o8/PJQ4DvP4sjJ2VPBVP6YZzm3xoxy4QMNwJwZwU3qo67L1i
VbnMCfVZv+TlBnuPt6cetw+eJkeJUXOZl7vqTmOrXsqVVdNNyOGko6R9uj7zV2evSo6CWxgv+uX2
OSya1ZvEa60CgJnMyK8sAYbJYHbitbwSpxW8CQvkf/QkHvCTyfoXYlg4Qi+8zHvDOq35TxWIziBQ
kR2QJOHM9CT5ZXiDTxxOjKiQs3na9WieQtZE58qO0C7JVOPfTOfjkfkhlTPP9fjOmtwuWNwEnyM/
6Q9IY2Omu6p/3uc71SdhyG7C/IG3x1GB6cxJcHhp32GvfJS8roXLgKFb8biXG8jfRMy7bOYuDtVg
nFxuqI9Hift6qIBbxYlZtMuL6CiTWwkyRmFUObXudJVjNYzZv5kJEkX+FfUG+2IkCGMXAEX7inrL
EwHcB7MDN50Xfgrh7BpAbHXysHm/CT64wD6aHNYMDFi52b3D3yzrBVt4/h2U85enAqkYhq2Mt5n8
heynx3ksouSC8Ps77RF3GUjsQA0BQeSsCtlC+WbI8YMY/wWEk7FYgm0m39At4XZKP5HtDnWhafgn
4BvkTl6nFu0oZVdyvHGVmn3hMXOgmKEaDhQ6aoJTw3GXOKcFIoybXYNf7FP77EpWfpQ+8u3UyXaF
R24oMSMOsbsdXU1jt/7BP9yVjLlGh0Bqu1yQJR1kPFzWdYH44Lm1ojfcMD3UmFtp8XGbxgp+94BH
BPmBPBH5THuKN9mysNv9t/j7r0Nabv9PF+DLNe9UlaRSBFkuWR/erUIdZ3iB2vk6skrrez6n+Nf3
+B8X/AtYh89wIki4hrhp0IKBTGk0pjTgIjwDcir+mTnWd0f8Av8qh/4Sty1HROdSBrCkbLyVvME9
LaJAuA3/Nt8B/79oP5hmcFE1XZElkH8u7+en6prhvpyerjFNO8oPSFUx7Z5KEdetS+87riKs+r94
gw2FjCN8/5iifAHbexzaI+iMsZt8XOgLHJKsxCZkk34EbQ8PJ+YCNn0vJC7NxPMozM4mjeeCoe1l
VQBg3FXBeBRpNu8GYtfYLLfjx2UeveVvXdDt6n2yMohOWMSLIfrujf914odZBA6ChCFCyRa+cl01
kTi3XOHe0Fdv8AppdAssnNa3nKGhtqXHsrK0ULAhjP8pYPmfn4imzQ9/w9eiJKEritsvf/y3Vfl+
3rX1+3u7OJb/+/ar//FP/+3zH/nNPz7ZRlrx6Q/OD5eMTfdeX7bvyP3av//p7+eAPooGM3v78cvJ
O6P8//j1b//Bn56Nv37AT44divgf3o4//t3dpXz//ZPff5zv7c//dnzDhsFOmrZOXtsfX/CnH/75
hX/+9T+uwa9H/stz+vMv/eS9xoI9vvx+qf44y+Uxf//Xf7GO2dux+Vmnoigaq9A/TuRf/+XTaf40
Zvm7z90mzbG+ffafHxW8/eu/EPSk8Hr8dz8bumKSf/pgttCbJft/94Pvj1n2jsAnQ8DTfbasl2/G
7//9IyyLur0d4Xed0Pntvf7zM2/Xx/h/1F1BbsIwEPwKXyhUVblUClHVHkpVqRL3JURtpJAATZDo
bzj20EPVJ+RjHSd2YifGIOwi5YrM2rPrnbGtrI1yIBCJ+InNkfO8/0ybqPhR3qphtqGy9ran9Lag
OFSLm2AdN5A6mDd+8btZpHMlunjO9fZmPLQfeieqsIwrqxwMe5LGxfeWWtFEpc4tFNZ2WnpZXOzB
GkEroEOUf7kwv6TPNFFJAE8O4eMxFwHF15/5knbK0Ll1B2OfUb5CFZ7wMUsibhzrDFu/+7TOw6zY
C0uSdSiprfWHnLYR6e4gvnJANI95FCtJVLll6IAAMHDTA821vJ1HXUfe2bK07tMqQmnmQIiuCGMT
WlYHaRvaaZjpfO9AoU54UcXSQ7MoeCdVtvnUcZJRH5Ro5/zQQUZ5m7Zq85E7yKdJuqNARwUuJNV4
4ZtlPD38P13nkWZCjhxM9bLeub2Oqdw+csDvplvaLR3jh1ihilxv8p99D26b/080AEniejmN07Ex
sLYv1Z8PKFnIJejCeAOorDg3+kq3q6g3Ud29RmuXdahBvY96QcIn2T0bwoGd1sEWYgejacCd2OBk
R2v1U1RlbzveptrpyKRsXllLvQkTrBsWOXTAvSU1UlEZxiw8x/fIXb90QYEWTaB8Ugm1P8DAySZg
Kpf3BhZTAxOsloz0BxekwoSrozL9QQaVMiHrCFxvkHG+qshGQ4hdleoBNHyiPj4SMW9ZfOFAjcqD
nNe81vgKXZBCiBIIkhR2ictlwse7LuxIFLPjQpzfdHgwaELfKzCrmJKwQnKhIR6bVH6KO/jnzWpT
OD1PMnY+i4sakxMcXwf5QqjG1/yoxsQE7TOe/82WY8ixvGJNgjikzd0fAAAA//8=</cx:binary>
              </cx:geoCache>
            </cx:geography>
          </cx:layoutPr>
          <cx:valueColors>
            <cx:minColor>
              <a:srgbClr val="FFFF00"/>
            </cx:minColor>
            <cx:midColor>
              <a:srgbClr val="FF9933"/>
            </cx:midColor>
            <cx:maxColor>
              <a:srgbClr val="FF0000"/>
            </cx:maxColor>
          </cx:valueColors>
          <cx:valueColorPositions count="3">
            <cx:minPosition>
              <cx:number val="1"/>
            </cx:minPosition>
            <cx:midPosition>
              <cx:number val="250"/>
            </cx:midPosition>
            <cx:maxPosition>
              <cx:number val="1593"/>
            </cx:maxPosition>
          </cx:valueColorPositions>
        </cx:series>
      </cx:plotAreaRegion>
    </cx:plotArea>
    <cx:legend pos="r" align="ctr" overlay="0"/>
  </cx:chart>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5" Type="http://schemas.openxmlformats.org/officeDocument/2006/relationships/image" Target="../media/image1.png"/><Relationship Id="rId4" Type="http://schemas.microsoft.com/office/2014/relationships/chartEx" Target="../charts/chartEx4.xml"/></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4</xdr:col>
      <xdr:colOff>1358153</xdr:colOff>
      <xdr:row>48</xdr:row>
      <xdr:rowOff>62752</xdr:rowOff>
    </xdr:from>
    <xdr:to>
      <xdr:col>7</xdr:col>
      <xdr:colOff>282388</xdr:colOff>
      <xdr:row>63</xdr:row>
      <xdr:rowOff>71717</xdr:rowOff>
    </xdr:to>
    <mc:AlternateContent xmlns:mc="http://schemas.openxmlformats.org/markup-compatibility/2006">
      <mc:Choice xmlns:cx6="http://schemas.microsoft.com/office/drawing/2016/5/12/chartex" Requires="cx6">
        <xdr:graphicFrame macro="">
          <xdr:nvGraphicFramePr>
            <xdr:cNvPr id="2" name="Gráfico 1">
              <a:extLst>
                <a:ext uri="{FF2B5EF4-FFF2-40B4-BE49-F238E27FC236}">
                  <a16:creationId xmlns:a16="http://schemas.microsoft.com/office/drawing/2014/main" id="{6A24CE40-7FCA-4D08-8F7D-9A94C6E94C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06303" y="9702052"/>
              <a:ext cx="4420160" cy="2933140"/>
            </a:xfrm>
            <a:prstGeom prst="rect">
              <a:avLst/>
            </a:prstGeom>
            <a:solidFill>
              <a:prstClr val="white"/>
            </a:solidFill>
            <a:ln w="1">
              <a:solidFill>
                <a:prstClr val="green"/>
              </a:solidFill>
            </a:ln>
          </xdr:spPr>
          <xdr:txBody>
            <a:bodyPr vertOverflow="clip" horzOverflow="clip"/>
            <a:lstStyle/>
            <a:p>
              <a:r>
                <a:rPr lang="es-CO"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4</xdr:col>
      <xdr:colOff>1251921</xdr:colOff>
      <xdr:row>64</xdr:row>
      <xdr:rowOff>152400</xdr:rowOff>
    </xdr:from>
    <xdr:to>
      <xdr:col>7</xdr:col>
      <xdr:colOff>304800</xdr:colOff>
      <xdr:row>83</xdr:row>
      <xdr:rowOff>30480</xdr:rowOff>
    </xdr:to>
    <mc:AlternateContent xmlns:mc="http://schemas.openxmlformats.org/markup-compatibility/2006">
      <mc:Choice xmlns:cx6="http://schemas.microsoft.com/office/drawing/2016/5/12/chartex" Requires="cx6">
        <xdr:graphicFrame macro="">
          <xdr:nvGraphicFramePr>
            <xdr:cNvPr id="3" name="Gráfico 2">
              <a:extLst>
                <a:ext uri="{FF2B5EF4-FFF2-40B4-BE49-F238E27FC236}">
                  <a16:creationId xmlns:a16="http://schemas.microsoft.com/office/drawing/2014/main" id="{A8CD012F-0C19-45E2-8058-11223424B0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500071" y="12906375"/>
              <a:ext cx="4548804" cy="3592830"/>
            </a:xfrm>
            <a:prstGeom prst="rect">
              <a:avLst/>
            </a:prstGeom>
            <a:solidFill>
              <a:prstClr val="white"/>
            </a:solidFill>
            <a:ln w="1">
              <a:solidFill>
                <a:prstClr val="green"/>
              </a:solidFill>
            </a:ln>
          </xdr:spPr>
          <xdr:txBody>
            <a:bodyPr vertOverflow="clip" horzOverflow="clip"/>
            <a:lstStyle/>
            <a:p>
              <a:r>
                <a:rPr lang="es-CO"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0</xdr:col>
      <xdr:colOff>0</xdr:colOff>
      <xdr:row>48</xdr:row>
      <xdr:rowOff>62752</xdr:rowOff>
    </xdr:from>
    <xdr:to>
      <xdr:col>4</xdr:col>
      <xdr:colOff>1342757</xdr:colOff>
      <xdr:row>63</xdr:row>
      <xdr:rowOff>71717</xdr:rowOff>
    </xdr:to>
    <mc:AlternateContent xmlns:mc="http://schemas.openxmlformats.org/markup-compatibility/2006">
      <mc:Choice xmlns:cx6="http://schemas.microsoft.com/office/drawing/2016/5/12/chartex" Requires="cx6">
        <xdr:graphicFrame macro="">
          <xdr:nvGraphicFramePr>
            <xdr:cNvPr id="4" name="Gráfico 3">
              <a:extLst>
                <a:ext uri="{FF2B5EF4-FFF2-40B4-BE49-F238E27FC236}">
                  <a16:creationId xmlns:a16="http://schemas.microsoft.com/office/drawing/2014/main" id="{BA0E4976-96C8-437C-BD9F-F526DB98F9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9702052"/>
              <a:ext cx="5590907" cy="2933140"/>
            </a:xfrm>
            <a:prstGeom prst="rect">
              <a:avLst/>
            </a:prstGeom>
            <a:solidFill>
              <a:prstClr val="white"/>
            </a:solidFill>
            <a:ln w="1">
              <a:solidFill>
                <a:prstClr val="green"/>
              </a:solidFill>
            </a:ln>
          </xdr:spPr>
          <xdr:txBody>
            <a:bodyPr vertOverflow="clip" horzOverflow="clip"/>
            <a:lstStyle/>
            <a:p>
              <a:r>
                <a:rPr lang="es-CO"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0</xdr:col>
      <xdr:colOff>0</xdr:colOff>
      <xdr:row>64</xdr:row>
      <xdr:rowOff>152400</xdr:rowOff>
    </xdr:from>
    <xdr:to>
      <xdr:col>4</xdr:col>
      <xdr:colOff>1299883</xdr:colOff>
      <xdr:row>83</xdr:row>
      <xdr:rowOff>30480</xdr:rowOff>
    </xdr:to>
    <mc:AlternateContent xmlns:mc="http://schemas.openxmlformats.org/markup-compatibility/2006">
      <mc:Choice xmlns:cx6="http://schemas.microsoft.com/office/drawing/2016/5/12/chartex" Requires="cx6">
        <xdr:graphicFrame macro="">
          <xdr:nvGraphicFramePr>
            <xdr:cNvPr id="5" name="Gráfico 4">
              <a:extLst>
                <a:ext uri="{FF2B5EF4-FFF2-40B4-BE49-F238E27FC236}">
                  <a16:creationId xmlns:a16="http://schemas.microsoft.com/office/drawing/2014/main" id="{60D8B0BB-4BB3-41AA-A635-A6F9AC5870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12906375"/>
              <a:ext cx="5548033" cy="3592830"/>
            </a:xfrm>
            <a:prstGeom prst="rect">
              <a:avLst/>
            </a:prstGeom>
            <a:solidFill>
              <a:prstClr val="white"/>
            </a:solidFill>
            <a:ln w="1">
              <a:solidFill>
                <a:prstClr val="green"/>
              </a:solidFill>
            </a:ln>
          </xdr:spPr>
          <xdr:txBody>
            <a:bodyPr vertOverflow="clip" horzOverflow="clip"/>
            <a:lstStyle/>
            <a:p>
              <a:r>
                <a:rPr lang="es-CO" sz="1100"/>
                <a:t>Este gráfico no está disponible en su versión de Excel.
Si edita esta forma o guarda el libro en un formato de archivo diferente, el gráfico no se podrá utilizar.</a:t>
              </a:r>
            </a:p>
          </xdr:txBody>
        </xdr:sp>
      </mc:Fallback>
    </mc:AlternateContent>
    <xdr:clientData/>
  </xdr:twoCellAnchor>
  <xdr:twoCellAnchor editAs="oneCell">
    <xdr:from>
      <xdr:col>2</xdr:col>
      <xdr:colOff>481855</xdr:colOff>
      <xdr:row>22</xdr:row>
      <xdr:rowOff>103711</xdr:rowOff>
    </xdr:from>
    <xdr:to>
      <xdr:col>6</xdr:col>
      <xdr:colOff>1165413</xdr:colOff>
      <xdr:row>43</xdr:row>
      <xdr:rowOff>5997</xdr:rowOff>
    </xdr:to>
    <xdr:pic>
      <xdr:nvPicPr>
        <xdr:cNvPr id="6" name="Picture 1">
          <a:extLst>
            <a:ext uri="{FF2B5EF4-FFF2-40B4-BE49-F238E27FC236}">
              <a16:creationId xmlns:a16="http://schemas.microsoft.com/office/drawing/2014/main" id="{D45D27AE-B40B-4DFA-842A-49C0DDFDE421}"/>
            </a:ext>
          </a:extLst>
        </xdr:cNvPr>
        <xdr:cNvPicPr>
          <a:picLocks noChangeAspect="1"/>
        </xdr:cNvPicPr>
      </xdr:nvPicPr>
      <xdr:blipFill>
        <a:blip xmlns:r="http://schemas.openxmlformats.org/officeDocument/2006/relationships" r:embed="rId5"/>
        <a:stretch>
          <a:fillRect/>
        </a:stretch>
      </xdr:blipFill>
      <xdr:spPr>
        <a:xfrm>
          <a:off x="2005855" y="4675711"/>
          <a:ext cx="6857999" cy="40148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914399</xdr:colOff>
      <xdr:row>2</xdr:row>
      <xdr:rowOff>57149</xdr:rowOff>
    </xdr:from>
    <xdr:to>
      <xdr:col>13</xdr:col>
      <xdr:colOff>492565</xdr:colOff>
      <xdr:row>6</xdr:row>
      <xdr:rowOff>19049</xdr:rowOff>
    </xdr:to>
    <xdr:pic>
      <xdr:nvPicPr>
        <xdr:cNvPr id="2" name="Imagen 1">
          <a:extLst>
            <a:ext uri="{FF2B5EF4-FFF2-40B4-BE49-F238E27FC236}">
              <a16:creationId xmlns:a16="http://schemas.microsoft.com/office/drawing/2014/main" id="{3D8F34B4-C7D1-2CF8-296B-D696AC703DF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620124" y="447674"/>
          <a:ext cx="7617266" cy="733425"/>
        </a:xfrm>
        <a:prstGeom prst="rect">
          <a:avLst/>
        </a:prstGeom>
        <a:noFill/>
      </xdr:spPr>
    </xdr:pic>
    <xdr:clientData/>
  </xdr:twoCellAnchor>
  <xdr:twoCellAnchor editAs="oneCell">
    <xdr:from>
      <xdr:col>2</xdr:col>
      <xdr:colOff>560294</xdr:colOff>
      <xdr:row>34</xdr:row>
      <xdr:rowOff>56029</xdr:rowOff>
    </xdr:from>
    <xdr:to>
      <xdr:col>7</xdr:col>
      <xdr:colOff>705488</xdr:colOff>
      <xdr:row>59</xdr:row>
      <xdr:rowOff>190062</xdr:rowOff>
    </xdr:to>
    <xdr:pic>
      <xdr:nvPicPr>
        <xdr:cNvPr id="3" name="Imagen 2">
          <a:extLst>
            <a:ext uri="{FF2B5EF4-FFF2-40B4-BE49-F238E27FC236}">
              <a16:creationId xmlns:a16="http://schemas.microsoft.com/office/drawing/2014/main" id="{FB1E7055-FB6B-7115-8EF0-CC7DF7AE840F}"/>
            </a:ext>
          </a:extLst>
        </xdr:cNvPr>
        <xdr:cNvPicPr>
          <a:picLocks noChangeAspect="1"/>
        </xdr:cNvPicPr>
      </xdr:nvPicPr>
      <xdr:blipFill>
        <a:blip xmlns:r="http://schemas.openxmlformats.org/officeDocument/2006/relationships" r:embed="rId2"/>
        <a:stretch>
          <a:fillRect/>
        </a:stretch>
      </xdr:blipFill>
      <xdr:spPr>
        <a:xfrm>
          <a:off x="2084294" y="6757147"/>
          <a:ext cx="8583223" cy="48965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68</xdr:row>
      <xdr:rowOff>0</xdr:rowOff>
    </xdr:from>
    <xdr:to>
      <xdr:col>24</xdr:col>
      <xdr:colOff>545929</xdr:colOff>
      <xdr:row>113</xdr:row>
      <xdr:rowOff>77407</xdr:rowOff>
    </xdr:to>
    <xdr:pic>
      <xdr:nvPicPr>
        <xdr:cNvPr id="2" name="Imagen 1">
          <a:extLst>
            <a:ext uri="{FF2B5EF4-FFF2-40B4-BE49-F238E27FC236}">
              <a16:creationId xmlns:a16="http://schemas.microsoft.com/office/drawing/2014/main" id="{E22B5589-3120-4DF2-A417-108B6511E719}"/>
            </a:ext>
          </a:extLst>
        </xdr:cNvPr>
        <xdr:cNvPicPr>
          <a:picLocks noChangeAspect="1"/>
        </xdr:cNvPicPr>
      </xdr:nvPicPr>
      <xdr:blipFill>
        <a:blip xmlns:r="http://schemas.openxmlformats.org/officeDocument/2006/relationships" r:embed="rId1"/>
        <a:stretch>
          <a:fillRect/>
        </a:stretch>
      </xdr:blipFill>
      <xdr:spPr>
        <a:xfrm>
          <a:off x="5295900" y="12954000"/>
          <a:ext cx="15596257" cy="864990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0</xdr:colOff>
      <xdr:row>68</xdr:row>
      <xdr:rowOff>0</xdr:rowOff>
    </xdr:from>
    <xdr:to>
      <xdr:col>24</xdr:col>
      <xdr:colOff>546757</xdr:colOff>
      <xdr:row>113</xdr:row>
      <xdr:rowOff>77407</xdr:rowOff>
    </xdr:to>
    <xdr:pic>
      <xdr:nvPicPr>
        <xdr:cNvPr id="2" name="Imagen 1">
          <a:extLst>
            <a:ext uri="{FF2B5EF4-FFF2-40B4-BE49-F238E27FC236}">
              <a16:creationId xmlns:a16="http://schemas.microsoft.com/office/drawing/2014/main" id="{7DCCCA6D-395E-40F0-B449-30F499596F00}"/>
            </a:ext>
          </a:extLst>
        </xdr:cNvPr>
        <xdr:cNvPicPr>
          <a:picLocks noChangeAspect="1"/>
        </xdr:cNvPicPr>
      </xdr:nvPicPr>
      <xdr:blipFill>
        <a:blip xmlns:r="http://schemas.openxmlformats.org/officeDocument/2006/relationships" r:embed="rId1"/>
        <a:stretch>
          <a:fillRect/>
        </a:stretch>
      </xdr:blipFill>
      <xdr:spPr>
        <a:xfrm>
          <a:off x="5295900" y="12954000"/>
          <a:ext cx="15594601" cy="864990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68</xdr:row>
      <xdr:rowOff>0</xdr:rowOff>
    </xdr:from>
    <xdr:to>
      <xdr:col>23</xdr:col>
      <xdr:colOff>232018</xdr:colOff>
      <xdr:row>113</xdr:row>
      <xdr:rowOff>77407</xdr:rowOff>
    </xdr:to>
    <xdr:pic>
      <xdr:nvPicPr>
        <xdr:cNvPr id="5" name="Imagen 4">
          <a:extLst>
            <a:ext uri="{FF2B5EF4-FFF2-40B4-BE49-F238E27FC236}">
              <a16:creationId xmlns:a16="http://schemas.microsoft.com/office/drawing/2014/main" id="{109EBC49-73F0-F3C7-3D0F-7C24A5901655}"/>
            </a:ext>
          </a:extLst>
        </xdr:cNvPr>
        <xdr:cNvPicPr>
          <a:picLocks noChangeAspect="1"/>
        </xdr:cNvPicPr>
      </xdr:nvPicPr>
      <xdr:blipFill>
        <a:blip xmlns:r="http://schemas.openxmlformats.org/officeDocument/2006/relationships" r:embed="rId1"/>
        <a:stretch>
          <a:fillRect/>
        </a:stretch>
      </xdr:blipFill>
      <xdr:spPr>
        <a:xfrm>
          <a:off x="5162550" y="12954000"/>
          <a:ext cx="15594601" cy="8649907"/>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ULIAN CAICEDO" id="{8B4C904F-D39B-41A2-976E-9CF6D3CCE00C}" userId="JULIAN CAICEDO" providerId="None"/>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6606CCEC-CD5E-4C43-9C29-F94441C86EED}"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c7e7183a8049fcd4476666d530c02af4&amp;qlt=95" TargetMode="External"/><Relationship Id="rId2" Type="http://schemas.openxmlformats.org/officeDocument/2006/relationships/hyperlink" Target="https://www.bing.com/images/search?form=xlimg&amp;q=bol%c3%advar+department+colombia" TargetMode="External"/><Relationship Id="rId1" Type="http://schemas.openxmlformats.org/officeDocument/2006/relationships/hyperlink" Target="https://www.bing.com/th?id=AMMS_0e8011aa83ff1393ab0287f9fd067d1c&amp;qlt=95" TargetMode="External"/><Relationship Id="rId6" Type="http://schemas.openxmlformats.org/officeDocument/2006/relationships/hyperlink" Target="https://www.bing.com/images/search?form=xlimg&amp;q=putumayo+department+colombia" TargetMode="External"/><Relationship Id="rId5" Type="http://schemas.openxmlformats.org/officeDocument/2006/relationships/hyperlink" Target="https://www.bing.com/th?id=AMMS_bd5df3a48eceaba2bf9c4ff931b54459&amp;qlt=95" TargetMode="External"/><Relationship Id="rId4" Type="http://schemas.openxmlformats.org/officeDocument/2006/relationships/hyperlink" Target="https://www.bing.com/images/search?form=xlimg&amp;q=casanare+department+colomb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Srd>
</file>

<file path=xl/richData/rdarray.xml><?xml version="1.0" encoding="utf-8"?>
<arrayData xmlns="http://schemas.microsoft.com/office/spreadsheetml/2017/richdata2" count="12">
  <a r="1">
    <v t="s">Marcela Amaya (Governor)</v>
  </a>
  <a r="1">
    <v t="s">UTC−05:00</v>
  </a>
  <a r="1">
    <v t="s">Didier Alberto Tavera Amado (Governor)</v>
  </a>
  <a r="1">
    <v t="s">Ricardo Alvarado Bestene (Governor)</v>
  </a>
  <a r="1">
    <v t="s">Vicente blel (Governor)</v>
  </a>
  <a r="1">
    <v t="r">39</v>
  </a>
  <a r="1">
    <v t="s">Carlos Andrés Amaya (Governor)</v>
  </a>
  <a r="1">
    <v t="s">Salomon Andres Sanabria (Governor)</v>
  </a>
  <a r="1">
    <v t="s">Oneida Rayeth Pinto Perez (Governor)</v>
  </a>
  <a r="1">
    <v t="s">Luis Enrique Dussan López (Governor)</v>
  </a>
  <a r="1">
    <v t="s">William Villamizar Laguado (Governor)</v>
  </a>
  <a r="1">
    <v t="s">Sorrel Parisa Aroca Rodriguez (Governor)</v>
  </a>
</arrayData>
</file>

<file path=xl/richData/rdrichvalue.xml><?xml version="1.0" encoding="utf-8"?>
<rvData xmlns="http://schemas.microsoft.com/office/spreadsheetml/2017/richdata" count="96">
  <rv s="0">
    <v>536870912</v>
    <v>Meta Department</v>
    <v>30c3c263-a281-f2d2-6787-511d37d41ddf</v>
    <v>en-US</v>
    <v>Map</v>
  </rv>
  <rv s="1">
    <fb>85635</fb>
    <v>11</v>
  </rv>
  <rv s="0">
    <v>536870912</v>
    <v>Villavicencio</v>
    <v>061f744c-689b-fc4e-336d-58ff74f02bb7</v>
    <v>en-US</v>
    <v>Map</v>
  </rv>
  <rv s="0">
    <v>536870912</v>
    <v>Colombia</v>
    <v>c396e3d8-2a85-d230-f691-7850536d840e</v>
    <v>en-US</v>
    <v>Map</v>
  </rv>
  <rv s="1">
    <fb>179624</fb>
    <v>11</v>
  </rv>
  <rv s="2">
    <v>0</v>
  </rv>
  <rv s="3">
    <v>https://www.bing.com/search?q=meta+department+colombia&amp;form=skydnc</v>
    <v>Learn more on Bing</v>
  </rv>
  <rv s="1">
    <fb>1039722</fb>
    <v>11</v>
  </rv>
  <rv s="2">
    <v>1</v>
  </rv>
  <rv s="4">
    <v>#VALUE!</v>
    <v>en-US</v>
    <v>30c3c263-a281-f2d2-6787-511d37d41ddf</v>
    <v>536870912</v>
    <v>1</v>
    <v>3</v>
    <v>4</v>
    <v>Meta Department</v>
    <v>7</v>
    <v>8</v>
    <v>Map</v>
    <v>9</v>
    <v>10</v>
    <v>CO-MET</v>
    <v>1</v>
    <v>2</v>
    <v>3</v>
    <v>Meta is a department of Colombia. It is close to the geographic center of the country, to the east of the Andean mountains. A large portion of the department, which is also crossed by the Meta River, is covered by a grassland plain known as the Llanos. Its capital is Villavicencio. The department has a monument placed in the very geographic centre of Colombia, at a place known as Alto de Menegua, a few kilometers from Puerto López.</v>
    <v>4</v>
    <v>2</v>
    <v>5</v>
    <v>6</v>
    <v>Meta Department</v>
    <v>7</v>
    <v>8</v>
    <v>Meta Department</v>
    <v>mdp/vdpid/10106924</v>
  </rv>
  <rv s="0">
    <v>536870912</v>
    <v>Santander Department</v>
    <v>98fbfaa3-063d-4261-a806-2b84a0339e05</v>
    <v>en-US</v>
    <v>Map</v>
  </rv>
  <rv s="1">
    <fb>30537</fb>
    <v>11</v>
  </rv>
  <rv s="0">
    <v>536870912</v>
    <v>Bucaramanga</v>
    <v>b2b7d5d4-6e24-8927-87fe-0c327b2b2c86</v>
    <v>en-US</v>
    <v>Map</v>
  </rv>
  <rv s="1">
    <fb>495179</fb>
    <v>11</v>
  </rv>
  <rv s="2">
    <v>2</v>
  </rv>
  <rv s="3">
    <v>https://www.bing.com/search?q=santander+department+colombia&amp;form=skydnc</v>
    <v>Learn more on Bing</v>
  </rv>
  <rv s="1">
    <fb>2184837</fb>
    <v>11</v>
  </rv>
  <rv s="4">
    <v>#VALUE!</v>
    <v>en-US</v>
    <v>98fbfaa3-063d-4261-a806-2b84a0339e05</v>
    <v>536870912</v>
    <v>1</v>
    <v>14</v>
    <v>4</v>
    <v>Santander Department</v>
    <v>7</v>
    <v>8</v>
    <v>Map</v>
    <v>9</v>
    <v>10</v>
    <v>CO-SAN</v>
    <v>11</v>
    <v>12</v>
    <v>3</v>
    <v>Santander is a department of Colombia. Santander inherited the name of one of the nine original states of the United States of Colombia. It is located in the central northern part of the country, borders the Magdalena River to the east, Boyacá to the south and southeast, the Norte de Santander Department to the northeast, the Cesar Department to the north, the Bolivar and Antioquia Departments to the west. Its capital is the city of Bucaramanga.</v>
    <v>13</v>
    <v>12</v>
    <v>14</v>
    <v>15</v>
    <v>Santander Department</v>
    <v>16</v>
    <v>8</v>
    <v>Santander Department</v>
    <v>mdp/vdpid/10106936</v>
  </rv>
  <rv s="0">
    <v>536870912</v>
    <v>Arauca Department</v>
    <v>39038b52-0399-9385-24de-5d0c69b46eba</v>
    <v>en-US</v>
    <v>Map</v>
  </rv>
  <rv s="1">
    <fb>23818</fb>
    <v>11</v>
  </rv>
  <rv s="0">
    <v>536870912</v>
    <v>Arauca</v>
    <v>64f5d309-32e5-4ff7-24bc-d973ce26e70a</v>
    <v>en-US</v>
    <v>Map</v>
  </rv>
  <rv s="1">
    <fb>35636</fb>
    <v>11</v>
  </rv>
  <rv s="2">
    <v>3</v>
  </rv>
  <rv s="3">
    <v>https://www.bing.com/search?q=arauca+department+colombia&amp;form=skydnc</v>
    <v>Learn more on Bing</v>
  </rv>
  <rv s="1">
    <fb>262174</fb>
    <v>11</v>
  </rv>
  <rv s="4">
    <v>#VALUE!</v>
    <v>en-US</v>
    <v>39038b52-0399-9385-24de-5d0c69b46eba</v>
    <v>536870912</v>
    <v>1</v>
    <v>17</v>
    <v>4</v>
    <v>Arauca Department</v>
    <v>7</v>
    <v>8</v>
    <v>Map</v>
    <v>9</v>
    <v>10</v>
    <v>CO-ARA</v>
    <v>19</v>
    <v>20</v>
    <v>3</v>
    <v>Arauca is a department of Eastern Colombia located in the extreme north of the Orinoco Basin of Colombia, bordering Venezuela. The southern boundary of Arauca is formed by the Casanare and Meta Rivers, separating Arauca from the departments of Casanare and Vichada. To the west, Arauca borders the department of Boyacá. The Caño Limón oil fields located within Arauca account for almost a third of the Colombian oil output. Its capital is the town of Arauca.</v>
    <v>21</v>
    <v>20</v>
    <v>22</v>
    <v>23</v>
    <v>Arauca Department</v>
    <v>24</v>
    <v>8</v>
    <v>Arauca Department</v>
    <v>mdp/vdpid/10106929</v>
  </rv>
  <rv s="0">
    <v>536870912</v>
    <v>Bolívar Department</v>
    <v>38fa99f2-3e47-af72-2f25-81f620fe1128</v>
    <v>en-US</v>
    <v>Map</v>
  </rv>
  <rv s="1">
    <fb>25978</fb>
    <v>11</v>
  </rv>
  <rv s="0">
    <v>536870912</v>
    <v>Cartagena</v>
    <v>722cd66d-65f4-7a40-33a0-17719bf6238a</v>
    <v>en-US</v>
    <v>Map</v>
  </rv>
  <rv s="1">
    <fb>391055</fb>
    <v>11</v>
  </rv>
  <rv s="5">
    <v>0</v>
    <v>9</v>
    <v>25</v>
    <v>0</v>
    <v>Image of Bolívar Department</v>
  </rv>
  <rv s="2">
    <v>4</v>
  </rv>
  <rv s="3">
    <v>https://www.bing.com/search?q=bol%c3%advar+department+colombia&amp;form=skydnc</v>
    <v>Learn more on Bing</v>
  </rv>
  <rv s="1">
    <fb>2070110</fb>
    <v>11</v>
  </rv>
  <rv s="6">
    <v>#VALUE!</v>
    <v>en-US</v>
    <v>38fa99f2-3e47-af72-2f25-81f620fe1128</v>
    <v>536870912</v>
    <v>1</v>
    <v>22</v>
    <v>23</v>
    <v>Bolívar Department</v>
    <v>7</v>
    <v>24</v>
    <v>Map</v>
    <v>9</v>
    <v>10</v>
    <v>CO-BOL</v>
    <v>27</v>
    <v>28</v>
    <v>3</v>
    <v>Bolívar is a department of Colombia. It was named after one of the original nine states of the United States of Colombia. It is located to the north of the country, extending roughly north–south from the Caribbean coast at Cartagena near the mouth of the Magdalena River, then south along the river to a border with Antioquia Department. The departments of Sucre and Córdoba are located to the west, and Atlántico Department is to the north and east. Across the Magdalena River to the east is Magdalena Department. The flag of the department bears a resemblance to the flag of Lithuania.</v>
    <v>29</v>
    <v>30</v>
    <v>28</v>
    <v>31</v>
    <v>32</v>
    <v>Bolívar Department</v>
    <v>33</v>
    <v>8</v>
    <v>Bolívar Department</v>
    <v>mdp/vdpid/9421486</v>
  </rv>
  <rv s="0">
    <v>536870912</v>
    <v>Antioquia Department</v>
    <v>d3614470-a93c-5d64-a636-9da2dff33c3d</v>
    <v>en-US</v>
    <v>Map</v>
  </rv>
  <rv s="1">
    <fb>63612</fb>
    <v>11</v>
  </rv>
  <rv s="0">
    <v>536870912</v>
    <v>Medellín</v>
    <v>7b1377e4-8d6a-bcd0-6cb4-7b7c0a8f94b5</v>
    <v>en-US</v>
    <v>Map</v>
  </rv>
  <rv s="1">
    <fb>1505161</fb>
    <v>11</v>
  </rv>
  <rv s="0">
    <v>805306368</v>
    <v>Aníbal Gaviria (Governor)</v>
    <v>5a82d4c1-4e64-20b1-6477-27a77999dfc7</v>
    <v>en-US</v>
    <v>Generic</v>
  </rv>
  <rv s="2">
    <v>5</v>
  </rv>
  <rv s="3">
    <v>https://www.bing.com/search?q=antioquia+department&amp;form=skydnc</v>
    <v>Learn more on Bing</v>
  </rv>
  <rv s="1">
    <fb>6407102</fb>
    <v>11</v>
  </rv>
  <rv s="4">
    <v>#VALUE!</v>
    <v>en-US</v>
    <v>d3614470-a93c-5d64-a636-9da2dff33c3d</v>
    <v>536870912</v>
    <v>1</v>
    <v>28</v>
    <v>4</v>
    <v>Antioquia Department</v>
    <v>7</v>
    <v>8</v>
    <v>Map</v>
    <v>9</v>
    <v>10</v>
    <v>CO-ANT</v>
    <v>36</v>
    <v>37</v>
    <v>3</v>
    <v>Antioquia is one of the 32 departments of Colombia, located in the central Northwestern part of Colombia with a narrow section that borders the Caribbean Sea. Most of its territory is mountainous with some valleys, much of which is part of the Andes mountain range. Antioquia has been part of many territorial divisions of former countries created within the present-day territory of Colombia. Prior to adoption of the Colombian Constitution of 1886, Antioquia State had its own sovereign government.</v>
    <v>38</v>
    <v>37</v>
    <v>40</v>
    <v>41</v>
    <v>Antioquia Department</v>
    <v>42</v>
    <v>8</v>
    <v>Antioquia Department</v>
    <v>mdp/vdpid/10106933</v>
  </rv>
  <rv s="0">
    <v>536870912</v>
    <v>Boyacá Department</v>
    <v>951b3076-f33d-486b-9b35-d6d83aad8b98</v>
    <v>en-US</v>
    <v>Map</v>
  </rv>
  <rv s="1">
    <fb>23189</fb>
    <v>11</v>
  </rv>
  <rv s="0">
    <v>536870912</v>
    <v>Tunja</v>
    <v>27d685ee-2724-70fe-3ed2-724fbc283d31</v>
    <v>en-US</v>
    <v>Map</v>
  </rv>
  <rv s="1">
    <fb>336296</fb>
    <v>11</v>
  </rv>
  <rv s="2">
    <v>6</v>
  </rv>
  <rv s="3">
    <v>https://www.bing.com/search?q=boyac%c3%a1+department&amp;form=skydnc</v>
    <v>Learn more on Bing</v>
  </rv>
  <rv s="1">
    <fb>1217376</fb>
    <v>11</v>
  </rv>
  <rv s="4">
    <v>#VALUE!</v>
    <v>en-US</v>
    <v>951b3076-f33d-486b-9b35-d6d83aad8b98</v>
    <v>536870912</v>
    <v>1</v>
    <v>31</v>
    <v>4</v>
    <v>Boyacá Department</v>
    <v>7</v>
    <v>8</v>
    <v>Map</v>
    <v>9</v>
    <v>10</v>
    <v>CO-BOY</v>
    <v>45</v>
    <v>46</v>
    <v>3</v>
    <v>Boyacá is one of the thirty-two departments of Colombia, and the remnant of Boyacá State, one of the original nine states of the "United States of Colombia". Boyacá is centrally located within Colombia, almost entirely within the mountains of the Eastern Cordillera to the border with Venezuela, although the western end of the department extends to the Magdalena River at the town of Puerto Boyacá. Boyacá borders to the north with the Department of Santander, to the northeast with the Bolivarian Republic of Venezuela and Norte de Santander, to the east with the departments of Arauca and Casanare. To the south, Boyacá borders the department of Cundinamarca and to the west with the Department of Antioquia covering a total area of 23,189 square kilometres. The capital of Boyacá is the city of Tunja.</v>
    <v>47</v>
    <v>46</v>
    <v>48</v>
    <v>49</v>
    <v>Boyacá Department</v>
    <v>50</v>
    <v>8</v>
    <v>Boyacá Department</v>
    <v>mdp/vdpid/10106930</v>
  </rv>
  <rv s="0">
    <v>536870912</v>
    <v>Casanare Department</v>
    <v>e7b3ed4f-03e8-7516-f976-b525e8a0b565</v>
    <v>en-US</v>
    <v>Map</v>
  </rv>
  <rv s="1">
    <fb>44640</fb>
    <v>11</v>
  </rv>
  <rv s="0">
    <v>536870912</v>
    <v>Yopal</v>
    <v>b5d1013d-669c-c464-2466-3c8409cb17e0</v>
    <v>en-US</v>
    <v>Map</v>
  </rv>
  <rv s="1">
    <fb>73701</fb>
    <v>11</v>
  </rv>
  <rv s="5">
    <v>1</v>
    <v>9</v>
    <v>37</v>
    <v>0</v>
    <v>Image of Casanare Department</v>
  </rv>
  <rv s="2">
    <v>7</v>
  </rv>
  <rv s="3">
    <v>https://www.bing.com/search?q=casanare+department+colombia&amp;form=skydnc</v>
    <v>Learn more on Bing</v>
  </rv>
  <rv s="1">
    <fb>420504</fb>
    <v>11</v>
  </rv>
  <rv s="6">
    <v>#VALUE!</v>
    <v>en-US</v>
    <v>e7b3ed4f-03e8-7516-f976-b525e8a0b565</v>
    <v>536870912</v>
    <v>1</v>
    <v>34</v>
    <v>23</v>
    <v>Casanare Department</v>
    <v>35</v>
    <v>36</v>
    <v>Map</v>
    <v>9</v>
    <v>10</v>
    <v>CO-CAS</v>
    <v>53</v>
    <v>54</v>
    <v>3</v>
    <v>Casanare Department is a department in the central eastern region of Colombia. Its capital is Yopal, which is also the episcopal seat of the Roman Catholic Diocese of Yopal.</v>
    <v>55</v>
    <v>56</v>
    <v>54</v>
    <v>57</v>
    <v>58</v>
    <v>Casanare Department</v>
    <v>59</v>
    <v>8</v>
    <v>Casanare Department</v>
    <v>mdp/vdpid/10106928</v>
  </rv>
  <rv s="0">
    <v>536870912</v>
    <v>La Guajira Department</v>
    <v>5dadb66e-c4f1-8556-c08f-671a606edf84</v>
    <v>en-US</v>
    <v>Map</v>
  </rv>
  <rv s="1">
    <fb>20848</fb>
    <v>11</v>
  </rv>
  <rv s="0">
    <v>536870912</v>
    <v>Riohacha</v>
    <v>f49d0eea-63a6-74bd-7610-26e440494dda</v>
    <v>en-US</v>
    <v>Map</v>
  </rv>
  <rv s="1">
    <fb>123078</fb>
    <v>11</v>
  </rv>
  <rv s="0">
    <v>536870912</v>
    <v>Uribia</v>
    <v>079ebe16-eeaa-f321-420d-7a8c4b2a599d</v>
    <v>en-US</v>
    <v>Map</v>
  </rv>
  <rv s="2">
    <v>8</v>
  </rv>
  <rv s="3">
    <v>https://www.bing.com/search?q=la+guajira+department+colombia&amp;form=skydnc</v>
    <v>Learn more on Bing</v>
  </rv>
  <rv s="1">
    <fb>880560</fb>
    <v>11</v>
  </rv>
  <rv s="4">
    <v>#VALUE!</v>
    <v>en-US</v>
    <v>5dadb66e-c4f1-8556-c08f-671a606edf84</v>
    <v>536870912</v>
    <v>1</v>
    <v>40</v>
    <v>4</v>
    <v>La Guajira Department</v>
    <v>7</v>
    <v>8</v>
    <v>Map</v>
    <v>9</v>
    <v>10</v>
    <v>CO-LAG</v>
    <v>62</v>
    <v>63</v>
    <v>3</v>
    <v>La Guajira is a department of Colombia. It occupies most of the Guajira Peninsula in the northeast region of the country, on the Caribbean Sea and bordering Venezuela, at the northernmost tip of South America. The capital city of the department is Riohacha.</v>
    <v>64</v>
    <v>65</v>
    <v>66</v>
    <v>67</v>
    <v>La Guajira Department</v>
    <v>68</v>
    <v>8</v>
    <v>La Guajira Department</v>
    <v>mdp/vdpid/10106951</v>
  </rv>
  <rv s="0">
    <v>536870912</v>
    <v>Huila Department</v>
    <v>2752ef70-1772-e264-2348-e4146224c108</v>
    <v>en-US</v>
    <v>Map</v>
  </rv>
  <rv s="1">
    <fb>19890</fb>
    <v>45</v>
  </rv>
  <rv s="0">
    <v>536870912</v>
    <v>Neiva</v>
    <v>1ba988f0-6907-b536-88ad-b89bb1269fc5</v>
    <v>en-US</v>
    <v>Map</v>
  </rv>
  <rv s="1">
    <fb>253348</fb>
    <v>45</v>
  </rv>
  <rv s="2">
    <v>9</v>
  </rv>
  <rv s="3">
    <v>https://www.bing.com/search?q=huila+department+colombia&amp;form=skydnc</v>
    <v>Learn more on Bing</v>
  </rv>
  <rv s="1">
    <fb>1200386</fb>
    <v>45</v>
  </rv>
  <rv s="4">
    <v>#VALUE!</v>
    <v>en-US</v>
    <v>2752ef70-1772-e264-2348-e4146224c108</v>
    <v>536870912</v>
    <v>1</v>
    <v>43</v>
    <v>4</v>
    <v>Huila Department</v>
    <v>35</v>
    <v>44</v>
    <v>Map</v>
    <v>9</v>
    <v>10</v>
    <v>CO-HUI</v>
    <v>71</v>
    <v>72</v>
    <v>3</v>
    <v>Huila is one of the departments of Colombia. It is located in the southwest of the country, and its capital is Neiva.</v>
    <v>73</v>
    <v>72</v>
    <v>74</v>
    <v>75</v>
    <v>Huila Department</v>
    <v>76</v>
    <v>8</v>
    <v>Huila Department</v>
    <v>mdp/vdpid/10106920</v>
  </rv>
  <rv s="0">
    <v>536870912</v>
    <v>Norte de Santander Department</v>
    <v>d44c8def-e6be-c3f1-ab4e-e27af99a2e0b</v>
    <v>en-US</v>
    <v>Map</v>
  </rv>
  <rv s="1">
    <fb>21658</fb>
    <v>45</v>
  </rv>
  <rv s="0">
    <v>536870912</v>
    <v>Cúcuta</v>
    <v>5a90774d-aeea-6f03-17a8-2126ffdffef3</v>
    <v>en-US</v>
    <v>Map</v>
  </rv>
  <rv s="1">
    <fb>295605</fb>
    <v>45</v>
  </rv>
  <rv s="2">
    <v>10</v>
  </rv>
  <rv s="3">
    <v>https://www.bing.com/search?q=norte+de+santander+department+colombia&amp;form=skydnc</v>
    <v>Learn more on Bing</v>
  </rv>
  <rv s="1">
    <fb>1491689</fb>
    <v>45</v>
  </rv>
  <rv s="4">
    <v>#VALUE!</v>
    <v>en-US</v>
    <v>d44c8def-e6be-c3f1-ab4e-e27af99a2e0b</v>
    <v>536870912</v>
    <v>1</v>
    <v>50</v>
    <v>4</v>
    <v>Norte de Santander Department</v>
    <v>35</v>
    <v>44</v>
    <v>Map</v>
    <v>9</v>
    <v>10</v>
    <v>CO-NSA</v>
    <v>79</v>
    <v>80</v>
    <v>3</v>
    <v>North Santander is a department of Northeastern Colombia. It is in the north of the country, bordering Venezuela. Its capital is Cúcuta, one of the country's major cities.</v>
    <v>81</v>
    <v>80</v>
    <v>82</v>
    <v>83</v>
    <v>Norte de Santander Department</v>
    <v>84</v>
    <v>8</v>
    <v>Norte de Santander Department</v>
    <v>mdp/vdpid/9406503</v>
  </rv>
  <rv s="0">
    <v>536870912</v>
    <v>Putumayo Department</v>
    <v>45f7bd51-6a99-6e2e-3095-604393add4b0</v>
    <v>en-US</v>
    <v>Map</v>
  </rv>
  <rv s="1">
    <fb>24885</fb>
    <v>45</v>
  </rv>
  <rv s="0">
    <v>536870912</v>
    <v>Mocoa</v>
    <v>fb0d0b7c-d2b3-307d-2e00-ace8205ad474</v>
    <v>en-US</v>
    <v>Map</v>
  </rv>
  <rv s="1">
    <fb>69570</fb>
    <v>45</v>
  </rv>
  <rv s="7">
    <v>2</v>
    <v>9</v>
    <v>55</v>
    <v>6</v>
    <v>0</v>
    <v>Image of Putumayo Department</v>
  </rv>
  <rv s="0">
    <v>536870912</v>
    <v>Orito</v>
    <v>0b32c096-7333-77fb-af4e-abf896aec920</v>
    <v>en-US</v>
    <v>Map</v>
  </rv>
  <rv s="2">
    <v>11</v>
  </rv>
  <rv s="3">
    <v>https://www.bing.com/search?q=putumayo+department+colombia&amp;form=skydnc</v>
    <v>Learn more on Bing</v>
  </rv>
  <rv s="1">
    <fb>348182</fb>
    <v>45</v>
  </rv>
  <rv s="6">
    <v>#VALUE!</v>
    <v>en-US</v>
    <v>45f7bd51-6a99-6e2e-3095-604393add4b0</v>
    <v>536870912</v>
    <v>1</v>
    <v>54</v>
    <v>23</v>
    <v>Putumayo Department</v>
    <v>7</v>
    <v>24</v>
    <v>Map</v>
    <v>9</v>
    <v>10</v>
    <v>CO-PUT</v>
    <v>87</v>
    <v>88</v>
    <v>3</v>
    <v>Putumayo is a department of Southern Colombia. It is in the south-west of the country, bordering Ecuador and Peru. Its capital is Mocoa. The word putumayo comes from the Quechua languages. The verb p'utuy means "to spring forth" or "to burst out", and mayu means river. Thus it means "gushing river".</v>
    <v>89</v>
    <v>90</v>
    <v>91</v>
    <v>92</v>
    <v>93</v>
    <v>Putumayo Department</v>
    <v>94</v>
    <v>8</v>
    <v>Putumayo Department</v>
    <v>mdp/vdpid/10106916</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Largest city" t="r"/>
    <k n="Leader(s)" t="r"/>
    <k n="LearnMoreOnLink" t="r"/>
    <k n="Name" t="s"/>
    <k n="Population" t="r"/>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Image" t="r"/>
    <k n="Largest city" t="r"/>
    <k n="Leader(s)" t="r"/>
    <k n="LearnMoreOnLink" t="r"/>
    <k n="Name" t="s"/>
    <k n="Population" t="r"/>
    <k n="Time zone(s)" t="r"/>
    <k n="UniqueName" t="s"/>
    <k n="VDPID/VSID" t="s"/>
  </s>
  <s t="_webimage">
    <k n="WebImageIdentifier" t="i"/>
    <k n="_Provider" t="spb"/>
    <k n="Attribution" t="spb"/>
    <k n="CalcOrigin" t="i"/>
    <k n="ComputedImage" t="b"/>
    <k n="Text"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Image</v>
      <v t="s">Description</v>
    </a>
  </spbArrays>
  <spbData count="56">
    <spb s="0">
      <v xml:space="preserve">Wikipedia	</v>
      <v xml:space="preserve">CC-BY-SA	</v>
      <v xml:space="preserve">http://en.wikipedia.org/wiki/Meta_Department	</v>
      <v xml:space="preserve">http://creativecommons.org/licenses/by-sa/3.0/	</v>
    </spb>
    <spb s="0">
      <v xml:space="preserve">Wikipedia	dane.gov.co	</v>
      <v xml:space="preserve">CC-BY-SA		</v>
      <v xml:space="preserve">http://en.wikipedia.org/wiki/Meta_Department	http://www.dane.gov.co/censo/files/cuadros%20censo%202005.xls#Cuadro4.9	</v>
      <v xml:space="preserve">http://creativecommons.org/licenses/by-sa/3.0/		</v>
    </spb>
    <spb s="0">
      <v xml:space="preserve">dane.gov.co	</v>
      <v xml:space="preserve">	</v>
      <v xml:space="preserve">http://www.dane.gov.co/censo/files/cuadros%20censo%202005.xls#Cuadro4.9	</v>
      <v xml:space="preserve">	</v>
    </spb>
    <spb s="1">
      <v>0</v>
      <v>1</v>
      <v>0</v>
      <v>1</v>
      <v>0</v>
      <v>0</v>
      <v>0</v>
      <v>2</v>
      <v>1</v>
      <v>0</v>
    </spb>
    <spb s="2">
      <v>0</v>
      <v>Name</v>
      <v>LearnMoreOnLink</v>
    </spb>
    <spb s="3">
      <v>0</v>
      <v>0</v>
      <v>0</v>
    </spb>
    <spb s="4">
      <v>0</v>
      <v>0</v>
    </spb>
    <spb s="5">
      <v>5</v>
      <v>5</v>
      <v>6</v>
      <v>5</v>
    </spb>
    <spb s="6">
      <v>1</v>
      <v>2</v>
    </spb>
    <spb s="7">
      <v>https://www.bing.com</v>
      <v>https://www.bing.com/th?id=Ga%5Cbing_yt.png&amp;w=100&amp;h=40&amp;c=0&amp;pid=0.1</v>
      <v>Powered by Bing</v>
    </spb>
    <spb s="8">
      <v>square km</v>
      <v>2018</v>
      <v>2005</v>
    </spb>
    <spb s="9">
      <v>3</v>
    </spb>
    <spb s="0">
      <v xml:space="preserve">Wikipedia	</v>
      <v xml:space="preserve">CC-BY-SA	</v>
      <v xml:space="preserve">http://en.wikipedia.org/wiki/Santander_Department	</v>
      <v xml:space="preserve">http://creativecommons.org/licenses/by-sa/3.0/	</v>
    </spb>
    <spb s="0">
      <v xml:space="preserve">Wikipedia	dane.gov.co	</v>
      <v xml:space="preserve">CC-BY-SA		</v>
      <v xml:space="preserve">http://en.wikipedia.org/wiki/Santander_Department	http://www.dane.gov.co/censo/files/cuadros%20censo%202005.xls#Cuadro4.9	</v>
      <v xml:space="preserve">http://creativecommons.org/licenses/by-sa/3.0/		</v>
    </spb>
    <spb s="1">
      <v>12</v>
      <v>13</v>
      <v>12</v>
      <v>13</v>
      <v>12</v>
      <v>12</v>
      <v>12</v>
      <v>2</v>
      <v>13</v>
      <v>12</v>
    </spb>
    <spb s="0">
      <v xml:space="preserve">Wikipedia	</v>
      <v xml:space="preserve">CC-BY-SA	</v>
      <v xml:space="preserve">http://en.wikipedia.org/wiki/Arauca_Department	</v>
      <v xml:space="preserve">http://creativecommons.org/licenses/by-sa/3.0/	</v>
    </spb>
    <spb s="0">
      <v xml:space="preserve">Wikipedia	dane.gov.co	</v>
      <v xml:space="preserve">CC-BY-SA		</v>
      <v xml:space="preserve">http://en.wikipedia.org/wiki/Arauca_Department	http://www.dane.gov.co/censo/files/cuadros%20censo%202005.xls#Cuadro4.9	</v>
      <v xml:space="preserve">http://creativecommons.org/licenses/by-sa/3.0/		</v>
    </spb>
    <spb s="1">
      <v>15</v>
      <v>16</v>
      <v>15</v>
      <v>16</v>
      <v>15</v>
      <v>15</v>
      <v>15</v>
      <v>2</v>
      <v>16</v>
      <v>15</v>
    </spb>
    <spb s="0">
      <v xml:space="preserve">Wikipedia	</v>
      <v xml:space="preserve">CC-BY-SA	</v>
      <v xml:space="preserve">http://zh.wikipedia.org/zh-tw/index.html?curid=1023476	</v>
      <v xml:space="preserve">http://creativecommons.org/licenses/by-sa/3.0/	</v>
    </spb>
    <spb s="0">
      <v xml:space="preserve">Wikipedia	Wikipedia	dane.gov.co	</v>
      <v xml:space="preserve">CC-BY-SA	CC-BY-SA		</v>
      <v xml:space="preserve">http://en.wikipedia.org/wiki/Bolívar_Department	http://zh.wikipedia.org/zh-tw/index.html?curid=1023476	http://www.dane.gov.co/censo/files/cuadros%20censo%202005.xls#Cuadro4.9	</v>
      <v xml:space="preserve">http://creativecommons.org/licenses/by-sa/3.0/	http://creativecommons.org/licenses/by-sa/3.0/		</v>
    </spb>
    <spb s="0">
      <v xml:space="preserve">Wikipedia	</v>
      <v xml:space="preserve">CC-BY-SA	</v>
      <v xml:space="preserve">http://en.wikipedia.org/wiki/Bolívar_Department	</v>
      <v xml:space="preserve">http://creativecommons.org/licenses/by-sa/3.0/	</v>
    </spb>
    <spb s="0">
      <v xml:space="preserve">Wikipedia	Wikipedia	</v>
      <v xml:space="preserve">CC-BY-SA	CC-BY-SA	</v>
      <v xml:space="preserve">http://en.wikipedia.org/wiki/Bolívar_Department	http://zh.wikipedia.org/zh-tw/index.html?curid=1023476	</v>
      <v xml:space="preserve">http://creativecommons.org/licenses/by-sa/3.0/	http://creativecommons.org/licenses/by-sa/3.0/	</v>
    </spb>
    <spb s="1">
      <v>18</v>
      <v>19</v>
      <v>20</v>
      <v>19</v>
      <v>20</v>
      <v>20</v>
      <v>21</v>
      <v>2</v>
      <v>19</v>
      <v>21</v>
    </spb>
    <spb s="2">
      <v>1</v>
      <v>Name</v>
      <v>LearnMoreOnLink</v>
    </spb>
    <spb s="10">
      <v>1</v>
      <v>4</v>
      <v>2</v>
    </spb>
    <spb s="0">
      <v xml:space="preserve">Wikipedia	</v>
      <v xml:space="preserve">CC BY 2.0	</v>
      <v xml:space="preserve">http://es.wikipedia.org/wiki/Bolívar_(Colombia)	</v>
      <v xml:space="preserve">https://creativecommons.org/licenses/by/2.0	</v>
    </spb>
    <spb s="0">
      <v xml:space="preserve">Wikipedia	</v>
      <v xml:space="preserve">CC-BY-SA	</v>
      <v xml:space="preserve">http://en.wikipedia.org/wiki/Antioquia_Department	</v>
      <v xml:space="preserve">http://creativecommons.org/licenses/by-sa/3.0/	</v>
    </spb>
    <spb s="0">
      <v xml:space="preserve">Wikipedia	dane.gov.co	</v>
      <v xml:space="preserve">CC-BY-SA		</v>
      <v xml:space="preserve">http://en.wikipedia.org/wiki/Antioquia_Department	http://www.dane.gov.co/censo/files/cuadros%20censo%202005.xls#Cuadro4.9	</v>
      <v xml:space="preserve">http://creativecommons.org/licenses/by-sa/3.0/		</v>
    </spb>
    <spb s="1">
      <v>26</v>
      <v>27</v>
      <v>26</v>
      <v>27</v>
      <v>26</v>
      <v>26</v>
      <v>26</v>
      <v>2</v>
      <v>27</v>
      <v>26</v>
    </spb>
    <spb s="0">
      <v xml:space="preserve">Wikipedia	</v>
      <v xml:space="preserve">CC-BY-SA	</v>
      <v xml:space="preserve">http://en.wikipedia.org/wiki/Boyacá_Department	</v>
      <v xml:space="preserve">http://creativecommons.org/licenses/by-sa/3.0/	</v>
    </spb>
    <spb s="0">
      <v xml:space="preserve">Wikipedia	dane.gov.co	</v>
      <v xml:space="preserve">CC-BY-SA		</v>
      <v xml:space="preserve">http://en.wikipedia.org/wiki/Boyacá_Department	http://www.dane.gov.co/censo/files/cuadros%20censo%202005.xls#Cuadro4.9	</v>
      <v xml:space="preserve">http://creativecommons.org/licenses/by-sa/3.0/		</v>
    </spb>
    <spb s="1">
      <v>29</v>
      <v>30</v>
      <v>29</v>
      <v>30</v>
      <v>29</v>
      <v>29</v>
      <v>29</v>
      <v>2</v>
      <v>30</v>
      <v>29</v>
    </spb>
    <spb s="0">
      <v xml:space="preserve">Wikipedia	</v>
      <v xml:space="preserve">CC-BY-SA	</v>
      <v xml:space="preserve">http://en.wikipedia.org/wiki/Casanare_Department	</v>
      <v xml:space="preserve">http://creativecommons.org/licenses/by-sa/3.0/	</v>
    </spb>
    <spb s="0">
      <v xml:space="preserve">Wikipedia	dane.gov.co	</v>
      <v xml:space="preserve">CC-BY-SA		</v>
      <v xml:space="preserve">http://en.wikipedia.org/wiki/Casanare_Department	http://www.dane.gov.co/censo/files/cuadros%20censo%202005.xls#Cuadro4.9	</v>
      <v xml:space="preserve">http://creativecommons.org/licenses/by-sa/3.0/		</v>
    </spb>
    <spb s="1">
      <v>32</v>
      <v>33</v>
      <v>32</v>
      <v>33</v>
      <v>32</v>
      <v>32</v>
      <v>32</v>
      <v>2</v>
      <v>33</v>
      <v>32</v>
    </spb>
    <spb s="11">
      <v>5</v>
      <v>5</v>
      <v>5</v>
    </spb>
    <spb s="12">
      <v>1</v>
      <v>4</v>
    </spb>
    <spb s="0">
      <v xml:space="preserve">Wikipedia	</v>
      <v xml:space="preserve">CC-BY-SA-3.0	</v>
      <v xml:space="preserve">http://zh.wikipedia.org/wiki/卡萨纳雷省	</v>
      <v xml:space="preserve">http://creativecommons.org/licenses/by-sa/3.0/	</v>
    </spb>
    <spb s="0">
      <v xml:space="preserve">Wikipedia	</v>
      <v xml:space="preserve">CC-BY-SA	</v>
      <v xml:space="preserve">http://en.wikipedia.org/wiki/La_Guajira_Department	</v>
      <v xml:space="preserve">http://creativecommons.org/licenses/by-sa/3.0/	</v>
    </spb>
    <spb s="0">
      <v xml:space="preserve">Wikipedia	dane.gov.co	</v>
      <v xml:space="preserve">CC-BY-SA		</v>
      <v xml:space="preserve">http://en.wikipedia.org/wiki/La_Guajira_Department	http://www.dane.gov.co/censo/files/cuadros%20censo%202005.xls#Cuadro4.9	</v>
      <v xml:space="preserve">http://creativecommons.org/licenses/by-sa/3.0/		</v>
    </spb>
    <spb s="13">
      <v>38</v>
      <v>39</v>
      <v>38</v>
      <v>39</v>
      <v>38</v>
      <v>38</v>
      <v>2</v>
      <v>39</v>
      <v>38</v>
    </spb>
    <spb s="0">
      <v xml:space="preserve">Wikipedia	</v>
      <v xml:space="preserve">CC-BY-SA	</v>
      <v xml:space="preserve">http://en.wikipedia.org/wiki/Huila_Department	</v>
      <v xml:space="preserve">http://creativecommons.org/licenses/by-sa/3.0/	</v>
    </spb>
    <spb s="0">
      <v xml:space="preserve">Wikipedia	dane.gov.co	</v>
      <v xml:space="preserve">CC-BY-SA		</v>
      <v xml:space="preserve">http://en.wikipedia.org/wiki/Huila_Department	http://www.dane.gov.co/censo/files/cuadros%20censo%202005.xls#Cuadro4.9	</v>
      <v xml:space="preserve">http://creativecommons.org/licenses/by-sa/3.0/		</v>
    </spb>
    <spb s="1">
      <v>41</v>
      <v>42</v>
      <v>41</v>
      <v>42</v>
      <v>41</v>
      <v>41</v>
      <v>41</v>
      <v>2</v>
      <v>42</v>
      <v>41</v>
    </spb>
    <spb s="14">
      <v>1</v>
    </spb>
    <spb s="9">
      <v>5</v>
    </spb>
    <spb s="0">
      <v xml:space="preserve">Wikipedia	</v>
      <v xml:space="preserve">CC-BY-SA	</v>
      <v xml:space="preserve">http://en.wikipedia.org/wiki/Norte_de_Santander_Department	</v>
      <v xml:space="preserve">http://creativecommons.org/licenses/by-sa/3.0/	</v>
    </spb>
    <spb s="0">
      <v xml:space="preserve">Wikipedia	dane.gov.co	</v>
      <v xml:space="preserve">CC-BY-SA		</v>
      <v xml:space="preserve">http://en.wikipedia.org/wiki/Norte_de_Santander_Department	http://www.dane.gov.co/censo/files/cuadros%20censo%202005.xls#Cuadro4.9	</v>
      <v xml:space="preserve">http://creativecommons.org/licenses/by-sa/3.0/		</v>
    </spb>
    <spb s="0">
      <v xml:space="preserve">Wikipedia	Youtube	</v>
      <v xml:space="preserve">CC-BY-SA		</v>
      <v xml:space="preserve">http://en.wikipedia.org/wiki/Norte_de_Santander_Department	https://www.youtube.com/user/geltnortedesantander	</v>
      <v xml:space="preserve">http://creativecommons.org/licenses/by-sa/3.0/		</v>
    </spb>
    <spb s="0">
      <v xml:space="preserve">Wikipedia	dane.gov.co	Youtube	</v>
      <v xml:space="preserve">CC-BY-SA			</v>
      <v xml:space="preserve">http://en.wikipedia.org/wiki/Norte_de_Santander_Department	http://www.dane.gov.co/censo/files/cuadros%20censo%202005.xls#Cuadro4.9	https://www.youtube.com/user/geltnortedesantander	</v>
      <v xml:space="preserve">http://creativecommons.org/licenses/by-sa/3.0/			</v>
    </spb>
    <spb s="1">
      <v>46</v>
      <v>47</v>
      <v>46</v>
      <v>47</v>
      <v>46</v>
      <v>46</v>
      <v>48</v>
      <v>2</v>
      <v>49</v>
      <v>48</v>
    </spb>
    <spb s="0">
      <v xml:space="preserve">Wikipedia	Wikipedia	</v>
      <v xml:space="preserve">CC-BY-SA	CC-BY-SA	</v>
      <v xml:space="preserve">http://en.wikipedia.org/wiki/Putumayo_Department	http://es.wikipedia.org/wiki/Putumayo_(Colombia)	</v>
      <v xml:space="preserve">http://creativecommons.org/licenses/by-sa/3.0/	http://creativecommons.org/licenses/by-sa/3.0/	</v>
    </spb>
    <spb s="0">
      <v xml:space="preserve">Wikipedia	dane.gov.co	</v>
      <v xml:space="preserve">CC-BY-SA		</v>
      <v xml:space="preserve">http://en.wikipedia.org/wiki/Putumayo_Department	http://www.dane.gov.co/censo/files/cuadros%20censo%202005.xls#Cuadro4.9	</v>
      <v xml:space="preserve">http://creativecommons.org/licenses/by-sa/3.0/		</v>
    </spb>
    <spb s="0">
      <v xml:space="preserve">Wikipedia	</v>
      <v xml:space="preserve">CC-BY-SA	</v>
      <v xml:space="preserve">http://en.wikipedia.org/wiki/Putumayo_Department	</v>
      <v xml:space="preserve">http://creativecommons.org/licenses/by-sa/3.0/	</v>
    </spb>
    <spb s="13">
      <v>51</v>
      <v>52</v>
      <v>53</v>
      <v>52</v>
      <v>53</v>
      <v>53</v>
      <v>2</v>
      <v>52</v>
      <v>53</v>
    </spb>
    <spb s="0">
      <v xml:space="preserve">Wikipedia	</v>
      <v xml:space="preserve">CC BY-SA 3.0	</v>
      <v xml:space="preserve">http://ko.wikipedia.org/wiki/푸투마요주	</v>
      <v xml:space="preserve">https://creativecommons.org/licenses/by-sa/3.0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Population" t="spb"/>
    <k n="UniqueName" t="spb"/>
    <k n="Description" t="spb"/>
    <k n="Abbreviation" t="spb"/>
    <k n="Largest city" t="spb"/>
    <k n="Housing units"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k n="Housing units" t="s"/>
  </s>
  <s>
    <k n="_Self" t="i"/>
  </s>
  <s>
    <k n="Name" t="i"/>
    <k n="Image" t="i"/>
    <k n="Description" t="i"/>
  </s>
  <s>
    <k n="UniqueName" t="spb"/>
    <k n="VDPID/VSID" t="spb"/>
    <k n="LearnMoreOnLink" t="spb"/>
  </s>
  <s>
    <k n="Name" t="i"/>
    <k n="Image" t="i"/>
  </s>
  <s>
    <k n="Area" t="spb"/>
    <k n="Name" t="spb"/>
    <k n="Population" t="spb"/>
    <k n="UniqueName" t="spb"/>
    <k n="Description" t="spb"/>
    <k n="Abbreviation" t="spb"/>
    <k n="Housing units" t="spb"/>
    <k n="Country/region" t="spb"/>
    <k n="Capital/Major City" t="spb"/>
  </s>
  <s>
    <k n="Nam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RequiresInlineAttribution" t="b"/>
    <rPr n="IsHeroField" t="b"/>
    <rPr n="NumberFormat" t="s"/>
  </richProperties>
  <richStyles>
    <rSty>
      <rpv i="0">1</rpv>
    </rSty>
    <rSty>
      <rpv i="1">1</rpv>
    </rSty>
    <rSty dxfid="0"/>
    <rSty>
      <rpv i="2">1</rpv>
    </rSty>
    <rSty dxfid="0">
      <rpv i="3">#,##0</rpv>
    </rSty>
  </richStyles>
</richStyleSheet>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138E86-E026-4314-8A64-DBAE113B1FF1}" name="Akacias_" displayName="Akacias_" ref="A1:B14" tableType="queryTable" totalsRowShown="0">
  <autoFilter ref="A1:B14" xr:uid="{72138E86-E026-4314-8A64-DBAE113B1FF1}"/>
  <tableColumns count="2">
    <tableColumn id="1" xr3:uid="{D6783835-F803-4062-9AAE-FDB4D242F7A0}" uniqueName="1" name="Column1" queryTableFieldId="1"/>
    <tableColumn id="2" xr3:uid="{D45F7CAE-B685-429A-A18D-D59E536071E4}" uniqueName="2" name="Column2"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P3" dT="2022-08-11T05:06:44.42" personId="{8B4C904F-D39B-41A2-976E-9CF6D3CCE00C}" id="{B5DC5291-6A6D-48C7-A6C7-D48CFE382A60}">
    <text>BP is Beam Pump, PCP is Progressive Cavity Pump, ESP is Electrical Submersible Pump</text>
  </threadedComment>
  <threadedComment ref="Q3" dT="2022-08-11T05:08:53.00" personId="{8B4C904F-D39B-41A2-976E-9CF6D3CCE00C}" id="{554B21F3-EFB7-49C5-962B-7A8B26EF7170}">
    <text>WI is Water Injection; GI is Gas Injection</text>
  </threadedComment>
  <threadedComment ref="R3" dT="2022-08-11T05:10:01.24" personId="{8B4C904F-D39B-41A2-976E-9CF6D3CCE00C}" id="{8A7D8302-9A73-4C71-B1C6-4B3DCE14D226}">
    <text>SI is Steam Injection; AI is Air Injection; CHI is Chemical Inyection (includes Polymer and/or surfractant injection); nnI is Nanofluids Inections; NI is Nitrogen Injection; SAG is surfractang alternative gas</text>
  </threadedComment>
  <threadedComment ref="Q43" dT="2022-08-10T01:54:57.66" personId="{8B4C904F-D39B-41A2-976E-9CF6D3CCE00C}" id="{EC31951F-36DB-4BB9-889B-66C815AE699D}">
    <text>Using ANH (https://www.anh.gov.co/documents/4172/Cuencas_Sedimentarias_de_Colombia_PDF.pdf)</text>
  </threadedComment>
  <threadedComment ref="Q66" dT="2022-08-10T01:54:02.42" personId="{8B4C904F-D39B-41A2-976E-9CF6D3CCE00C}" id="{0366A16D-EEAC-403F-96A9-4310780EA050}">
    <text>Using Upstream Characterization UPME (2021)</text>
  </threadedComment>
  <threadedComment ref="T72" dT="2022-08-08T22:10:25.19" personId="{8B4C904F-D39B-41A2-976E-9CF6D3CCE00C}" id="{4262ED9D-7D4D-4979-A886-69ABD815975C}">
    <text>ANH use to report de fiscalized gas that includes:  Gas lift + Reinjected gas + Gas to plant + transformed gas + gas to gaseoduct.
In 2018 the fiscalized gas production was 2253 Mscf/d, but the commercialized gas production was 1050 Mscf/d.
in 2010 the commercialized gas was 1040 Mscf/d.</text>
  </threadedComment>
  <threadedComment ref="T72" dT="2022-08-08T22:12:13.01" personId="{8B4C904F-D39B-41A2-976E-9CF6D3CCE00C}" id="{278CA538-86F0-4BE7-AC98-3FBEBFDAE74A}" parentId="{4262ED9D-7D4D-4979-A886-69ABD815975C}">
    <text>https://www.valoraanalitik.com/2019/01/16/colombia-cerro-el-2018-con-record-en-produccion-de-gas-y-petroleo/</text>
  </threadedComment>
  <threadedComment ref="R76" dT="2022-08-10T02:26:10.91" personId="{8B4C904F-D39B-41A2-976E-9CF6D3CCE00C}" id="{D776B7B1-62B5-4346-9580-94152522D5BD}">
    <text>Data from ANH report: Reserves 2018</text>
  </threadedComment>
  <threadedComment ref="T77" dT="2022-08-10T02:18:04.53" personId="{8B4C904F-D39B-41A2-976E-9CF6D3CCE00C}" id="{BA761599-396A-49D5-AA6D-4BC19FBDF2BD}">
    <text>Chichimene + Apiay + 10 oilfields</text>
  </threadedComment>
  <threadedComment ref="R78" dT="2022-08-10T02:11:03.45" personId="{8B4C904F-D39B-41A2-976E-9CF6D3CCE00C}" id="{E320C1C6-DE32-49A6-870A-0918B7BE0E85}">
    <text>Infantas + la Cira + Lisama + LLanito + Yarigui-Cantagallo</text>
  </threadedComment>
  <threadedComment ref="T78" dT="2022-08-10T02:16:29.46" personId="{8B4C904F-D39B-41A2-976E-9CF6D3CCE00C}" id="{21204627-F6DC-4143-9567-33068CB8C7FA}">
    <text>Cira + Infantas + Yarigui-Cantagallo +12 oilfields</text>
  </threadedComment>
  <threadedComment ref="R79" dT="2022-08-10T02:04:44.28" personId="{8B4C904F-D39B-41A2-976E-9CF6D3CCE00C}" id="{9873AE17-3FF6-4804-B27E-E3E701DD8B0C}">
    <text>Caño limon + 24 campos</text>
  </threadedComment>
  <threadedComment ref="T79" dT="2022-08-10T02:14:05.47" personId="{8B4C904F-D39B-41A2-976E-9CF6D3CCE00C}" id="{56DB3520-C5F7-4FA4-B4D9-82B6B2808C68}">
    <text>Andina + Capachos</text>
  </threadedComment>
  <threadedComment ref="R80" dT="2022-08-10T02:07:49.33" personId="{8B4C904F-D39B-41A2-976E-9CF6D3CCE00C}" id="{91993813-061C-47E7-A3AB-2463BC6DB191}">
    <text>Boquete + cicuco (Yarigui-Cantagallo is not considered as part of Bolivar Department but Santander)</text>
  </threadedComment>
  <threadedComment ref="R81" dT="2022-08-10T02:03:42.76" personId="{8B4C904F-D39B-41A2-976E-9CF6D3CCE00C}" id="{10EC9C8E-F434-45E3-B814-D8578688DD09}">
    <text>Casabe + Nare + Peñas Blancas + Teca-Corcona</text>
  </threadedComment>
  <threadedComment ref="T81" dT="2022-08-10T02:13:35.79" personId="{8B4C904F-D39B-41A2-976E-9CF6D3CCE00C}" id="{2E6F47D5-070C-44D3-BAB1-67ADAE18466B}">
    <text>Casabe + Peñas Blancas</text>
  </threadedComment>
  <threadedComment ref="R82" dT="2022-08-10T02:09:10.23" personId="{8B4C904F-D39B-41A2-976E-9CF6D3CCE00C}" id="{0023FFC6-039A-46E8-8E63-6F287132D253}">
    <text>Gibraltar + Girasol + Moriche + Velasquez + 8 oilfields</text>
  </threadedComment>
  <threadedComment ref="T82" dT="2022-08-10T02:17:12.43" personId="{8B4C904F-D39B-41A2-976E-9CF6D3CCE00C}" id="{70A75F81-4CAB-4384-A689-206C8CFA0516}">
    <text>Gibraltar + 5 gasfields</text>
  </threadedComment>
  <threadedComment ref="T83" dT="2022-08-10T02:14:57.33" personId="{8B4C904F-D39B-41A2-976E-9CF6D3CCE00C}" id="{99DC78EC-4683-44A1-AD26-041BE706B124}">
    <text>Cupiagua + Cusiana + Pauto + 9 gasfields</text>
  </threadedComment>
  <threadedComment ref="T84" dT="2022-08-10T02:15:35.17" personId="{8B4C904F-D39B-41A2-976E-9CF6D3CCE00C}" id="{CD64E6C6-5474-4A71-9BAB-A199E58F34DC}">
    <text>Ballena + Chuchupa</text>
  </threadedComment>
  <threadedComment ref="R87" dT="2022-08-10T02:20:44.65" personId="{8B4C904F-D39B-41A2-976E-9CF6D3CCE00C}" id="{D2921E57-2D44-4B35-989E-5AA00252E3C8}">
    <text>https://nuevoportal.ecopetrol.com.co/wps/portal/ecopetrol-web/nuestra-empresa/sala-de-prensa/boletines-de-prensa/boletines-2019/boletines-2018/Grupo%20Ecopetrol%20incremento%20sus%20reservas%20probadas%20de%20hidrocarburos%20al%20cierre%20de%202018</text>
  </threadedComment>
  <threadedComment ref="T87" dT="2022-08-10T02:24:15.91" personId="{8B4C904F-D39B-41A2-976E-9CF6D3CCE00C}" id="{1371A6D2-3AC0-4404-BBF4-3F45CF4B722B}">
    <text>1 Equivalent oil barrel is about 5800 scf</text>
  </threadedComment>
  <threadedComment ref="R97" dT="2022-08-11T14:45:12.33" personId="{8B4C904F-D39B-41A2-976E-9CF6D3CCE00C}" id="{7AF6FB8E-74D6-4C88-BA41-503CE35E7727}">
    <text>https://nuevoportal.ecopetrol.com.co/wps/portal/ecopetrol-web/nuestra-empresa/sala-de-prensa/boletines-de-prensa/boletines-2019/boletines-2018/Grupo%20Ecopetrol%20incremento%20sus%20reservas%20probadas%20de%20hidrocarburos%20al%20cierre%20de%202018</text>
  </threadedComment>
  <threadedComment ref="Q104" dT="2022-08-11T15:22:25.65" personId="{8B4C904F-D39B-41A2-976E-9CF6D3CCE00C}" id="{4D46370C-7FFD-4489-9A9B-2DC1439F982E}">
    <text>Boletin Estadistico UPME 2016-2020</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FR@%20Primary=%2013%25%20(CASA%207)"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EA207-A31D-4333-AF3C-69874402C6D2}">
  <sheetPr>
    <pageSetUpPr autoPageBreaks="0"/>
  </sheetPr>
  <dimension ref="A2:AH27"/>
  <sheetViews>
    <sheetView zoomScaleNormal="100" workbookViewId="0">
      <selection activeCell="L24" sqref="L24:L25"/>
    </sheetView>
  </sheetViews>
  <sheetFormatPr baseColWidth="10" defaultColWidth="11.42578125" defaultRowHeight="15" x14ac:dyDescent="0.25"/>
  <cols>
    <col min="1" max="1" width="3.28515625" style="1" customWidth="1"/>
    <col min="2" max="2" width="14.140625" style="1" customWidth="1"/>
    <col min="3" max="4" width="12.42578125" style="1" customWidth="1"/>
    <col min="5" max="5" width="24.140625" style="1" customWidth="1"/>
    <col min="6" max="6" width="12.28515625" style="1" customWidth="1"/>
    <col min="7" max="7" width="16.42578125" style="1" customWidth="1"/>
    <col min="8" max="8" width="17" style="1" customWidth="1"/>
    <col min="9" max="9" width="16.140625" style="1" customWidth="1"/>
    <col min="10" max="10" width="28.7109375" style="1" customWidth="1"/>
    <col min="11" max="12" width="43.140625" style="1" customWidth="1"/>
    <col min="13" max="13" width="34" style="1" customWidth="1"/>
    <col min="14" max="14" width="11.42578125" style="1"/>
    <col min="15" max="15" width="34.85546875" style="1" customWidth="1"/>
    <col min="16" max="16" width="18.5703125" style="1" customWidth="1"/>
    <col min="17" max="17" width="27.5703125" style="1" customWidth="1"/>
    <col min="18" max="18" width="46.85546875" style="1" customWidth="1"/>
    <col min="19" max="19" width="40.28515625" style="1" customWidth="1"/>
    <col min="20" max="20" width="22.28515625" style="1" customWidth="1"/>
    <col min="21" max="21" width="34.85546875" style="1" customWidth="1"/>
    <col min="22" max="22" width="32.28515625" style="1" customWidth="1"/>
    <col min="23" max="23" width="27.85546875" style="1" customWidth="1"/>
    <col min="24" max="24" width="33.140625" style="1" customWidth="1"/>
    <col min="25" max="25" width="28.28515625" style="1" customWidth="1"/>
    <col min="26" max="26" width="89.85546875" style="1" customWidth="1"/>
    <col min="27" max="28" width="11.42578125" style="1"/>
    <col min="29" max="29" width="6.7109375" style="1" customWidth="1"/>
    <col min="30" max="34" width="11.42578125" style="1"/>
  </cols>
  <sheetData>
    <row r="2" spans="2:29" s="1" customFormat="1" x14ac:dyDescent="0.25">
      <c r="B2" s="1" t="s">
        <v>0</v>
      </c>
    </row>
    <row r="3" spans="2:29" s="1" customFormat="1" x14ac:dyDescent="0.25">
      <c r="M3" s="1" t="s">
        <v>1</v>
      </c>
    </row>
    <row r="4" spans="2:29" s="1" customFormat="1" ht="25.15" customHeight="1" x14ac:dyDescent="0.25">
      <c r="B4" s="2" t="s">
        <v>251</v>
      </c>
      <c r="C4" s="3" t="s">
        <v>3</v>
      </c>
      <c r="D4" s="3" t="s">
        <v>4</v>
      </c>
      <c r="E4" s="3" t="s">
        <v>6</v>
      </c>
      <c r="F4" s="3" t="s">
        <v>7</v>
      </c>
      <c r="G4" s="3" t="s">
        <v>8</v>
      </c>
      <c r="H4" s="3" t="s">
        <v>9</v>
      </c>
      <c r="I4" s="3" t="s">
        <v>252</v>
      </c>
      <c r="J4" s="3" t="s">
        <v>11</v>
      </c>
      <c r="K4" s="3" t="s">
        <v>253</v>
      </c>
      <c r="L4" s="3" t="s">
        <v>254</v>
      </c>
      <c r="M4" s="3" t="s">
        <v>13</v>
      </c>
      <c r="N4" s="3" t="s">
        <v>5</v>
      </c>
      <c r="O4" s="3" t="s">
        <v>14</v>
      </c>
      <c r="P4" s="3" t="s">
        <v>15</v>
      </c>
      <c r="Q4" s="3" t="s">
        <v>16</v>
      </c>
      <c r="R4" s="3" t="s">
        <v>17</v>
      </c>
      <c r="S4" s="3" t="s">
        <v>18</v>
      </c>
      <c r="T4" s="3" t="s">
        <v>19</v>
      </c>
      <c r="U4" s="3" t="s">
        <v>20</v>
      </c>
      <c r="V4" s="3" t="s">
        <v>21</v>
      </c>
      <c r="W4" s="3" t="s">
        <v>22</v>
      </c>
      <c r="X4" s="3" t="s">
        <v>23</v>
      </c>
      <c r="Y4" s="4" t="s">
        <v>24</v>
      </c>
      <c r="Z4" s="5" t="s">
        <v>25</v>
      </c>
    </row>
    <row r="5" spans="2:29" s="1" customFormat="1" ht="25.5" x14ac:dyDescent="0.25">
      <c r="B5" s="6">
        <v>1</v>
      </c>
      <c r="C5" s="7" t="s">
        <v>166</v>
      </c>
      <c r="D5" s="7" t="s">
        <v>255</v>
      </c>
      <c r="E5" s="7" t="s">
        <v>256</v>
      </c>
      <c r="F5" s="7" t="s">
        <v>30</v>
      </c>
      <c r="G5" s="8">
        <v>11342</v>
      </c>
      <c r="H5" s="7">
        <v>152.77000000000001</v>
      </c>
      <c r="I5" s="69">
        <v>754.35</v>
      </c>
      <c r="J5" s="7" t="s">
        <v>257</v>
      </c>
      <c r="K5" s="7">
        <v>0.68</v>
      </c>
      <c r="L5" s="7" t="s">
        <v>258</v>
      </c>
      <c r="M5" s="7" t="s">
        <v>259</v>
      </c>
      <c r="N5" s="7" t="s">
        <v>28</v>
      </c>
      <c r="O5" s="7" t="s">
        <v>260</v>
      </c>
      <c r="P5" s="7">
        <v>0.05</v>
      </c>
      <c r="Q5" s="7" t="s">
        <v>261</v>
      </c>
      <c r="R5" s="7" t="s">
        <v>262</v>
      </c>
      <c r="S5" s="7" t="s">
        <v>263</v>
      </c>
      <c r="T5" s="7" t="s">
        <v>264</v>
      </c>
      <c r="U5" s="7"/>
      <c r="V5" s="7">
        <v>0</v>
      </c>
      <c r="W5" s="7" t="s">
        <v>265</v>
      </c>
      <c r="X5" s="7" t="s">
        <v>266</v>
      </c>
      <c r="Y5" s="11" t="s">
        <v>267</v>
      </c>
      <c r="Z5" s="12" t="s">
        <v>268</v>
      </c>
    </row>
    <row r="6" spans="2:29" s="1" customFormat="1" ht="25.5" x14ac:dyDescent="0.25">
      <c r="B6" s="6">
        <v>3</v>
      </c>
      <c r="C6" s="7" t="s">
        <v>166</v>
      </c>
      <c r="D6" s="7" t="s">
        <v>269</v>
      </c>
      <c r="E6" s="7" t="s">
        <v>270</v>
      </c>
      <c r="F6" s="7" t="s">
        <v>30</v>
      </c>
      <c r="G6" s="8">
        <v>4514</v>
      </c>
      <c r="H6" s="7">
        <v>182.15</v>
      </c>
      <c r="I6" s="69">
        <v>306.27</v>
      </c>
      <c r="J6" s="7">
        <v>52</v>
      </c>
      <c r="K6" s="7">
        <v>0.68</v>
      </c>
      <c r="L6" s="14" t="s">
        <v>258</v>
      </c>
      <c r="M6" s="7" t="s">
        <v>271</v>
      </c>
      <c r="N6" s="7" t="s">
        <v>28</v>
      </c>
      <c r="O6" s="7" t="s">
        <v>260</v>
      </c>
      <c r="P6" s="7">
        <v>0.05</v>
      </c>
      <c r="Q6" s="7" t="s">
        <v>261</v>
      </c>
      <c r="R6" s="7" t="s">
        <v>272</v>
      </c>
      <c r="S6" s="7" t="s">
        <v>273</v>
      </c>
      <c r="T6" s="7" t="s">
        <v>264</v>
      </c>
      <c r="U6" s="7"/>
      <c r="V6" s="7"/>
      <c r="W6" s="7"/>
      <c r="X6" s="7" t="s">
        <v>274</v>
      </c>
      <c r="Y6" s="11" t="s">
        <v>275</v>
      </c>
      <c r="Z6" s="12"/>
    </row>
    <row r="7" spans="2:29" s="1" customFormat="1" ht="38.25" x14ac:dyDescent="0.25">
      <c r="B7" s="6">
        <v>2</v>
      </c>
      <c r="C7" s="7" t="s">
        <v>166</v>
      </c>
      <c r="D7" s="7" t="s">
        <v>276</v>
      </c>
      <c r="E7" s="7" t="s">
        <v>277</v>
      </c>
      <c r="F7" s="7" t="s">
        <v>278</v>
      </c>
      <c r="G7" s="8">
        <v>31197</v>
      </c>
      <c r="H7" s="7">
        <v>218.46</v>
      </c>
      <c r="I7" s="69">
        <v>459.81099999999998</v>
      </c>
      <c r="J7" s="7">
        <v>46</v>
      </c>
      <c r="K7" s="7">
        <v>0.72</v>
      </c>
      <c r="L7" s="7" t="s">
        <v>279</v>
      </c>
      <c r="M7" s="7" t="s">
        <v>280</v>
      </c>
      <c r="N7" s="7" t="s">
        <v>281</v>
      </c>
      <c r="O7" s="7" t="s">
        <v>260</v>
      </c>
      <c r="P7" s="7" t="s">
        <v>282</v>
      </c>
      <c r="Q7" s="10" t="s">
        <v>283</v>
      </c>
      <c r="R7" s="7" t="s">
        <v>284</v>
      </c>
      <c r="S7" s="7" t="s">
        <v>285</v>
      </c>
      <c r="T7" s="7" t="s">
        <v>286</v>
      </c>
      <c r="U7" s="7"/>
      <c r="V7" s="7"/>
      <c r="W7" s="7" t="s">
        <v>287</v>
      </c>
      <c r="X7" s="7"/>
      <c r="Y7" s="11" t="s">
        <v>288</v>
      </c>
      <c r="Z7" s="12" t="s">
        <v>289</v>
      </c>
    </row>
    <row r="8" spans="2:29" s="1" customFormat="1" ht="25.5" x14ac:dyDescent="0.25">
      <c r="B8" s="6">
        <v>5</v>
      </c>
      <c r="C8" s="7" t="s">
        <v>166</v>
      </c>
      <c r="D8" s="7" t="s">
        <v>276</v>
      </c>
      <c r="E8" s="7" t="s">
        <v>290</v>
      </c>
      <c r="F8" s="7" t="s">
        <v>278</v>
      </c>
      <c r="G8" s="8">
        <v>8374</v>
      </c>
      <c r="H8" s="7" t="s">
        <v>31</v>
      </c>
      <c r="I8" s="69">
        <v>153.01</v>
      </c>
      <c r="J8" s="7" t="s">
        <v>291</v>
      </c>
      <c r="K8" s="7">
        <v>0.74</v>
      </c>
      <c r="L8" s="7" t="s">
        <v>292</v>
      </c>
      <c r="M8" s="7" t="s">
        <v>280</v>
      </c>
      <c r="N8" s="7" t="s">
        <v>28</v>
      </c>
      <c r="O8" s="7" t="s">
        <v>260</v>
      </c>
      <c r="P8" s="7" t="s">
        <v>282</v>
      </c>
      <c r="Q8" s="7" t="s">
        <v>283</v>
      </c>
      <c r="R8" s="7" t="s">
        <v>293</v>
      </c>
      <c r="S8" s="7" t="s">
        <v>294</v>
      </c>
      <c r="T8" s="7" t="s">
        <v>286</v>
      </c>
      <c r="U8" s="7"/>
      <c r="V8" s="15" t="s">
        <v>295</v>
      </c>
      <c r="W8" s="7" t="s">
        <v>296</v>
      </c>
      <c r="X8" s="7" t="s">
        <v>297</v>
      </c>
      <c r="Y8" s="11" t="s">
        <v>275</v>
      </c>
      <c r="Z8" s="12" t="s">
        <v>298</v>
      </c>
    </row>
    <row r="9" spans="2:29" s="1" customFormat="1" ht="25.5" x14ac:dyDescent="0.25">
      <c r="B9" s="6">
        <v>4</v>
      </c>
      <c r="C9" s="7" t="s">
        <v>299</v>
      </c>
      <c r="D9" s="7" t="s">
        <v>300</v>
      </c>
      <c r="E9" s="7" t="s">
        <v>301</v>
      </c>
      <c r="F9" s="7" t="s">
        <v>302</v>
      </c>
      <c r="G9" s="8">
        <v>0</v>
      </c>
      <c r="H9" s="7">
        <v>207.5</v>
      </c>
      <c r="I9" s="69">
        <v>214.703</v>
      </c>
      <c r="J9" s="7" t="s">
        <v>31</v>
      </c>
      <c r="K9" s="7">
        <v>0.56000000000000005</v>
      </c>
      <c r="L9" s="7" t="s">
        <v>303</v>
      </c>
      <c r="M9" s="7" t="s">
        <v>304</v>
      </c>
      <c r="N9" s="7" t="s">
        <v>299</v>
      </c>
      <c r="O9" s="7" t="s">
        <v>305</v>
      </c>
      <c r="P9" s="7" t="s">
        <v>306</v>
      </c>
      <c r="Q9" s="7" t="s">
        <v>307</v>
      </c>
      <c r="R9" s="7" t="s">
        <v>308</v>
      </c>
      <c r="S9" s="13" t="s">
        <v>309</v>
      </c>
      <c r="T9" s="7"/>
      <c r="U9" s="7"/>
      <c r="V9" s="7" t="s">
        <v>310</v>
      </c>
      <c r="W9" s="7"/>
      <c r="X9" s="7"/>
      <c r="Y9" s="11"/>
      <c r="Z9" s="12"/>
    </row>
    <row r="10" spans="2:29" s="1" customFormat="1" x14ac:dyDescent="0.25">
      <c r="B10" s="6">
        <v>6</v>
      </c>
      <c r="C10" s="7" t="s">
        <v>299</v>
      </c>
      <c r="D10" s="7" t="s">
        <v>300</v>
      </c>
      <c r="E10" s="7" t="s">
        <v>311</v>
      </c>
      <c r="F10" s="7" t="s">
        <v>302</v>
      </c>
      <c r="G10" s="8">
        <v>0</v>
      </c>
      <c r="H10" s="7">
        <v>30.6</v>
      </c>
      <c r="I10" s="69">
        <v>31.34</v>
      </c>
      <c r="J10" s="7"/>
      <c r="K10" s="7"/>
      <c r="L10" s="7"/>
      <c r="M10" s="7"/>
      <c r="N10" s="7" t="s">
        <v>299</v>
      </c>
      <c r="O10" s="7"/>
      <c r="P10" s="7"/>
      <c r="Q10" s="7"/>
      <c r="R10" s="7" t="s">
        <v>312</v>
      </c>
      <c r="S10" s="7" t="s">
        <v>313</v>
      </c>
      <c r="T10" s="7"/>
      <c r="U10" s="7"/>
      <c r="V10" s="7"/>
      <c r="W10" s="7"/>
      <c r="X10" s="7"/>
      <c r="Y10" s="11"/>
      <c r="Z10" s="12"/>
    </row>
    <row r="11" spans="2:29" s="1" customFormat="1" ht="51" x14ac:dyDescent="0.25">
      <c r="B11" s="70">
        <v>6</v>
      </c>
      <c r="C11" s="71" t="s">
        <v>314</v>
      </c>
      <c r="D11" s="71"/>
      <c r="E11" s="71" t="s">
        <v>315</v>
      </c>
      <c r="F11" s="71" t="s">
        <v>316</v>
      </c>
      <c r="G11" s="72">
        <v>1</v>
      </c>
      <c r="H11" s="71"/>
      <c r="I11" s="73">
        <v>53.6</v>
      </c>
      <c r="J11" s="7"/>
      <c r="K11" s="7"/>
      <c r="L11" s="7"/>
      <c r="M11" s="7"/>
      <c r="N11" s="7"/>
      <c r="O11" s="7"/>
      <c r="P11" s="7"/>
      <c r="Q11" s="7"/>
      <c r="R11" s="7"/>
      <c r="S11" s="7"/>
      <c r="T11" s="7"/>
      <c r="U11" s="7"/>
      <c r="V11" s="7"/>
      <c r="W11" s="7"/>
      <c r="X11" s="7"/>
      <c r="Y11" s="11"/>
      <c r="Z11" s="12"/>
    </row>
    <row r="12" spans="2:29" s="1" customFormat="1" ht="25.5" x14ac:dyDescent="0.25">
      <c r="B12" s="70">
        <v>7</v>
      </c>
      <c r="C12" s="71" t="s">
        <v>317</v>
      </c>
      <c r="D12" s="71"/>
      <c r="E12" s="71" t="s">
        <v>318</v>
      </c>
      <c r="F12" s="71" t="s">
        <v>30</v>
      </c>
      <c r="G12" s="72">
        <v>0</v>
      </c>
      <c r="H12" s="71"/>
      <c r="I12" s="73">
        <v>39.1</v>
      </c>
      <c r="J12" s="7"/>
      <c r="K12" s="7"/>
      <c r="L12" s="7"/>
      <c r="M12" s="7"/>
      <c r="N12" s="7"/>
      <c r="O12" s="7"/>
      <c r="P12" s="7"/>
      <c r="Q12" s="7"/>
      <c r="R12" s="7"/>
      <c r="S12" s="7"/>
      <c r="T12" s="7"/>
      <c r="U12" s="7"/>
      <c r="V12" s="7"/>
      <c r="W12" s="7"/>
      <c r="X12" s="7"/>
      <c r="Y12" s="11"/>
      <c r="Z12" s="12"/>
    </row>
    <row r="13" spans="2:29" s="1" customFormat="1" ht="11.45" customHeight="1" x14ac:dyDescent="0.25">
      <c r="B13" s="27"/>
      <c r="C13" s="28"/>
      <c r="D13" s="28"/>
      <c r="E13" s="28"/>
      <c r="F13" s="28"/>
      <c r="G13" s="28"/>
      <c r="H13" s="30"/>
      <c r="I13" s="30"/>
      <c r="J13" s="29" t="s">
        <v>319</v>
      </c>
      <c r="K13" s="29" t="s">
        <v>319</v>
      </c>
      <c r="L13" s="29" t="s">
        <v>319</v>
      </c>
      <c r="M13" s="29" t="s">
        <v>320</v>
      </c>
      <c r="N13" s="29"/>
      <c r="O13" s="29" t="s">
        <v>320</v>
      </c>
      <c r="P13" s="29" t="s">
        <v>320</v>
      </c>
      <c r="Q13" s="29" t="s">
        <v>320</v>
      </c>
      <c r="R13" s="29" t="s">
        <v>321</v>
      </c>
      <c r="S13" s="29" t="s">
        <v>320</v>
      </c>
      <c r="T13" s="29" t="s">
        <v>320</v>
      </c>
      <c r="U13" s="29"/>
      <c r="V13" s="29" t="s">
        <v>321</v>
      </c>
      <c r="W13" s="29" t="s">
        <v>321</v>
      </c>
      <c r="X13" s="29"/>
      <c r="Y13" s="31" t="s">
        <v>322</v>
      </c>
      <c r="Z13" s="32"/>
    </row>
    <row r="14" spans="2:29" s="1" customFormat="1" ht="10.15" customHeight="1" x14ac:dyDescent="0.25">
      <c r="B14" s="33"/>
      <c r="H14" s="35"/>
      <c r="I14" s="35"/>
      <c r="J14" s="34" t="s">
        <v>323</v>
      </c>
      <c r="K14" s="34" t="s">
        <v>324</v>
      </c>
      <c r="L14" s="34" t="s">
        <v>324</v>
      </c>
      <c r="M14" s="34" t="s">
        <v>323</v>
      </c>
      <c r="N14" s="34"/>
      <c r="O14" s="34" t="s">
        <v>323</v>
      </c>
      <c r="P14" s="34" t="s">
        <v>325</v>
      </c>
      <c r="Q14" s="34" t="s">
        <v>323</v>
      </c>
      <c r="R14" s="34"/>
      <c r="S14" s="34" t="s">
        <v>326</v>
      </c>
      <c r="T14" s="34" t="s">
        <v>327</v>
      </c>
      <c r="U14" s="34"/>
      <c r="V14" s="34" t="s">
        <v>328</v>
      </c>
      <c r="W14" s="34" t="s">
        <v>329</v>
      </c>
      <c r="X14" s="34" t="s">
        <v>330</v>
      </c>
      <c r="Y14" s="36"/>
      <c r="Z14" s="32"/>
      <c r="AB14" s="35"/>
      <c r="AC14" s="35"/>
    </row>
    <row r="15" spans="2:29" s="1" customFormat="1" ht="10.15" customHeight="1" x14ac:dyDescent="0.25">
      <c r="B15" s="33"/>
      <c r="H15" s="35"/>
      <c r="I15" s="35"/>
      <c r="J15" s="34"/>
      <c r="K15" s="34" t="s">
        <v>331</v>
      </c>
      <c r="L15" s="34" t="s">
        <v>332</v>
      </c>
      <c r="M15" s="34" t="s">
        <v>331</v>
      </c>
      <c r="N15" s="34" t="s">
        <v>331</v>
      </c>
      <c r="O15" s="34" t="s">
        <v>331</v>
      </c>
      <c r="P15" s="34" t="s">
        <v>331</v>
      </c>
      <c r="Q15" s="34" t="s">
        <v>333</v>
      </c>
      <c r="R15" s="34" t="s">
        <v>331</v>
      </c>
      <c r="S15" s="34" t="s">
        <v>334</v>
      </c>
      <c r="T15" s="34"/>
      <c r="U15" s="34"/>
      <c r="V15" s="34" t="s">
        <v>333</v>
      </c>
      <c r="W15" s="34"/>
      <c r="X15" s="34"/>
      <c r="Y15" s="36"/>
      <c r="Z15" s="32"/>
      <c r="AA15" s="35"/>
      <c r="AB15" s="35"/>
      <c r="AC15" s="35"/>
    </row>
    <row r="16" spans="2:29" s="1" customFormat="1" ht="10.15" customHeight="1" x14ac:dyDescent="0.25">
      <c r="B16" s="33"/>
      <c r="H16" s="35"/>
      <c r="I16" s="35"/>
      <c r="J16" s="34" t="s">
        <v>335</v>
      </c>
      <c r="K16" s="34" t="s">
        <v>324</v>
      </c>
      <c r="L16" s="34" t="s">
        <v>324</v>
      </c>
      <c r="M16" s="34" t="s">
        <v>323</v>
      </c>
      <c r="N16" s="34"/>
      <c r="O16" s="34" t="s">
        <v>323</v>
      </c>
      <c r="P16" s="34"/>
      <c r="Q16" s="34"/>
      <c r="R16" s="34" t="s">
        <v>336</v>
      </c>
      <c r="S16" s="34"/>
      <c r="T16" s="34" t="s">
        <v>327</v>
      </c>
      <c r="U16" s="34"/>
      <c r="V16" s="34"/>
      <c r="W16" s="34"/>
      <c r="X16" s="34" t="s">
        <v>337</v>
      </c>
      <c r="Y16" s="36" t="s">
        <v>338</v>
      </c>
      <c r="Z16" s="32"/>
      <c r="AA16" s="35"/>
      <c r="AB16" s="35"/>
      <c r="AC16" s="35"/>
    </row>
    <row r="17" spans="2:29" s="1" customFormat="1" ht="10.15" customHeight="1" x14ac:dyDescent="0.25">
      <c r="B17" s="33"/>
      <c r="H17" s="35"/>
      <c r="I17" s="35"/>
      <c r="J17" s="34" t="s">
        <v>319</v>
      </c>
      <c r="K17" s="34" t="s">
        <v>319</v>
      </c>
      <c r="L17" s="34" t="s">
        <v>319</v>
      </c>
      <c r="M17" s="34" t="s">
        <v>320</v>
      </c>
      <c r="N17" s="34"/>
      <c r="O17" s="34" t="s">
        <v>320</v>
      </c>
      <c r="P17" s="34" t="s">
        <v>320</v>
      </c>
      <c r="Q17" s="34" t="s">
        <v>320</v>
      </c>
      <c r="R17" s="34"/>
      <c r="S17" s="34"/>
      <c r="T17" s="34" t="s">
        <v>320</v>
      </c>
      <c r="U17" s="34"/>
      <c r="V17" s="34" t="s">
        <v>339</v>
      </c>
      <c r="W17" s="34" t="s">
        <v>339</v>
      </c>
      <c r="X17" s="34" t="s">
        <v>340</v>
      </c>
      <c r="Y17" s="36"/>
      <c r="Z17" s="32"/>
      <c r="AA17" s="35"/>
      <c r="AB17" s="35"/>
      <c r="AC17" s="35"/>
    </row>
    <row r="18" spans="2:29" s="1" customFormat="1" ht="10.15" customHeight="1" x14ac:dyDescent="0.25">
      <c r="B18" s="33"/>
      <c r="H18" s="35"/>
      <c r="I18" s="35"/>
      <c r="J18" s="34"/>
      <c r="K18" s="34"/>
      <c r="L18" s="34"/>
      <c r="M18" s="34"/>
      <c r="N18" s="34"/>
      <c r="O18" s="34"/>
      <c r="P18" s="34"/>
      <c r="Q18" s="34"/>
      <c r="R18" s="34"/>
      <c r="S18" s="34"/>
      <c r="T18" s="34"/>
      <c r="U18" s="34"/>
      <c r="V18" s="34"/>
      <c r="W18" s="34"/>
      <c r="X18" s="34"/>
      <c r="Y18" s="36"/>
      <c r="Z18" s="32"/>
      <c r="AA18" s="35"/>
      <c r="AB18" s="35"/>
      <c r="AC18" s="35"/>
    </row>
    <row r="19" spans="2:29" s="1" customFormat="1" ht="10.15" customHeight="1" x14ac:dyDescent="0.25">
      <c r="B19" s="33"/>
      <c r="H19" s="35"/>
      <c r="I19" s="35"/>
      <c r="J19" s="34"/>
      <c r="K19" s="34"/>
      <c r="L19" s="34"/>
      <c r="M19" s="34"/>
      <c r="N19" s="34"/>
      <c r="O19" s="34"/>
      <c r="P19" s="34"/>
      <c r="Q19" s="34"/>
      <c r="R19" s="34"/>
      <c r="S19" s="34"/>
      <c r="T19" s="34"/>
      <c r="U19" s="34"/>
      <c r="V19" s="34"/>
      <c r="W19" s="34"/>
      <c r="X19" s="34"/>
      <c r="Y19" s="36"/>
      <c r="Z19" s="32"/>
      <c r="AA19" s="35"/>
      <c r="AB19" s="35"/>
      <c r="AC19" s="35"/>
    </row>
    <row r="20" spans="2:29" s="1" customFormat="1" ht="10.15" customHeight="1" x14ac:dyDescent="0.25">
      <c r="B20" s="33"/>
      <c r="H20" s="35"/>
      <c r="I20" s="35"/>
      <c r="J20" s="34"/>
      <c r="K20" s="34" t="s">
        <v>324</v>
      </c>
      <c r="L20" s="34" t="s">
        <v>324</v>
      </c>
      <c r="M20" s="34"/>
      <c r="N20" s="34"/>
      <c r="O20" s="34"/>
      <c r="P20" s="34"/>
      <c r="Q20" s="34"/>
      <c r="R20" s="34" t="s">
        <v>333</v>
      </c>
      <c r="S20" s="34" t="s">
        <v>333</v>
      </c>
      <c r="T20" s="34"/>
      <c r="U20" s="34"/>
      <c r="V20" s="34"/>
      <c r="W20" s="34"/>
      <c r="X20" s="34"/>
      <c r="Y20" s="36"/>
      <c r="Z20" s="32"/>
      <c r="AA20" s="35"/>
      <c r="AB20" s="35"/>
      <c r="AC20" s="35"/>
    </row>
    <row r="21" spans="2:29" s="1" customFormat="1" ht="10.15" customHeight="1" x14ac:dyDescent="0.25">
      <c r="B21" s="33"/>
      <c r="H21" s="35"/>
      <c r="I21" s="35"/>
      <c r="J21" s="34"/>
      <c r="K21" s="34"/>
      <c r="L21" s="34"/>
      <c r="M21" s="34"/>
      <c r="N21" s="34"/>
      <c r="O21" s="34"/>
      <c r="P21" s="34"/>
      <c r="Q21" s="34"/>
      <c r="R21" s="34"/>
      <c r="S21" s="34"/>
      <c r="T21" s="34"/>
      <c r="U21" s="34"/>
      <c r="V21" s="34"/>
      <c r="W21" s="34"/>
      <c r="X21" s="34"/>
      <c r="Y21" s="36"/>
      <c r="Z21" s="32"/>
      <c r="AA21" s="35"/>
      <c r="AB21" s="35"/>
      <c r="AC21" s="35"/>
    </row>
    <row r="22" spans="2:29" s="1" customFormat="1" ht="10.15" customHeight="1" x14ac:dyDescent="0.25">
      <c r="B22" s="39"/>
      <c r="C22" s="40"/>
      <c r="D22" s="40"/>
      <c r="E22" s="40"/>
      <c r="F22" s="40"/>
      <c r="G22" s="40"/>
      <c r="H22" s="41"/>
      <c r="I22" s="41"/>
      <c r="J22" s="41"/>
      <c r="K22" s="41"/>
      <c r="L22" s="41"/>
      <c r="M22" s="41"/>
      <c r="N22" s="41"/>
      <c r="O22" s="41"/>
      <c r="P22" s="41"/>
      <c r="Q22" s="41"/>
      <c r="R22" s="41"/>
      <c r="S22" s="41"/>
      <c r="T22" s="41"/>
      <c r="U22" s="41"/>
      <c r="V22" s="41"/>
      <c r="W22" s="41"/>
      <c r="X22" s="41"/>
      <c r="Y22" s="42"/>
      <c r="Z22" s="35"/>
      <c r="AA22" s="35"/>
      <c r="AB22" s="35"/>
      <c r="AC22" s="35"/>
    </row>
    <row r="23" spans="2:29" s="1" customFormat="1" ht="17.45" customHeight="1" x14ac:dyDescent="0.25">
      <c r="B23" s="43" t="s">
        <v>244</v>
      </c>
      <c r="C23" s="44"/>
      <c r="D23" s="44"/>
      <c r="E23" s="44"/>
      <c r="F23" s="44"/>
      <c r="G23" s="46"/>
      <c r="H23" s="257" t="s">
        <v>22</v>
      </c>
      <c r="I23" s="258"/>
      <c r="J23" s="258"/>
      <c r="K23" s="258"/>
      <c r="L23" s="259"/>
      <c r="N23" s="48"/>
      <c r="O23" s="48"/>
      <c r="P23" s="49"/>
      <c r="Q23" s="49"/>
      <c r="R23" s="49"/>
      <c r="S23" s="49"/>
      <c r="T23" s="49"/>
      <c r="U23" s="49"/>
      <c r="V23" s="49"/>
      <c r="W23" s="49"/>
      <c r="X23" s="49"/>
      <c r="Y23" s="35"/>
      <c r="Z23" s="35"/>
      <c r="AA23" s="35"/>
      <c r="AB23" s="35"/>
      <c r="AC23" s="35"/>
    </row>
    <row r="24" spans="2:29" s="1" customFormat="1" x14ac:dyDescent="0.25">
      <c r="B24" s="50" t="s">
        <v>245</v>
      </c>
      <c r="C24" s="51">
        <f>+SUM(G5:G10)</f>
        <v>55427</v>
      </c>
      <c r="D24" s="50" t="s">
        <v>246</v>
      </c>
      <c r="E24" s="55"/>
      <c r="F24" s="55"/>
      <c r="G24" s="56">
        <v>6.4063310875864407E-2</v>
      </c>
      <c r="H24" s="50" t="s">
        <v>247</v>
      </c>
      <c r="I24" s="57"/>
      <c r="J24" s="58">
        <f>+SUM(I5:I10)</f>
        <v>1919.4839999999997</v>
      </c>
      <c r="K24" s="50" t="s">
        <v>246</v>
      </c>
      <c r="L24" s="59">
        <v>0.81917906434844945</v>
      </c>
      <c r="N24" s="60"/>
      <c r="O24" s="60"/>
      <c r="P24" s="60"/>
      <c r="Q24" s="60"/>
      <c r="R24" s="61"/>
      <c r="S24" s="60"/>
      <c r="T24" s="60"/>
      <c r="V24" s="61"/>
      <c r="W24" s="61"/>
      <c r="X24" s="61"/>
    </row>
    <row r="25" spans="2:29" s="1" customFormat="1" x14ac:dyDescent="0.25">
      <c r="B25" s="62" t="s">
        <v>245</v>
      </c>
      <c r="C25" s="74">
        <f>+G5+G6+G12</f>
        <v>15856</v>
      </c>
      <c r="D25" s="62" t="s">
        <v>248</v>
      </c>
      <c r="E25" s="64"/>
      <c r="F25" s="64"/>
      <c r="G25" s="65">
        <v>3.3777925478091005E-2</v>
      </c>
      <c r="H25" s="62" t="s">
        <v>249</v>
      </c>
      <c r="I25" s="66"/>
      <c r="J25" s="67">
        <f>+I5+I6+I12</f>
        <v>1099.7199999999998</v>
      </c>
      <c r="K25" s="62" t="s">
        <v>248</v>
      </c>
      <c r="L25" s="68">
        <v>0.9155178155178153</v>
      </c>
      <c r="N25" s="60"/>
      <c r="O25" s="60"/>
      <c r="P25" s="60"/>
      <c r="Q25" s="60"/>
      <c r="R25" s="61"/>
      <c r="V25" s="61"/>
      <c r="W25" s="61"/>
      <c r="X25" s="61"/>
    </row>
    <row r="26" spans="2:29" s="1" customFormat="1" x14ac:dyDescent="0.25">
      <c r="B26" s="1" t="s">
        <v>250</v>
      </c>
    </row>
    <row r="27" spans="2:29" s="1" customFormat="1" x14ac:dyDescent="0.25"/>
  </sheetData>
  <mergeCells count="1">
    <mergeCell ref="H23:L23"/>
  </mergeCells>
  <conditionalFormatting sqref="J5:Z12">
    <cfRule type="containsBlanks" dxfId="45" priority="1">
      <formula>LEN(TRIM(J5))=0</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534C3-21DA-4236-BA92-E2A3AE38A22E}">
  <sheetPr>
    <pageSetUpPr autoPageBreaks="0"/>
  </sheetPr>
  <dimension ref="A2:AG31"/>
  <sheetViews>
    <sheetView zoomScale="55" zoomScaleNormal="55" workbookViewId="0">
      <selection activeCell="K29" sqref="K29:K30"/>
    </sheetView>
  </sheetViews>
  <sheetFormatPr baseColWidth="10" defaultColWidth="11.42578125" defaultRowHeight="15" x14ac:dyDescent="0.25"/>
  <cols>
    <col min="1" max="1" width="3.28515625" style="1" customWidth="1"/>
    <col min="2" max="2" width="14.140625" style="1" customWidth="1"/>
    <col min="3" max="4" width="12.42578125" style="1" customWidth="1"/>
    <col min="5" max="5" width="11.42578125" style="1"/>
    <col min="6" max="6" width="24.140625" style="1" customWidth="1"/>
    <col min="7" max="7" width="12.28515625" style="1" customWidth="1"/>
    <col min="8" max="8" width="16.5703125" style="1" customWidth="1"/>
    <col min="9" max="9" width="11.42578125" style="1"/>
    <col min="10" max="10" width="15.5703125" style="1" customWidth="1"/>
    <col min="11" max="11" width="28.7109375" style="1" customWidth="1"/>
    <col min="12" max="12" width="43.140625" style="1" customWidth="1"/>
    <col min="13" max="13" width="34" style="1" customWidth="1"/>
    <col min="14" max="14" width="34.85546875" style="1" customWidth="1"/>
    <col min="15" max="15" width="18.5703125" style="1" customWidth="1"/>
    <col min="16" max="16" width="27.5703125" style="1" customWidth="1"/>
    <col min="17" max="17" width="25.85546875" style="1" customWidth="1"/>
    <col min="18" max="18" width="40.28515625" style="1" customWidth="1"/>
    <col min="19" max="19" width="22.28515625" style="1" customWidth="1"/>
    <col min="20" max="20" width="34.85546875" style="1" customWidth="1"/>
    <col min="21" max="21" width="32.28515625" style="1" customWidth="1"/>
    <col min="22" max="22" width="27.85546875" style="1" customWidth="1"/>
    <col min="23" max="23" width="33.140625" style="1" customWidth="1"/>
    <col min="24" max="24" width="28.28515625" style="1" customWidth="1"/>
    <col min="25" max="25" width="89.85546875" style="1" customWidth="1"/>
    <col min="26" max="27" width="11.42578125" style="1"/>
    <col min="28" max="28" width="6.7109375" style="1" customWidth="1"/>
    <col min="29" max="33" width="11.42578125" style="1"/>
  </cols>
  <sheetData>
    <row r="2" spans="2:25" s="1" customFormat="1" x14ac:dyDescent="0.25">
      <c r="B2" s="1" t="s">
        <v>0</v>
      </c>
    </row>
    <row r="3" spans="2:25" s="1" customFormat="1" x14ac:dyDescent="0.25">
      <c r="M3" s="1" t="s">
        <v>1</v>
      </c>
    </row>
    <row r="4" spans="2:25" s="1" customFormat="1" ht="25.15" customHeight="1" x14ac:dyDescent="0.25">
      <c r="B4" s="2" t="s">
        <v>2</v>
      </c>
      <c r="C4" s="3" t="s">
        <v>3</v>
      </c>
      <c r="D4" s="3" t="s">
        <v>4</v>
      </c>
      <c r="E4" s="3" t="s">
        <v>5</v>
      </c>
      <c r="F4" s="3" t="s">
        <v>6</v>
      </c>
      <c r="G4" s="3" t="s">
        <v>7</v>
      </c>
      <c r="H4" s="3" t="s">
        <v>8</v>
      </c>
      <c r="I4" s="3" t="s">
        <v>9</v>
      </c>
      <c r="J4" s="3" t="s">
        <v>10</v>
      </c>
      <c r="K4" s="3" t="s">
        <v>11</v>
      </c>
      <c r="L4" s="3" t="s">
        <v>12</v>
      </c>
      <c r="M4" s="3" t="s">
        <v>13</v>
      </c>
      <c r="N4" s="3" t="s">
        <v>14</v>
      </c>
      <c r="O4" s="3" t="s">
        <v>15</v>
      </c>
      <c r="P4" s="3" t="s">
        <v>16</v>
      </c>
      <c r="Q4" s="3" t="s">
        <v>17</v>
      </c>
      <c r="R4" s="3" t="s">
        <v>18</v>
      </c>
      <c r="S4" s="3" t="s">
        <v>19</v>
      </c>
      <c r="T4" s="3" t="s">
        <v>20</v>
      </c>
      <c r="U4" s="3" t="s">
        <v>21</v>
      </c>
      <c r="V4" s="3" t="s">
        <v>22</v>
      </c>
      <c r="W4" s="3" t="s">
        <v>23</v>
      </c>
      <c r="X4" s="4" t="s">
        <v>24</v>
      </c>
      <c r="Y4" s="5" t="s">
        <v>25</v>
      </c>
    </row>
    <row r="5" spans="2:25" s="1" customFormat="1" ht="25.5" x14ac:dyDescent="0.25">
      <c r="B5" s="6">
        <v>1</v>
      </c>
      <c r="C5" s="7" t="s">
        <v>26</v>
      </c>
      <c r="D5" s="7" t="s">
        <v>27</v>
      </c>
      <c r="E5" s="7" t="s">
        <v>28</v>
      </c>
      <c r="F5" s="7" t="s">
        <v>29</v>
      </c>
      <c r="G5" s="7" t="s">
        <v>30</v>
      </c>
      <c r="H5" s="8">
        <v>119468</v>
      </c>
      <c r="I5" s="7" t="s">
        <v>31</v>
      </c>
      <c r="J5" s="9">
        <v>0</v>
      </c>
      <c r="K5" s="7" t="s">
        <v>32</v>
      </c>
      <c r="L5" s="7" t="s">
        <v>33</v>
      </c>
      <c r="M5" s="7" t="s">
        <v>34</v>
      </c>
      <c r="N5" s="7" t="s">
        <v>35</v>
      </c>
      <c r="O5" s="7" t="s">
        <v>36</v>
      </c>
      <c r="P5" s="10" t="s">
        <v>37</v>
      </c>
      <c r="Q5" s="7" t="s">
        <v>38</v>
      </c>
      <c r="R5" s="7" t="s">
        <v>39</v>
      </c>
      <c r="S5" s="7" t="s">
        <v>40</v>
      </c>
      <c r="T5" s="7" t="s">
        <v>41</v>
      </c>
      <c r="U5" s="7" t="s">
        <v>42</v>
      </c>
      <c r="V5" s="7" t="s">
        <v>43</v>
      </c>
      <c r="W5" s="7" t="s">
        <v>31</v>
      </c>
      <c r="X5" s="11" t="s">
        <v>31</v>
      </c>
      <c r="Y5" s="12" t="s">
        <v>44</v>
      </c>
    </row>
    <row r="6" spans="2:25" s="1" customFormat="1" ht="25.5" x14ac:dyDescent="0.25">
      <c r="B6" s="6">
        <v>2</v>
      </c>
      <c r="C6" s="7" t="s">
        <v>26</v>
      </c>
      <c r="D6" s="7" t="s">
        <v>45</v>
      </c>
      <c r="E6" s="7" t="s">
        <v>28</v>
      </c>
      <c r="F6" s="7" t="s">
        <v>46</v>
      </c>
      <c r="G6" s="7" t="s">
        <v>30</v>
      </c>
      <c r="H6" s="8">
        <f>70863+311+42175+463</f>
        <v>113812</v>
      </c>
      <c r="I6" s="7" t="s">
        <v>31</v>
      </c>
      <c r="J6" s="9">
        <v>0</v>
      </c>
      <c r="K6" s="7">
        <v>13.7</v>
      </c>
      <c r="L6" s="7" t="s">
        <v>47</v>
      </c>
      <c r="M6" s="7" t="s">
        <v>48</v>
      </c>
      <c r="N6" s="7" t="s">
        <v>49</v>
      </c>
      <c r="O6" s="7" t="s">
        <v>50</v>
      </c>
      <c r="P6" s="7" t="s">
        <v>51</v>
      </c>
      <c r="Q6" s="7" t="s">
        <v>52</v>
      </c>
      <c r="R6" s="7" t="s">
        <v>53</v>
      </c>
      <c r="S6" s="7" t="s">
        <v>54</v>
      </c>
      <c r="T6" s="7" t="s">
        <v>55</v>
      </c>
      <c r="U6" s="7" t="s">
        <v>56</v>
      </c>
      <c r="V6" s="7" t="s">
        <v>31</v>
      </c>
      <c r="W6" s="7" t="s">
        <v>57</v>
      </c>
      <c r="X6" s="11" t="s">
        <v>58</v>
      </c>
      <c r="Y6" s="12" t="s">
        <v>59</v>
      </c>
    </row>
    <row r="7" spans="2:25" s="1" customFormat="1" ht="38.25" x14ac:dyDescent="0.25">
      <c r="B7" s="6">
        <v>3</v>
      </c>
      <c r="C7" s="7" t="s">
        <v>26</v>
      </c>
      <c r="D7" s="7" t="s">
        <v>60</v>
      </c>
      <c r="E7" s="7" t="s">
        <v>28</v>
      </c>
      <c r="F7" s="7" t="s">
        <v>61</v>
      </c>
      <c r="G7" s="7" t="s">
        <v>30</v>
      </c>
      <c r="H7" s="8">
        <f>48029+1218+17954+419</f>
        <v>67620</v>
      </c>
      <c r="I7" s="7">
        <v>0</v>
      </c>
      <c r="J7" s="9">
        <v>8</v>
      </c>
      <c r="K7" s="7" t="s">
        <v>62</v>
      </c>
      <c r="L7" s="7" t="s">
        <v>63</v>
      </c>
      <c r="M7" s="7" t="s">
        <v>64</v>
      </c>
      <c r="N7" s="7" t="s">
        <v>65</v>
      </c>
      <c r="O7" s="7" t="s">
        <v>66</v>
      </c>
      <c r="P7" s="7" t="s">
        <v>67</v>
      </c>
      <c r="Q7" s="7" t="s">
        <v>68</v>
      </c>
      <c r="R7" s="13" t="s">
        <v>69</v>
      </c>
      <c r="S7" s="7" t="s">
        <v>70</v>
      </c>
      <c r="T7" s="7" t="s">
        <v>71</v>
      </c>
      <c r="U7" s="7" t="s">
        <v>72</v>
      </c>
      <c r="V7" s="7" t="s">
        <v>73</v>
      </c>
      <c r="W7" s="7" t="s">
        <v>74</v>
      </c>
      <c r="X7" s="11" t="s">
        <v>75</v>
      </c>
      <c r="Y7" s="12" t="s">
        <v>76</v>
      </c>
    </row>
    <row r="8" spans="2:25" s="1" customFormat="1" ht="38.25" x14ac:dyDescent="0.25">
      <c r="B8" s="6">
        <v>4</v>
      </c>
      <c r="C8" s="7" t="s">
        <v>77</v>
      </c>
      <c r="D8" s="7" t="s">
        <v>78</v>
      </c>
      <c r="E8" s="7" t="s">
        <v>79</v>
      </c>
      <c r="F8" s="7" t="s">
        <v>80</v>
      </c>
      <c r="G8" s="7" t="s">
        <v>30</v>
      </c>
      <c r="H8" s="8">
        <f>31772+13429</f>
        <v>45201</v>
      </c>
      <c r="I8" s="7">
        <v>3.6509999999999998</v>
      </c>
      <c r="J8" s="9">
        <v>6.44</v>
      </c>
      <c r="K8" s="7" t="s">
        <v>81</v>
      </c>
      <c r="L8" s="7" t="s">
        <v>82</v>
      </c>
      <c r="M8" s="7" t="s">
        <v>83</v>
      </c>
      <c r="N8" s="7" t="s">
        <v>84</v>
      </c>
      <c r="O8" s="7" t="s">
        <v>85</v>
      </c>
      <c r="P8" s="7" t="s">
        <v>86</v>
      </c>
      <c r="Q8" s="7" t="s">
        <v>87</v>
      </c>
      <c r="R8" s="7" t="s">
        <v>88</v>
      </c>
      <c r="S8" s="7"/>
      <c r="T8" s="7" t="s">
        <v>89</v>
      </c>
      <c r="U8" s="7" t="s">
        <v>90</v>
      </c>
      <c r="V8" s="7" t="s">
        <v>91</v>
      </c>
      <c r="W8" s="7" t="s">
        <v>92</v>
      </c>
      <c r="X8" s="11" t="s">
        <v>31</v>
      </c>
      <c r="Y8" s="12" t="s">
        <v>93</v>
      </c>
    </row>
    <row r="9" spans="2:25" s="1" customFormat="1" ht="25.5" x14ac:dyDescent="0.25">
      <c r="B9" s="6">
        <v>5</v>
      </c>
      <c r="C9" s="7" t="s">
        <v>26</v>
      </c>
      <c r="D9" s="7" t="s">
        <v>27</v>
      </c>
      <c r="E9" s="7" t="s">
        <v>28</v>
      </c>
      <c r="F9" s="7" t="s">
        <v>94</v>
      </c>
      <c r="G9" s="7" t="s">
        <v>95</v>
      </c>
      <c r="H9" s="8">
        <v>43882</v>
      </c>
      <c r="I9" s="7"/>
      <c r="J9" s="9">
        <v>0</v>
      </c>
      <c r="K9" s="7" t="s">
        <v>96</v>
      </c>
      <c r="L9" s="14" t="s">
        <v>97</v>
      </c>
      <c r="M9" s="7" t="s">
        <v>98</v>
      </c>
      <c r="N9" s="7" t="s">
        <v>35</v>
      </c>
      <c r="O9" s="7" t="s">
        <v>99</v>
      </c>
      <c r="P9" s="7" t="s">
        <v>100</v>
      </c>
      <c r="Q9" s="7" t="s">
        <v>101</v>
      </c>
      <c r="R9" s="7" t="s">
        <v>102</v>
      </c>
      <c r="S9" s="7" t="s">
        <v>40</v>
      </c>
      <c r="T9" s="7" t="s">
        <v>103</v>
      </c>
      <c r="U9" s="7" t="s">
        <v>104</v>
      </c>
      <c r="V9" s="7" t="s">
        <v>105</v>
      </c>
      <c r="W9" s="7" t="s">
        <v>31</v>
      </c>
      <c r="X9" s="11" t="s">
        <v>106</v>
      </c>
      <c r="Y9" s="12" t="s">
        <v>107</v>
      </c>
    </row>
    <row r="10" spans="2:25" s="1" customFormat="1" ht="38.25" x14ac:dyDescent="0.25">
      <c r="B10" s="6">
        <v>7</v>
      </c>
      <c r="C10" s="7" t="s">
        <v>108</v>
      </c>
      <c r="D10" s="7" t="s">
        <v>108</v>
      </c>
      <c r="E10" s="7" t="s">
        <v>109</v>
      </c>
      <c r="F10" s="7" t="s">
        <v>110</v>
      </c>
      <c r="G10" s="7" t="s">
        <v>111</v>
      </c>
      <c r="H10" s="8">
        <f>21083+52</f>
        <v>21135</v>
      </c>
      <c r="I10" s="7">
        <v>0</v>
      </c>
      <c r="J10" s="9">
        <v>1.21</v>
      </c>
      <c r="K10" s="7">
        <v>29</v>
      </c>
      <c r="L10" s="7">
        <v>4</v>
      </c>
      <c r="M10" s="7" t="s">
        <v>112</v>
      </c>
      <c r="N10" s="7" t="s">
        <v>113</v>
      </c>
      <c r="O10" s="7">
        <v>24</v>
      </c>
      <c r="P10" s="7" t="s">
        <v>114</v>
      </c>
      <c r="Q10" s="7" t="s">
        <v>115</v>
      </c>
      <c r="R10" s="7" t="s">
        <v>116</v>
      </c>
      <c r="S10" s="7" t="s">
        <v>117</v>
      </c>
      <c r="T10" s="7" t="s">
        <v>118</v>
      </c>
      <c r="U10" s="15" t="s">
        <v>119</v>
      </c>
      <c r="V10" s="7" t="s">
        <v>120</v>
      </c>
      <c r="W10" s="7" t="s">
        <v>121</v>
      </c>
      <c r="X10" s="11" t="s">
        <v>31</v>
      </c>
      <c r="Y10" s="12" t="s">
        <v>122</v>
      </c>
    </row>
    <row r="11" spans="2:25" s="1" customFormat="1" ht="38.25" x14ac:dyDescent="0.25">
      <c r="B11" s="6">
        <v>9</v>
      </c>
      <c r="C11" s="7" t="s">
        <v>123</v>
      </c>
      <c r="D11" s="7" t="s">
        <v>124</v>
      </c>
      <c r="E11" s="7" t="s">
        <v>79</v>
      </c>
      <c r="F11" s="7" t="s">
        <v>125</v>
      </c>
      <c r="G11" s="7" t="s">
        <v>30</v>
      </c>
      <c r="H11" s="8">
        <f>10126+4661</f>
        <v>14787</v>
      </c>
      <c r="I11" s="7">
        <v>1.68</v>
      </c>
      <c r="J11" s="9">
        <v>4.13</v>
      </c>
      <c r="K11" s="7">
        <v>21</v>
      </c>
      <c r="L11" s="7" t="s">
        <v>126</v>
      </c>
      <c r="M11" s="7" t="s">
        <v>127</v>
      </c>
      <c r="N11" s="7" t="s">
        <v>128</v>
      </c>
      <c r="O11" s="7" t="s">
        <v>129</v>
      </c>
      <c r="P11" s="7" t="s">
        <v>130</v>
      </c>
      <c r="Q11" s="7" t="s">
        <v>131</v>
      </c>
      <c r="R11" s="7" t="s">
        <v>132</v>
      </c>
      <c r="S11" s="7" t="s">
        <v>133</v>
      </c>
      <c r="T11" s="7" t="s">
        <v>55</v>
      </c>
      <c r="U11" s="7" t="s">
        <v>134</v>
      </c>
      <c r="V11" s="7"/>
      <c r="W11" s="7" t="s">
        <v>135</v>
      </c>
      <c r="X11" s="11" t="s">
        <v>136</v>
      </c>
      <c r="Y11" s="12" t="s">
        <v>137</v>
      </c>
    </row>
    <row r="12" spans="2:25" s="1" customFormat="1" ht="51" x14ac:dyDescent="0.25">
      <c r="B12" s="6">
        <v>10</v>
      </c>
      <c r="C12" s="7" t="s">
        <v>138</v>
      </c>
      <c r="D12" s="7" t="s">
        <v>139</v>
      </c>
      <c r="E12" s="7" t="s">
        <v>79</v>
      </c>
      <c r="F12" s="14" t="s">
        <v>140</v>
      </c>
      <c r="G12" s="7" t="s">
        <v>30</v>
      </c>
      <c r="H12" s="8">
        <f>10799+2063</f>
        <v>12862</v>
      </c>
      <c r="I12" s="7">
        <v>0</v>
      </c>
      <c r="J12" s="9">
        <v>1.48</v>
      </c>
      <c r="K12" s="7">
        <v>21</v>
      </c>
      <c r="L12" s="7">
        <v>39</v>
      </c>
      <c r="M12" s="7" t="s">
        <v>141</v>
      </c>
      <c r="N12" s="7" t="s">
        <v>142</v>
      </c>
      <c r="O12" s="7">
        <v>0.2</v>
      </c>
      <c r="P12" s="7" t="s">
        <v>143</v>
      </c>
      <c r="Q12" s="7" t="s">
        <v>144</v>
      </c>
      <c r="R12" s="16" t="s">
        <v>145</v>
      </c>
      <c r="S12" s="7" t="s">
        <v>146</v>
      </c>
      <c r="T12" s="7" t="s">
        <v>147</v>
      </c>
      <c r="U12" s="7" t="s">
        <v>148</v>
      </c>
      <c r="V12" s="7"/>
      <c r="W12" s="7" t="s">
        <v>149</v>
      </c>
      <c r="X12" s="11" t="s">
        <v>136</v>
      </c>
      <c r="Y12" s="12" t="s">
        <v>150</v>
      </c>
    </row>
    <row r="13" spans="2:25" s="1" customFormat="1" ht="38.25" x14ac:dyDescent="0.25">
      <c r="B13" s="17">
        <v>11</v>
      </c>
      <c r="C13" s="18" t="s">
        <v>151</v>
      </c>
      <c r="D13" s="18" t="s">
        <v>152</v>
      </c>
      <c r="E13" s="18" t="s">
        <v>79</v>
      </c>
      <c r="F13" s="18" t="s">
        <v>153</v>
      </c>
      <c r="G13" s="18" t="s">
        <v>154</v>
      </c>
      <c r="H13" s="19">
        <v>11114</v>
      </c>
      <c r="I13" s="18">
        <v>0</v>
      </c>
      <c r="J13" s="20">
        <v>0.9</v>
      </c>
      <c r="K13" s="18">
        <v>13</v>
      </c>
      <c r="L13" s="18" t="s">
        <v>155</v>
      </c>
      <c r="M13" s="18" t="s">
        <v>156</v>
      </c>
      <c r="N13" s="18" t="s">
        <v>157</v>
      </c>
      <c r="O13" s="18" t="s">
        <v>158</v>
      </c>
      <c r="P13" s="18" t="s">
        <v>159</v>
      </c>
      <c r="Q13" s="18" t="s">
        <v>160</v>
      </c>
      <c r="R13" s="18" t="s">
        <v>161</v>
      </c>
      <c r="S13" s="18" t="s">
        <v>162</v>
      </c>
      <c r="T13" s="18" t="s">
        <v>163</v>
      </c>
      <c r="U13" s="18" t="s">
        <v>31</v>
      </c>
      <c r="V13" s="18" t="s">
        <v>31</v>
      </c>
      <c r="W13" s="18" t="s">
        <v>31</v>
      </c>
      <c r="X13" s="21" t="s">
        <v>164</v>
      </c>
      <c r="Y13" s="22" t="s">
        <v>165</v>
      </c>
    </row>
    <row r="14" spans="2:25" s="1" customFormat="1" ht="25.5" x14ac:dyDescent="0.25">
      <c r="B14" s="23">
        <v>6</v>
      </c>
      <c r="C14" s="24" t="s">
        <v>166</v>
      </c>
      <c r="D14" s="24"/>
      <c r="E14" s="24" t="s">
        <v>28</v>
      </c>
      <c r="F14" s="24" t="s">
        <v>167</v>
      </c>
      <c r="G14" s="24" t="s">
        <v>168</v>
      </c>
      <c r="H14" s="25">
        <f>20741+20082</f>
        <v>40823</v>
      </c>
      <c r="I14" s="24">
        <v>0</v>
      </c>
      <c r="J14" s="24">
        <v>0</v>
      </c>
      <c r="K14" s="24" t="s">
        <v>169</v>
      </c>
      <c r="L14" s="24"/>
      <c r="M14" s="24" t="s">
        <v>170</v>
      </c>
      <c r="N14" s="24"/>
      <c r="O14" s="24"/>
      <c r="P14" s="24"/>
      <c r="Q14" s="24"/>
      <c r="R14" s="24"/>
      <c r="S14" s="24"/>
      <c r="T14" s="24"/>
      <c r="U14" s="24"/>
      <c r="V14" s="24"/>
      <c r="W14" s="24"/>
      <c r="X14" s="26"/>
      <c r="Y14" s="12" t="s">
        <v>31</v>
      </c>
    </row>
    <row r="15" spans="2:25" s="1" customFormat="1" x14ac:dyDescent="0.25">
      <c r="B15" s="23">
        <v>8</v>
      </c>
      <c r="C15" s="24" t="s">
        <v>171</v>
      </c>
      <c r="D15" s="24"/>
      <c r="E15" s="24" t="s">
        <v>79</v>
      </c>
      <c r="F15" s="24" t="s">
        <v>172</v>
      </c>
      <c r="G15" s="24" t="s">
        <v>173</v>
      </c>
      <c r="H15" s="25">
        <f>18735+4</f>
        <v>18739</v>
      </c>
      <c r="I15" s="24">
        <v>0</v>
      </c>
      <c r="J15" s="24">
        <v>4.4800000000000004</v>
      </c>
      <c r="K15" s="24">
        <v>16.600000000000001</v>
      </c>
      <c r="L15" s="24" t="s">
        <v>174</v>
      </c>
      <c r="M15" s="24" t="s">
        <v>175</v>
      </c>
      <c r="N15" s="24" t="s">
        <v>176</v>
      </c>
      <c r="O15" s="24" t="s">
        <v>177</v>
      </c>
      <c r="P15" s="24" t="s">
        <v>178</v>
      </c>
      <c r="Q15" s="24"/>
      <c r="R15" s="24"/>
      <c r="S15" s="24"/>
      <c r="T15" s="24" t="s">
        <v>55</v>
      </c>
      <c r="U15" s="24"/>
      <c r="V15" s="24"/>
      <c r="W15" s="24" t="s">
        <v>179</v>
      </c>
      <c r="X15" s="26" t="s">
        <v>31</v>
      </c>
      <c r="Y15" s="12" t="s">
        <v>180</v>
      </c>
    </row>
    <row r="16" spans="2:25" s="1" customFormat="1" ht="11.45" customHeight="1" x14ac:dyDescent="0.25">
      <c r="B16" s="27" t="s">
        <v>181</v>
      </c>
      <c r="C16" s="28"/>
      <c r="D16" s="28"/>
      <c r="E16" s="29"/>
      <c r="F16" s="28"/>
      <c r="G16" s="28"/>
      <c r="H16" s="28"/>
      <c r="I16" s="30"/>
      <c r="J16" s="30"/>
      <c r="K16" s="29" t="s">
        <v>182</v>
      </c>
      <c r="L16" s="29" t="s">
        <v>182</v>
      </c>
      <c r="M16" s="29" t="s">
        <v>183</v>
      </c>
      <c r="N16" s="29" t="s">
        <v>182</v>
      </c>
      <c r="O16" s="29" t="s">
        <v>184</v>
      </c>
      <c r="P16" s="29" t="s">
        <v>184</v>
      </c>
      <c r="Q16" s="29" t="s">
        <v>182</v>
      </c>
      <c r="R16" s="29" t="s">
        <v>182</v>
      </c>
      <c r="S16" s="29" t="s">
        <v>182</v>
      </c>
      <c r="T16" s="29" t="s">
        <v>185</v>
      </c>
      <c r="U16" s="29" t="s">
        <v>184</v>
      </c>
      <c r="V16" s="29" t="s">
        <v>186</v>
      </c>
      <c r="W16" s="29"/>
      <c r="X16" s="31"/>
      <c r="Y16" s="32"/>
    </row>
    <row r="17" spans="2:28" s="1" customFormat="1" ht="10.15" customHeight="1" x14ac:dyDescent="0.25">
      <c r="B17" s="33" t="s">
        <v>187</v>
      </c>
      <c r="E17" s="34"/>
      <c r="I17" s="35"/>
      <c r="J17" s="35"/>
      <c r="K17" s="34" t="s">
        <v>188</v>
      </c>
      <c r="L17" s="34" t="s">
        <v>189</v>
      </c>
      <c r="M17" s="34" t="s">
        <v>188</v>
      </c>
      <c r="N17" s="34" t="s">
        <v>188</v>
      </c>
      <c r="O17" s="34" t="s">
        <v>188</v>
      </c>
      <c r="P17" s="34" t="s">
        <v>190</v>
      </c>
      <c r="Q17" s="34" t="s">
        <v>188</v>
      </c>
      <c r="R17" s="34" t="s">
        <v>188</v>
      </c>
      <c r="S17" s="34" t="s">
        <v>188</v>
      </c>
      <c r="T17" s="34" t="s">
        <v>191</v>
      </c>
      <c r="U17" s="34" t="s">
        <v>188</v>
      </c>
      <c r="V17" s="34"/>
      <c r="W17" s="34" t="s">
        <v>192</v>
      </c>
      <c r="X17" s="36" t="s">
        <v>31</v>
      </c>
      <c r="Y17" s="32"/>
      <c r="AA17" s="35"/>
      <c r="AB17" s="35"/>
    </row>
    <row r="18" spans="2:28" s="1" customFormat="1" ht="10.15" customHeight="1" x14ac:dyDescent="0.25">
      <c r="B18" s="33" t="s">
        <v>193</v>
      </c>
      <c r="E18" s="34"/>
      <c r="I18" s="35"/>
      <c r="J18" s="35"/>
      <c r="K18" s="34" t="s">
        <v>194</v>
      </c>
      <c r="L18" s="34" t="s">
        <v>195</v>
      </c>
      <c r="M18" s="34" t="s">
        <v>194</v>
      </c>
      <c r="N18" s="34" t="s">
        <v>194</v>
      </c>
      <c r="O18" s="34" t="s">
        <v>196</v>
      </c>
      <c r="P18" s="34" t="s">
        <v>196</v>
      </c>
      <c r="Q18" s="34" t="s">
        <v>197</v>
      </c>
      <c r="R18" s="34" t="s">
        <v>197</v>
      </c>
      <c r="S18" s="34" t="s">
        <v>198</v>
      </c>
      <c r="T18" s="34" t="s">
        <v>199</v>
      </c>
      <c r="U18" s="34" t="s">
        <v>197</v>
      </c>
      <c r="V18" s="34" t="s">
        <v>197</v>
      </c>
      <c r="W18" s="34" t="s">
        <v>200</v>
      </c>
      <c r="X18" s="36" t="s">
        <v>201</v>
      </c>
      <c r="Y18" s="32"/>
      <c r="Z18" s="35"/>
      <c r="AA18" s="35"/>
      <c r="AB18" s="35"/>
    </row>
    <row r="19" spans="2:28" s="1" customFormat="1" ht="10.15" customHeight="1" x14ac:dyDescent="0.25">
      <c r="B19" s="33" t="s">
        <v>202</v>
      </c>
      <c r="E19" s="34"/>
      <c r="I19" s="35"/>
      <c r="J19" s="35"/>
      <c r="K19" s="34" t="s">
        <v>203</v>
      </c>
      <c r="L19" s="34" t="s">
        <v>203</v>
      </c>
      <c r="M19" s="34" t="s">
        <v>204</v>
      </c>
      <c r="N19" s="34" t="s">
        <v>203</v>
      </c>
      <c r="O19" s="34" t="s">
        <v>203</v>
      </c>
      <c r="P19" s="34" t="s">
        <v>203</v>
      </c>
      <c r="Q19" s="34" t="s">
        <v>205</v>
      </c>
      <c r="R19" s="34" t="s">
        <v>206</v>
      </c>
      <c r="S19" s="34"/>
      <c r="T19" s="34" t="s">
        <v>204</v>
      </c>
      <c r="U19" s="34" t="s">
        <v>207</v>
      </c>
      <c r="V19" s="34" t="s">
        <v>203</v>
      </c>
      <c r="W19" s="34" t="s">
        <v>208</v>
      </c>
      <c r="X19" s="36"/>
      <c r="Y19" s="32"/>
      <c r="Z19" s="35"/>
      <c r="AA19" s="35"/>
      <c r="AB19" s="35"/>
    </row>
    <row r="20" spans="2:28" s="1" customFormat="1" ht="10.15" customHeight="1" x14ac:dyDescent="0.25">
      <c r="B20" s="33" t="s">
        <v>209</v>
      </c>
      <c r="E20" s="34"/>
      <c r="I20" s="35"/>
      <c r="J20" s="35"/>
      <c r="K20" s="34" t="s">
        <v>210</v>
      </c>
      <c r="L20" s="34" t="s">
        <v>211</v>
      </c>
      <c r="M20" s="34" t="s">
        <v>211</v>
      </c>
      <c r="N20" s="34" t="s">
        <v>210</v>
      </c>
      <c r="O20" s="34" t="s">
        <v>210</v>
      </c>
      <c r="P20" s="34" t="s">
        <v>210</v>
      </c>
      <c r="Q20" s="34" t="s">
        <v>210</v>
      </c>
      <c r="R20" s="34" t="s">
        <v>212</v>
      </c>
      <c r="S20" s="34" t="s">
        <v>211</v>
      </c>
      <c r="T20" s="34" t="s">
        <v>213</v>
      </c>
      <c r="U20" s="34" t="s">
        <v>214</v>
      </c>
      <c r="V20" s="34" t="s">
        <v>215</v>
      </c>
      <c r="W20" s="34" t="s">
        <v>31</v>
      </c>
      <c r="X20" s="36" t="s">
        <v>215</v>
      </c>
      <c r="Y20" s="32"/>
      <c r="Z20" s="35"/>
      <c r="AA20" s="35"/>
      <c r="AB20" s="35"/>
    </row>
    <row r="21" spans="2:28" s="1" customFormat="1" ht="10.15" customHeight="1" x14ac:dyDescent="0.25">
      <c r="B21" s="33" t="s">
        <v>216</v>
      </c>
      <c r="E21" s="34" t="s">
        <v>217</v>
      </c>
      <c r="I21" s="35"/>
      <c r="J21" s="35"/>
      <c r="K21" s="34" t="s">
        <v>217</v>
      </c>
      <c r="L21" s="34" t="s">
        <v>217</v>
      </c>
      <c r="M21" s="34" t="s">
        <v>217</v>
      </c>
      <c r="N21" s="34" t="s">
        <v>218</v>
      </c>
      <c r="O21" s="34" t="s">
        <v>217</v>
      </c>
      <c r="P21" s="34" t="s">
        <v>217</v>
      </c>
      <c r="Q21" s="34" t="s">
        <v>217</v>
      </c>
      <c r="R21" s="34" t="s">
        <v>217</v>
      </c>
      <c r="S21" s="34" t="s">
        <v>217</v>
      </c>
      <c r="T21" s="34" t="s">
        <v>218</v>
      </c>
      <c r="U21" s="34" t="s">
        <v>219</v>
      </c>
      <c r="V21" s="34" t="s">
        <v>217</v>
      </c>
      <c r="W21" s="34" t="s">
        <v>220</v>
      </c>
      <c r="X21" s="36"/>
      <c r="Y21" s="32"/>
      <c r="Z21" s="35"/>
      <c r="AA21" s="35"/>
      <c r="AB21" s="35"/>
    </row>
    <row r="22" spans="2:28" s="1" customFormat="1" ht="10.15" customHeight="1" x14ac:dyDescent="0.25">
      <c r="B22" s="33" t="s">
        <v>221</v>
      </c>
      <c r="E22" s="34"/>
      <c r="I22" s="35"/>
      <c r="J22" s="35"/>
      <c r="K22" s="34">
        <v>7</v>
      </c>
      <c r="L22" s="34"/>
      <c r="M22" s="34" t="s">
        <v>222</v>
      </c>
      <c r="N22" s="34"/>
      <c r="O22" s="34"/>
      <c r="P22" s="34"/>
      <c r="Q22" s="34"/>
      <c r="R22" s="34"/>
      <c r="S22" s="34"/>
      <c r="T22" s="34"/>
      <c r="U22" s="34"/>
      <c r="V22" s="34"/>
      <c r="W22" s="34"/>
      <c r="X22" s="36"/>
      <c r="Y22" s="32"/>
      <c r="Z22" s="35"/>
      <c r="AA22" s="35"/>
      <c r="AB22" s="35"/>
    </row>
    <row r="23" spans="2:28" s="1" customFormat="1" ht="10.15" customHeight="1" x14ac:dyDescent="0.25">
      <c r="B23" s="33"/>
      <c r="E23" s="34"/>
      <c r="I23" s="35"/>
      <c r="J23" s="35"/>
      <c r="K23" s="34" t="s">
        <v>223</v>
      </c>
      <c r="L23" s="34" t="s">
        <v>224</v>
      </c>
      <c r="M23" s="34" t="s">
        <v>225</v>
      </c>
      <c r="N23" s="34" t="s">
        <v>226</v>
      </c>
      <c r="O23" s="34" t="s">
        <v>226</v>
      </c>
      <c r="P23" s="34" t="s">
        <v>226</v>
      </c>
      <c r="Q23" s="34"/>
      <c r="R23" s="34"/>
      <c r="S23" s="34"/>
      <c r="T23" s="34" t="s">
        <v>225</v>
      </c>
      <c r="U23" s="34"/>
      <c r="V23" s="34" t="s">
        <v>225</v>
      </c>
      <c r="W23" s="34" t="s">
        <v>224</v>
      </c>
      <c r="X23" s="36"/>
      <c r="Y23" s="32"/>
      <c r="Z23" s="35"/>
      <c r="AA23" s="35"/>
      <c r="AB23" s="35"/>
    </row>
    <row r="24" spans="2:28" s="1" customFormat="1" ht="10.15" customHeight="1" x14ac:dyDescent="0.25">
      <c r="B24" s="33" t="s">
        <v>227</v>
      </c>
      <c r="E24" s="34"/>
      <c r="I24" s="35"/>
      <c r="J24" s="35"/>
      <c r="K24" s="34" t="s">
        <v>228</v>
      </c>
      <c r="L24" s="34" t="s">
        <v>228</v>
      </c>
      <c r="M24" s="34" t="s">
        <v>229</v>
      </c>
      <c r="N24" s="34" t="s">
        <v>229</v>
      </c>
      <c r="O24" s="34" t="s">
        <v>228</v>
      </c>
      <c r="P24" s="34" t="s">
        <v>228</v>
      </c>
      <c r="Q24" s="34" t="s">
        <v>230</v>
      </c>
      <c r="R24" s="34" t="s">
        <v>231</v>
      </c>
      <c r="S24" s="34" t="s">
        <v>232</v>
      </c>
      <c r="T24" s="34" t="s">
        <v>231</v>
      </c>
      <c r="U24" s="34"/>
      <c r="V24" s="34"/>
      <c r="W24" s="34" t="s">
        <v>232</v>
      </c>
      <c r="X24" s="36" t="s">
        <v>233</v>
      </c>
      <c r="Y24" s="32"/>
      <c r="Z24" s="35"/>
      <c r="AA24" s="35"/>
      <c r="AB24" s="35"/>
    </row>
    <row r="25" spans="2:28" s="1" customFormat="1" ht="10.15" customHeight="1" x14ac:dyDescent="0.25">
      <c r="B25" s="33"/>
      <c r="E25" s="34"/>
      <c r="I25" s="35"/>
      <c r="J25" s="35"/>
      <c r="K25" s="34" t="s">
        <v>234</v>
      </c>
      <c r="L25" s="34" t="s">
        <v>234</v>
      </c>
      <c r="M25" s="37" t="s">
        <v>234</v>
      </c>
      <c r="N25" s="34" t="s">
        <v>235</v>
      </c>
      <c r="O25" s="34" t="s">
        <v>236</v>
      </c>
      <c r="P25" s="34" t="s">
        <v>234</v>
      </c>
      <c r="Q25" s="34" t="s">
        <v>237</v>
      </c>
      <c r="R25" s="34" t="s">
        <v>238</v>
      </c>
      <c r="S25" s="34" t="s">
        <v>235</v>
      </c>
      <c r="T25" s="34" t="s">
        <v>238</v>
      </c>
      <c r="U25" s="34" t="s">
        <v>239</v>
      </c>
      <c r="V25" s="34"/>
      <c r="W25" s="34" t="s">
        <v>240</v>
      </c>
      <c r="X25" s="36" t="s">
        <v>234</v>
      </c>
      <c r="Y25" s="32"/>
      <c r="Z25" s="35"/>
      <c r="AA25" s="35"/>
      <c r="AB25" s="35"/>
    </row>
    <row r="26" spans="2:28" s="1" customFormat="1" ht="10.15" customHeight="1" x14ac:dyDescent="0.25">
      <c r="B26" s="33"/>
      <c r="E26" s="37"/>
      <c r="I26" s="35"/>
      <c r="J26" s="35"/>
      <c r="K26" s="37" t="s">
        <v>241</v>
      </c>
      <c r="L26" s="37" t="s">
        <v>241</v>
      </c>
      <c r="M26" s="37" t="s">
        <v>241</v>
      </c>
      <c r="N26" s="37"/>
      <c r="O26" s="37" t="s">
        <v>241</v>
      </c>
      <c r="P26" s="37" t="s">
        <v>241</v>
      </c>
      <c r="Q26" s="37" t="s">
        <v>241</v>
      </c>
      <c r="R26" s="37" t="s">
        <v>241</v>
      </c>
      <c r="S26" s="37" t="s">
        <v>242</v>
      </c>
      <c r="T26" s="37" t="s">
        <v>243</v>
      </c>
      <c r="U26" s="37"/>
      <c r="V26" s="37"/>
      <c r="W26" s="37"/>
      <c r="X26" s="38" t="s">
        <v>241</v>
      </c>
      <c r="Y26" s="35"/>
      <c r="Z26" s="35"/>
      <c r="AA26" s="35"/>
      <c r="AB26" s="35"/>
    </row>
    <row r="27" spans="2:28" s="1" customFormat="1" ht="10.15" customHeight="1" x14ac:dyDescent="0.25">
      <c r="B27" s="39"/>
      <c r="C27" s="40"/>
      <c r="D27" s="40"/>
      <c r="E27" s="41"/>
      <c r="F27" s="40"/>
      <c r="G27" s="40"/>
      <c r="H27" s="40"/>
      <c r="I27" s="41"/>
      <c r="J27" s="41"/>
      <c r="K27" s="41"/>
      <c r="L27" s="41"/>
      <c r="M27" s="41"/>
      <c r="N27" s="41"/>
      <c r="O27" s="41"/>
      <c r="P27" s="41"/>
      <c r="Q27" s="41"/>
      <c r="R27" s="41"/>
      <c r="S27" s="41"/>
      <c r="T27" s="41"/>
      <c r="U27" s="41"/>
      <c r="V27" s="41"/>
      <c r="W27" s="41"/>
      <c r="X27" s="42"/>
      <c r="Y27" s="35"/>
      <c r="Z27" s="35"/>
      <c r="AA27" s="35"/>
      <c r="AB27" s="35"/>
    </row>
    <row r="28" spans="2:28" s="1" customFormat="1" ht="17.45" customHeight="1" x14ac:dyDescent="0.25">
      <c r="B28" s="43" t="s">
        <v>244</v>
      </c>
      <c r="C28" s="44"/>
      <c r="D28" s="260"/>
      <c r="E28" s="260"/>
      <c r="F28" s="45"/>
      <c r="G28" s="44"/>
      <c r="H28" s="46"/>
      <c r="I28" s="47"/>
      <c r="J28" s="258" t="s">
        <v>22</v>
      </c>
      <c r="K28" s="258"/>
      <c r="L28" s="258"/>
      <c r="M28" s="259"/>
      <c r="N28" s="48"/>
      <c r="O28" s="49"/>
      <c r="P28" s="49"/>
      <c r="Q28" s="49"/>
      <c r="R28" s="49"/>
      <c r="S28" s="49"/>
      <c r="T28" s="49"/>
      <c r="U28" s="49"/>
      <c r="V28" s="49"/>
      <c r="W28" s="49"/>
      <c r="X28" s="35"/>
      <c r="Y28" s="35"/>
      <c r="Z28" s="35"/>
      <c r="AA28" s="35"/>
      <c r="AB28" s="35"/>
    </row>
    <row r="29" spans="2:28" s="1" customFormat="1" x14ac:dyDescent="0.25">
      <c r="B29" s="50" t="s">
        <v>245</v>
      </c>
      <c r="C29" s="51">
        <f>+SUM(H5:H10)+H11+H12+H13</f>
        <v>449881</v>
      </c>
      <c r="D29" s="52" t="s">
        <v>246</v>
      </c>
      <c r="E29" s="53"/>
      <c r="F29" s="54"/>
      <c r="G29" s="55"/>
      <c r="H29" s="56">
        <v>0.51997882548477736</v>
      </c>
      <c r="I29" s="50" t="s">
        <v>247</v>
      </c>
      <c r="J29" s="57"/>
      <c r="K29" s="58">
        <v>22.16</v>
      </c>
      <c r="L29" s="50" t="s">
        <v>246</v>
      </c>
      <c r="M29" s="59">
        <v>9.4572333324797926E-3</v>
      </c>
      <c r="N29" s="60"/>
      <c r="O29" s="60"/>
      <c r="P29" s="60"/>
      <c r="Q29" s="61"/>
      <c r="R29" s="60"/>
      <c r="S29" s="60"/>
      <c r="U29" s="61"/>
      <c r="V29" s="61"/>
      <c r="W29" s="61"/>
    </row>
    <row r="30" spans="2:28" s="1" customFormat="1" x14ac:dyDescent="0.25">
      <c r="B30" s="62" t="s">
        <v>245</v>
      </c>
      <c r="C30" s="63">
        <f>+H5+H6+H7+H8+H11+H12</f>
        <v>373750</v>
      </c>
      <c r="D30" s="261" t="s">
        <v>248</v>
      </c>
      <c r="E30" s="262"/>
      <c r="F30" s="262"/>
      <c r="G30" s="64"/>
      <c r="H30" s="65">
        <v>0.79619700097354384</v>
      </c>
      <c r="I30" s="62" t="s">
        <v>249</v>
      </c>
      <c r="J30" s="66"/>
      <c r="K30" s="67">
        <v>9.48</v>
      </c>
      <c r="L30" s="62" t="s">
        <v>248</v>
      </c>
      <c r="M30" s="68">
        <v>7.8921078921078917E-3</v>
      </c>
      <c r="N30" s="60"/>
      <c r="O30" s="60"/>
      <c r="P30" s="60"/>
      <c r="Q30" s="61"/>
      <c r="U30" s="61"/>
      <c r="V30" s="61"/>
      <c r="W30" s="61"/>
    </row>
    <row r="31" spans="2:28" x14ac:dyDescent="0.25">
      <c r="B31" s="1" t="s">
        <v>250</v>
      </c>
    </row>
  </sheetData>
  <mergeCells count="3">
    <mergeCell ref="D28:E28"/>
    <mergeCell ref="J28:M28"/>
    <mergeCell ref="D30:F30"/>
  </mergeCells>
  <conditionalFormatting sqref="K5:Y15 E5:E15">
    <cfRule type="containsBlanks" dxfId="44" priority="1">
      <formula>LEN(TRIM(E5))=0</formula>
    </cfRule>
  </conditionalFormatting>
  <hyperlinks>
    <hyperlink ref="R12" r:id="rId1" display="FR@ Primary= 13% (CASA 7)" xr:uid="{CB0B97B2-A9D8-438B-A37E-7926A239D6C3}"/>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A4CFF-27EF-43F9-B3E0-BD13E3172136}">
  <dimension ref="B1:X219"/>
  <sheetViews>
    <sheetView topLeftCell="F1" zoomScaleNormal="100" workbookViewId="0">
      <selection activeCell="M19" sqref="M19"/>
    </sheetView>
  </sheetViews>
  <sheetFormatPr baseColWidth="10" defaultColWidth="11.42578125" defaultRowHeight="15" x14ac:dyDescent="0.25"/>
  <cols>
    <col min="3" max="3" width="23.85546875" customWidth="1"/>
    <col min="4" max="4" width="17" customWidth="1"/>
    <col min="5" max="5" width="24.5703125" customWidth="1"/>
    <col min="6" max="6" width="27.28515625" customWidth="1"/>
    <col min="7" max="7" width="30.5703125" customWidth="1"/>
    <col min="8" max="8" width="10.28515625" customWidth="1"/>
    <col min="9" max="9" width="14.5703125" customWidth="1"/>
    <col min="10" max="10" width="10.7109375" customWidth="1"/>
    <col min="11" max="11" width="22.85546875" customWidth="1"/>
    <col min="12" max="12" width="23.42578125" customWidth="1"/>
    <col min="13" max="13" width="18.5703125" customWidth="1"/>
    <col min="14" max="14" width="18.7109375" customWidth="1"/>
    <col min="15" max="15" width="17.28515625" customWidth="1"/>
    <col min="16" max="16" width="22.140625" customWidth="1"/>
    <col min="17" max="17" width="25.7109375" customWidth="1"/>
    <col min="18" max="18" width="21.140625" customWidth="1"/>
    <col min="19" max="19" width="28.7109375" customWidth="1"/>
    <col min="20" max="20" width="23.42578125" customWidth="1"/>
    <col min="23" max="23" width="15.5703125" customWidth="1"/>
    <col min="24" max="24" width="14.7109375" customWidth="1"/>
    <col min="25" max="25" width="40" customWidth="1"/>
    <col min="26" max="26" width="47.85546875" customWidth="1"/>
  </cols>
  <sheetData>
    <row r="1" spans="2:24" s="1" customFormat="1" x14ac:dyDescent="0.25">
      <c r="E1" s="82" t="s">
        <v>366</v>
      </c>
      <c r="F1" s="83" t="s">
        <v>367</v>
      </c>
      <c r="G1" s="83" t="s">
        <v>368</v>
      </c>
      <c r="H1" s="83"/>
      <c r="I1" s="83"/>
      <c r="J1" s="83"/>
      <c r="P1" s="84"/>
      <c r="Q1" s="85"/>
      <c r="R1" s="84"/>
      <c r="S1" s="85"/>
    </row>
    <row r="2" spans="2:24" s="1" customFormat="1" x14ac:dyDescent="0.25">
      <c r="T2" s="86"/>
      <c r="V2" s="86"/>
      <c r="W2" s="86"/>
      <c r="X2" s="86"/>
    </row>
    <row r="3" spans="2:24" s="1" customFormat="1" ht="45" x14ac:dyDescent="0.25">
      <c r="H3" s="87" t="s">
        <v>244</v>
      </c>
      <c r="I3" s="87" t="s">
        <v>369</v>
      </c>
      <c r="J3" s="87" t="s">
        <v>22</v>
      </c>
      <c r="K3" s="75" t="s">
        <v>370</v>
      </c>
      <c r="L3" s="75" t="s">
        <v>371</v>
      </c>
      <c r="M3" s="5" t="s">
        <v>372</v>
      </c>
      <c r="N3" s="5" t="s">
        <v>11</v>
      </c>
      <c r="O3" s="5" t="s">
        <v>348</v>
      </c>
      <c r="P3" s="5" t="s">
        <v>349</v>
      </c>
      <c r="Q3" s="77" t="s">
        <v>350</v>
      </c>
      <c r="R3" s="77" t="s">
        <v>351</v>
      </c>
      <c r="S3" s="5" t="s">
        <v>373</v>
      </c>
      <c r="T3" s="5" t="s">
        <v>374</v>
      </c>
      <c r="U3" s="268"/>
      <c r="V3" s="268"/>
      <c r="W3" s="268"/>
      <c r="X3" s="86"/>
    </row>
    <row r="4" spans="2:24" s="1" customFormat="1" x14ac:dyDescent="0.25">
      <c r="C4" s="75" t="s">
        <v>341</v>
      </c>
      <c r="D4" s="75" t="s">
        <v>7</v>
      </c>
      <c r="E4" s="75" t="s">
        <v>4</v>
      </c>
      <c r="F4" s="75" t="s">
        <v>5</v>
      </c>
      <c r="G4" s="75" t="s">
        <v>6</v>
      </c>
      <c r="H4" s="87" t="s">
        <v>375</v>
      </c>
      <c r="I4" s="87" t="s">
        <v>376</v>
      </c>
      <c r="J4" s="87" t="s">
        <v>376</v>
      </c>
      <c r="K4" s="88">
        <v>4000</v>
      </c>
      <c r="L4" s="89">
        <f>+SUM(J5:J19)/100</f>
        <v>19.416439999999998</v>
      </c>
      <c r="P4" s="77"/>
      <c r="Q4" s="78"/>
      <c r="R4" s="78"/>
      <c r="S4" s="77">
        <v>6.2</v>
      </c>
      <c r="T4" s="77">
        <v>9.8000000000000007</v>
      </c>
      <c r="U4" s="90"/>
      <c r="V4" s="90"/>
      <c r="W4" s="90"/>
      <c r="X4" s="90"/>
    </row>
    <row r="5" spans="2:24" s="1" customFormat="1" x14ac:dyDescent="0.25">
      <c r="B5" s="91"/>
      <c r="C5" s="76" t="e" vm="1">
        <v>#VALUE!</v>
      </c>
      <c r="D5" s="18" t="s">
        <v>30</v>
      </c>
      <c r="E5" s="18" t="s">
        <v>27</v>
      </c>
      <c r="F5" s="18" t="s">
        <v>28</v>
      </c>
      <c r="G5" s="18" t="s">
        <v>29</v>
      </c>
      <c r="H5" s="92">
        <v>119468</v>
      </c>
      <c r="I5" s="92">
        <v>0</v>
      </c>
      <c r="J5" s="92">
        <v>0</v>
      </c>
      <c r="K5" s="81" t="str" cm="1">
        <f t="array" ref="K5:K13">IF(H5:H13&gt;K4,"Sí","No")</f>
        <v>Sí</v>
      </c>
      <c r="L5" s="81" t="str" cm="1">
        <f t="array" ref="L5:L13">+IF(J5:J13&gt;L4,"Sí","No")</f>
        <v>No</v>
      </c>
      <c r="M5" s="79" t="str">
        <f>+IF(AND(K5="Sí",L5="Sí"),"Oil and Gas",IF(K5="Sí","Oil",IF(L5="Sí","Gas")))</f>
        <v>Oil</v>
      </c>
      <c r="N5" s="79">
        <f>11.3+(14.4-11.3)/2</f>
        <v>12.850000000000001</v>
      </c>
      <c r="O5" s="79" t="str">
        <f t="shared" ref="O5:O18" si="0">+IF(M5="Gas","Doesn't Apply",IF(N5&lt;$M$30,$K$30,IF(N5&lt;$M$31,$K$31,IF(N5&lt;$M$32,$K$32,IF(N5&gt;$L$33,$K$33,"Doesn't Apply")))))</f>
        <v>Heavy Oil</v>
      </c>
      <c r="P5" s="79" t="s">
        <v>41</v>
      </c>
      <c r="Q5" s="80" t="s">
        <v>31</v>
      </c>
      <c r="R5" s="80" t="s">
        <v>31</v>
      </c>
      <c r="S5" s="93">
        <f t="shared" ref="S5:S19" si="1">+(H5*365*$S$4)/1000000</f>
        <v>270.35608400000001</v>
      </c>
      <c r="T5" s="93">
        <f t="shared" ref="T5:T19" si="2">+I5*$T$4*365/1000</f>
        <v>0</v>
      </c>
      <c r="U5" s="86"/>
      <c r="V5" s="86"/>
      <c r="W5" s="86"/>
      <c r="X5" s="86"/>
    </row>
    <row r="6" spans="2:24" s="1" customFormat="1" x14ac:dyDescent="0.25">
      <c r="B6" s="91"/>
      <c r="C6" s="76" t="e" vm="1">
        <v>#VALUE!</v>
      </c>
      <c r="D6" s="18" t="s">
        <v>30</v>
      </c>
      <c r="E6" s="18" t="s">
        <v>45</v>
      </c>
      <c r="F6" s="18" t="s">
        <v>28</v>
      </c>
      <c r="G6" s="18" t="s">
        <v>46</v>
      </c>
      <c r="H6" s="92">
        <v>113812</v>
      </c>
      <c r="I6" s="92">
        <v>0</v>
      </c>
      <c r="J6" s="92">
        <v>0</v>
      </c>
      <c r="K6" s="81" t="str">
        <v>Sí</v>
      </c>
      <c r="L6" s="81" t="str">
        <v>No</v>
      </c>
      <c r="M6" s="79" t="str">
        <f t="shared" ref="M6:M19" si="3">+IF(AND(K6="Sí",L6="Sí"),"Oil and Gas",IF(K6="Sí","Oil",IF(L6="Sí","Gas")))</f>
        <v>Oil</v>
      </c>
      <c r="N6" s="79">
        <v>13.7</v>
      </c>
      <c r="O6" s="79" t="str">
        <f t="shared" si="0"/>
        <v>Heavy Oil</v>
      </c>
      <c r="P6" s="79" t="s">
        <v>55</v>
      </c>
      <c r="Q6" s="80" t="s">
        <v>352</v>
      </c>
      <c r="R6" s="80" t="s">
        <v>353</v>
      </c>
      <c r="S6" s="93">
        <f t="shared" si="1"/>
        <v>257.556556</v>
      </c>
      <c r="T6" s="93">
        <f t="shared" si="2"/>
        <v>0</v>
      </c>
      <c r="U6" s="86"/>
      <c r="V6" s="86"/>
      <c r="W6" s="86"/>
      <c r="X6" s="86"/>
    </row>
    <row r="7" spans="2:24" s="1" customFormat="1" x14ac:dyDescent="0.25">
      <c r="B7" s="91"/>
      <c r="C7" s="76" t="e" vm="1">
        <v>#VALUE!</v>
      </c>
      <c r="D7" s="18" t="s">
        <v>30</v>
      </c>
      <c r="E7" s="18" t="s">
        <v>60</v>
      </c>
      <c r="F7" s="18" t="s">
        <v>28</v>
      </c>
      <c r="G7" s="18" t="s">
        <v>61</v>
      </c>
      <c r="H7" s="92">
        <v>67620</v>
      </c>
      <c r="I7" s="92">
        <v>0</v>
      </c>
      <c r="J7" s="92">
        <v>8</v>
      </c>
      <c r="K7" s="81" t="str">
        <v>Sí</v>
      </c>
      <c r="L7" s="81" t="str">
        <v>No</v>
      </c>
      <c r="M7" s="79" t="str">
        <f t="shared" si="3"/>
        <v>Oil</v>
      </c>
      <c r="N7" s="79">
        <f>7+(20-7)/2</f>
        <v>13.5</v>
      </c>
      <c r="O7" s="79" t="str">
        <f t="shared" si="0"/>
        <v>Heavy Oil</v>
      </c>
      <c r="P7" s="79" t="s">
        <v>55</v>
      </c>
      <c r="Q7" s="80" t="s">
        <v>352</v>
      </c>
      <c r="R7" s="80" t="s">
        <v>354</v>
      </c>
      <c r="S7" s="93">
        <f t="shared" si="1"/>
        <v>153.02405999999999</v>
      </c>
      <c r="T7" s="93">
        <f t="shared" si="2"/>
        <v>0</v>
      </c>
      <c r="U7" s="86"/>
      <c r="V7" s="86"/>
      <c r="W7" s="86"/>
      <c r="X7" s="86"/>
    </row>
    <row r="8" spans="2:24" s="1" customFormat="1" x14ac:dyDescent="0.25">
      <c r="B8" s="91"/>
      <c r="C8" s="76" t="e" vm="1">
        <v>#VALUE!</v>
      </c>
      <c r="D8" s="18" t="s">
        <v>95</v>
      </c>
      <c r="E8" s="18" t="s">
        <v>27</v>
      </c>
      <c r="F8" s="18" t="s">
        <v>28</v>
      </c>
      <c r="G8" s="18" t="s">
        <v>94</v>
      </c>
      <c r="H8" s="92">
        <v>43882</v>
      </c>
      <c r="I8" s="92">
        <v>0</v>
      </c>
      <c r="J8" s="92">
        <v>0</v>
      </c>
      <c r="K8" s="81" t="str">
        <v>Sí</v>
      </c>
      <c r="L8" s="81" t="str">
        <v>No</v>
      </c>
      <c r="M8" s="79" t="str">
        <f t="shared" si="3"/>
        <v>Oil</v>
      </c>
      <c r="N8" s="79">
        <f>13+(14-13)/2</f>
        <v>13.5</v>
      </c>
      <c r="O8" s="79" t="str">
        <f t="shared" si="0"/>
        <v>Heavy Oil</v>
      </c>
      <c r="P8" s="79" t="s">
        <v>355</v>
      </c>
      <c r="Q8" s="80" t="s">
        <v>31</v>
      </c>
      <c r="R8" s="80" t="s">
        <v>356</v>
      </c>
      <c r="S8" s="93">
        <f>+(H8*365*$S$4)/1000000</f>
        <v>99.304965999999993</v>
      </c>
      <c r="T8" s="93">
        <f>+I8*$T$4*365/1000</f>
        <v>0</v>
      </c>
      <c r="U8" s="86"/>
      <c r="V8" s="86"/>
      <c r="W8" s="86"/>
      <c r="X8" s="86"/>
    </row>
    <row r="9" spans="2:24" s="1" customFormat="1" x14ac:dyDescent="0.25">
      <c r="B9" s="91"/>
      <c r="C9" s="76" t="e" vm="2">
        <v>#VALUE!</v>
      </c>
      <c r="D9" s="18" t="s">
        <v>30</v>
      </c>
      <c r="E9" s="18" t="s">
        <v>78</v>
      </c>
      <c r="F9" s="18" t="s">
        <v>79</v>
      </c>
      <c r="G9" s="18" t="s">
        <v>80</v>
      </c>
      <c r="H9" s="92">
        <v>45201</v>
      </c>
      <c r="I9" s="92">
        <v>3.6509999999999998</v>
      </c>
      <c r="J9" s="92">
        <v>6.44</v>
      </c>
      <c r="K9" s="81" t="str">
        <v>Sí</v>
      </c>
      <c r="L9" s="81" t="str">
        <v>No</v>
      </c>
      <c r="M9" s="79" t="str">
        <f t="shared" si="3"/>
        <v>Oil</v>
      </c>
      <c r="N9" s="79">
        <f>20+(25-20)/2</f>
        <v>22.5</v>
      </c>
      <c r="O9" s="79" t="str">
        <f t="shared" si="0"/>
        <v>Medium Oil</v>
      </c>
      <c r="P9" s="79" t="s">
        <v>357</v>
      </c>
      <c r="Q9" s="80" t="s">
        <v>358</v>
      </c>
      <c r="R9" s="80" t="s">
        <v>31</v>
      </c>
      <c r="S9" s="93">
        <f t="shared" si="1"/>
        <v>102.289863</v>
      </c>
      <c r="T9" s="93">
        <f t="shared" si="2"/>
        <v>13.059627000000001</v>
      </c>
      <c r="U9" s="86"/>
      <c r="V9" s="86"/>
      <c r="W9" s="86"/>
      <c r="X9" s="86"/>
    </row>
    <row r="10" spans="2:24" s="1" customFormat="1" x14ac:dyDescent="0.25">
      <c r="B10" s="91"/>
      <c r="C10" s="76" t="e" vm="3">
        <v>#VALUE!</v>
      </c>
      <c r="D10" s="18" t="s">
        <v>111</v>
      </c>
      <c r="E10" s="18" t="s">
        <v>108</v>
      </c>
      <c r="F10" s="18" t="s">
        <v>28</v>
      </c>
      <c r="G10" s="18" t="s">
        <v>110</v>
      </c>
      <c r="H10" s="92">
        <v>21135</v>
      </c>
      <c r="I10" s="92">
        <v>0</v>
      </c>
      <c r="J10" s="92">
        <v>1.21</v>
      </c>
      <c r="K10" s="81" t="str">
        <v>Sí</v>
      </c>
      <c r="L10" s="81" t="str">
        <v>No</v>
      </c>
      <c r="M10" s="79" t="str">
        <f t="shared" si="3"/>
        <v>Oil</v>
      </c>
      <c r="N10" s="79">
        <v>29</v>
      </c>
      <c r="O10" s="79" t="str">
        <f t="shared" si="0"/>
        <v>Medium Oil</v>
      </c>
      <c r="P10" s="79" t="s">
        <v>55</v>
      </c>
      <c r="Q10" s="80" t="s">
        <v>352</v>
      </c>
      <c r="R10" s="80" t="s">
        <v>31</v>
      </c>
      <c r="S10" s="93">
        <f t="shared" si="1"/>
        <v>47.828505</v>
      </c>
      <c r="T10" s="93">
        <f t="shared" si="2"/>
        <v>0</v>
      </c>
      <c r="U10" s="86"/>
      <c r="V10" s="86"/>
      <c r="W10" s="86"/>
      <c r="X10" s="86"/>
    </row>
    <row r="11" spans="2:24" s="1" customFormat="1" x14ac:dyDescent="0.25">
      <c r="B11" s="91"/>
      <c r="C11" s="76" t="e" vm="4">
        <v>#VALUE!</v>
      </c>
      <c r="D11" s="18" t="s">
        <v>30</v>
      </c>
      <c r="E11" s="18" t="s">
        <v>124</v>
      </c>
      <c r="F11" s="18" t="s">
        <v>79</v>
      </c>
      <c r="G11" s="18" t="s">
        <v>125</v>
      </c>
      <c r="H11" s="92">
        <v>14787</v>
      </c>
      <c r="I11" s="92">
        <v>1.68</v>
      </c>
      <c r="J11" s="92">
        <v>4.13</v>
      </c>
      <c r="K11" s="81" t="str">
        <v>Sí</v>
      </c>
      <c r="L11" s="81" t="str">
        <v>No</v>
      </c>
      <c r="M11" s="79" t="str">
        <f t="shared" si="3"/>
        <v>Oil</v>
      </c>
      <c r="N11" s="79">
        <v>21</v>
      </c>
      <c r="O11" s="79" t="str">
        <f t="shared" si="0"/>
        <v>Heavy Oil</v>
      </c>
      <c r="P11" s="79" t="s">
        <v>55</v>
      </c>
      <c r="Q11" s="80" t="s">
        <v>352</v>
      </c>
      <c r="R11" s="80" t="s">
        <v>359</v>
      </c>
      <c r="S11" s="93">
        <f t="shared" si="1"/>
        <v>33.462980999999999</v>
      </c>
      <c r="T11" s="93">
        <f t="shared" si="2"/>
        <v>6.0093600000000009</v>
      </c>
    </row>
    <row r="12" spans="2:24" s="1" customFormat="1" x14ac:dyDescent="0.25">
      <c r="B12" s="91"/>
      <c r="C12" s="76" t="e" vm="5">
        <v>#VALUE!</v>
      </c>
      <c r="D12" s="18" t="s">
        <v>30</v>
      </c>
      <c r="E12" s="18" t="s">
        <v>139</v>
      </c>
      <c r="F12" s="18" t="s">
        <v>79</v>
      </c>
      <c r="G12" s="18" t="s">
        <v>140</v>
      </c>
      <c r="H12" s="92">
        <v>12862</v>
      </c>
      <c r="I12" s="92">
        <v>0</v>
      </c>
      <c r="J12" s="92">
        <v>1.48</v>
      </c>
      <c r="K12" s="81" t="str">
        <v>Sí</v>
      </c>
      <c r="L12" s="81" t="str">
        <v>No</v>
      </c>
      <c r="M12" s="79" t="str">
        <f t="shared" si="3"/>
        <v>Oil</v>
      </c>
      <c r="N12" s="79">
        <v>21</v>
      </c>
      <c r="O12" s="79" t="str">
        <f t="shared" si="0"/>
        <v>Heavy Oil</v>
      </c>
      <c r="P12" s="79" t="s">
        <v>360</v>
      </c>
      <c r="Q12" s="80" t="s">
        <v>352</v>
      </c>
      <c r="R12" s="80" t="s">
        <v>359</v>
      </c>
      <c r="S12" s="93">
        <f t="shared" si="1"/>
        <v>29.106705999999999</v>
      </c>
      <c r="T12" s="93">
        <f t="shared" si="2"/>
        <v>0</v>
      </c>
    </row>
    <row r="13" spans="2:24" s="1" customFormat="1" x14ac:dyDescent="0.25">
      <c r="B13" s="91"/>
      <c r="C13" s="76" t="e" vm="6">
        <v>#VALUE!</v>
      </c>
      <c r="D13" s="18" t="s">
        <v>154</v>
      </c>
      <c r="E13" s="18" t="s">
        <v>152</v>
      </c>
      <c r="F13" s="18" t="s">
        <v>79</v>
      </c>
      <c r="G13" s="18" t="s">
        <v>153</v>
      </c>
      <c r="H13" s="92">
        <v>11114</v>
      </c>
      <c r="I13" s="92">
        <v>0</v>
      </c>
      <c r="J13" s="92">
        <v>0.9</v>
      </c>
      <c r="K13" s="81" t="str">
        <v>Sí</v>
      </c>
      <c r="L13" s="81" t="str">
        <v>No</v>
      </c>
      <c r="M13" s="79" t="str">
        <f t="shared" si="3"/>
        <v>Oil</v>
      </c>
      <c r="N13" s="79">
        <v>13</v>
      </c>
      <c r="O13" s="79" t="str">
        <f t="shared" si="0"/>
        <v>Heavy Oil</v>
      </c>
      <c r="P13" s="79" t="s">
        <v>163</v>
      </c>
      <c r="Q13" s="80" t="s">
        <v>31</v>
      </c>
      <c r="R13" s="80" t="s">
        <v>361</v>
      </c>
      <c r="S13" s="93">
        <f t="shared" si="1"/>
        <v>25.150981999999999</v>
      </c>
      <c r="T13" s="93">
        <f t="shared" si="2"/>
        <v>0</v>
      </c>
    </row>
    <row r="14" spans="2:24" s="1" customFormat="1" x14ac:dyDescent="0.25">
      <c r="B14" s="91"/>
      <c r="C14" s="76" t="e" vm="7">
        <v>#VALUE!</v>
      </c>
      <c r="D14" s="18" t="s">
        <v>30</v>
      </c>
      <c r="E14" s="18" t="s">
        <v>255</v>
      </c>
      <c r="F14" s="18" t="s">
        <v>28</v>
      </c>
      <c r="G14" s="18" t="s">
        <v>256</v>
      </c>
      <c r="H14" s="92">
        <v>11342</v>
      </c>
      <c r="I14" s="92">
        <v>152.77000000000001</v>
      </c>
      <c r="J14" s="92">
        <v>754.35</v>
      </c>
      <c r="K14" s="81" t="str" cm="1">
        <f t="array" ref="K14:K19">IF(H14:H19&gt;K4,"Sí","No")</f>
        <v>Sí</v>
      </c>
      <c r="L14" s="81" t="str" cm="1">
        <f t="array" ref="L14:L19">+IF(J14:J19&gt;L4,"Sí","No")</f>
        <v>Sí</v>
      </c>
      <c r="M14" s="79" t="str">
        <f t="shared" si="3"/>
        <v>Oil and Gas</v>
      </c>
      <c r="N14" s="79">
        <v>48</v>
      </c>
      <c r="O14" s="79" t="str">
        <f t="shared" si="0"/>
        <v>Light Oil</v>
      </c>
      <c r="P14" s="79" t="s">
        <v>31</v>
      </c>
      <c r="Q14" s="80" t="s">
        <v>362</v>
      </c>
      <c r="R14" s="80" t="s">
        <v>363</v>
      </c>
      <c r="S14" s="93">
        <f t="shared" si="1"/>
        <v>25.666945999999999</v>
      </c>
      <c r="T14" s="93">
        <f t="shared" si="2"/>
        <v>546.45829000000003</v>
      </c>
    </row>
    <row r="15" spans="2:24" s="1" customFormat="1" x14ac:dyDescent="0.25">
      <c r="B15" s="91"/>
      <c r="C15" s="76" t="e" vm="7">
        <v>#VALUE!</v>
      </c>
      <c r="D15" s="18" t="s">
        <v>30</v>
      </c>
      <c r="E15" s="18" t="s">
        <v>269</v>
      </c>
      <c r="F15" s="18" t="s">
        <v>28</v>
      </c>
      <c r="G15" s="18" t="s">
        <v>270</v>
      </c>
      <c r="H15" s="92">
        <v>4514</v>
      </c>
      <c r="I15" s="92">
        <v>182.15</v>
      </c>
      <c r="J15" s="92">
        <v>306.27</v>
      </c>
      <c r="K15" s="81" t="str">
        <v>Sí</v>
      </c>
      <c r="L15" s="81" t="str">
        <v>Sí</v>
      </c>
      <c r="M15" s="79" t="str">
        <f>+IF(AND(K15="Sí",L15="Sí"),"Oil and Gas",IF(K15="Sí","Oil",IF(L15="Sí","Gas")))</f>
        <v>Oil and Gas</v>
      </c>
      <c r="N15" s="79">
        <v>52</v>
      </c>
      <c r="O15" s="79" t="str">
        <f t="shared" si="0"/>
        <v>Light Oil</v>
      </c>
      <c r="P15" s="79" t="s">
        <v>31</v>
      </c>
      <c r="Q15" s="80" t="s">
        <v>364</v>
      </c>
      <c r="R15" s="80" t="s">
        <v>275</v>
      </c>
      <c r="S15" s="93">
        <f t="shared" si="1"/>
        <v>10.215182</v>
      </c>
      <c r="T15" s="93">
        <f t="shared" si="2"/>
        <v>651.55055000000004</v>
      </c>
    </row>
    <row r="16" spans="2:24" s="1" customFormat="1" x14ac:dyDescent="0.25">
      <c r="B16" s="91"/>
      <c r="C16" s="76" t="e" vm="7">
        <v>#VALUE!</v>
      </c>
      <c r="D16" s="18" t="s">
        <v>278</v>
      </c>
      <c r="E16" s="18" t="s">
        <v>276</v>
      </c>
      <c r="F16" s="18" t="s">
        <v>28</v>
      </c>
      <c r="G16" s="18" t="s">
        <v>277</v>
      </c>
      <c r="H16" s="92">
        <v>31197</v>
      </c>
      <c r="I16" s="92">
        <v>218.46</v>
      </c>
      <c r="J16" s="92">
        <v>459.81099999999998</v>
      </c>
      <c r="K16" s="81" t="str">
        <v>Sí</v>
      </c>
      <c r="L16" s="81" t="str">
        <v>Sí</v>
      </c>
      <c r="M16" s="79" t="str">
        <f t="shared" si="3"/>
        <v>Oil and Gas</v>
      </c>
      <c r="N16" s="79">
        <v>46</v>
      </c>
      <c r="O16" s="79" t="str">
        <f t="shared" si="0"/>
        <v>Light Oil</v>
      </c>
      <c r="P16" s="79" t="s">
        <v>31</v>
      </c>
      <c r="Q16" s="80" t="s">
        <v>31</v>
      </c>
      <c r="R16" s="80" t="s">
        <v>365</v>
      </c>
      <c r="S16" s="93">
        <f t="shared" si="1"/>
        <v>70.598810999999998</v>
      </c>
      <c r="T16" s="93">
        <f t="shared" si="2"/>
        <v>781.43142000000012</v>
      </c>
    </row>
    <row r="17" spans="2:20" s="1" customFormat="1" x14ac:dyDescent="0.25">
      <c r="B17" s="91"/>
      <c r="C17" s="76" t="e" vm="7">
        <v>#VALUE!</v>
      </c>
      <c r="D17" s="18" t="s">
        <v>278</v>
      </c>
      <c r="E17" s="18" t="s">
        <v>276</v>
      </c>
      <c r="F17" s="18" t="s">
        <v>28</v>
      </c>
      <c r="G17" s="18" t="s">
        <v>290</v>
      </c>
      <c r="H17" s="92">
        <v>8374</v>
      </c>
      <c r="I17" s="92">
        <v>0</v>
      </c>
      <c r="J17" s="92">
        <v>153.01</v>
      </c>
      <c r="K17" s="81" t="str">
        <v>Sí</v>
      </c>
      <c r="L17" s="81" t="str">
        <v>Sí</v>
      </c>
      <c r="M17" s="79" t="str">
        <f t="shared" si="3"/>
        <v>Oil and Gas</v>
      </c>
      <c r="N17" s="79">
        <f>44+((47-44)/2)</f>
        <v>45.5</v>
      </c>
      <c r="O17" s="79" t="str">
        <f t="shared" si="0"/>
        <v>Light Oil</v>
      </c>
      <c r="P17" s="79" t="s">
        <v>31</v>
      </c>
      <c r="Q17" s="80" t="s">
        <v>362</v>
      </c>
      <c r="R17" s="80" t="s">
        <v>31</v>
      </c>
      <c r="S17" s="93">
        <f t="shared" si="1"/>
        <v>18.950361999999998</v>
      </c>
      <c r="T17" s="93">
        <f t="shared" si="2"/>
        <v>0</v>
      </c>
    </row>
    <row r="18" spans="2:20" s="1" customFormat="1" x14ac:dyDescent="0.25">
      <c r="B18" s="91"/>
      <c r="C18" s="76" t="e" vm="8">
        <v>#VALUE!</v>
      </c>
      <c r="D18" s="18" t="s">
        <v>302</v>
      </c>
      <c r="E18" s="18" t="s">
        <v>300</v>
      </c>
      <c r="F18" s="18" t="s">
        <v>299</v>
      </c>
      <c r="G18" s="18" t="s">
        <v>301</v>
      </c>
      <c r="H18" s="92">
        <v>0</v>
      </c>
      <c r="I18" s="92">
        <v>207.5</v>
      </c>
      <c r="J18" s="92">
        <v>214.703</v>
      </c>
      <c r="K18" s="81" t="str">
        <v>No</v>
      </c>
      <c r="L18" s="81" t="str">
        <v>Sí</v>
      </c>
      <c r="M18" s="79" t="str">
        <f>+IF(AND(K18="Sí",L18="Sí"),"Oil and Gas",IF(K18="Sí","Oil",IF(L18="Sí","Gas")))</f>
        <v>Gas</v>
      </c>
      <c r="N18" s="79" t="s">
        <v>31</v>
      </c>
      <c r="O18" s="79" t="str">
        <f t="shared" si="0"/>
        <v>Doesn't Apply</v>
      </c>
      <c r="P18" s="79" t="s">
        <v>31</v>
      </c>
      <c r="Q18" s="80" t="s">
        <v>31</v>
      </c>
      <c r="R18" s="80" t="s">
        <v>31</v>
      </c>
      <c r="S18" s="93">
        <f t="shared" si="1"/>
        <v>0</v>
      </c>
      <c r="T18" s="93">
        <f t="shared" si="2"/>
        <v>742.22750000000008</v>
      </c>
    </row>
    <row r="19" spans="2:20" s="1" customFormat="1" x14ac:dyDescent="0.25">
      <c r="B19" s="91"/>
      <c r="C19" s="76" t="e" vm="8">
        <v>#VALUE!</v>
      </c>
      <c r="D19" s="18" t="s">
        <v>302</v>
      </c>
      <c r="E19" s="18" t="s">
        <v>300</v>
      </c>
      <c r="F19" s="18" t="s">
        <v>299</v>
      </c>
      <c r="G19" s="18" t="s">
        <v>311</v>
      </c>
      <c r="H19" s="92">
        <v>0</v>
      </c>
      <c r="I19" s="92">
        <v>30.6</v>
      </c>
      <c r="J19" s="92">
        <v>31.34</v>
      </c>
      <c r="K19" s="81" t="str">
        <v>No</v>
      </c>
      <c r="L19" s="81" t="str">
        <v>Sí</v>
      </c>
      <c r="M19" s="79" t="str">
        <f t="shared" si="3"/>
        <v>Gas</v>
      </c>
      <c r="N19" s="79" t="s">
        <v>31</v>
      </c>
      <c r="O19" s="79" t="str">
        <f>+IF(M18="Gas","Doesn't Apply",IF(N19&lt;$M$30,$K$30,IF(N19&lt;$M$31,$K$31,IF(N19&lt;$M$32,$K$32,IF(N19&gt;$L$33,$K$33,"Doesn't Apply")))))</f>
        <v>Doesn't Apply</v>
      </c>
      <c r="P19" s="79" t="s">
        <v>31</v>
      </c>
      <c r="Q19" s="80" t="s">
        <v>31</v>
      </c>
      <c r="R19" s="80" t="s">
        <v>31</v>
      </c>
      <c r="S19" s="93">
        <f t="shared" si="1"/>
        <v>0</v>
      </c>
      <c r="T19" s="93">
        <f t="shared" si="2"/>
        <v>109.45620000000002</v>
      </c>
    </row>
    <row r="20" spans="2:20" s="1" customFormat="1" x14ac:dyDescent="0.25">
      <c r="H20" s="94"/>
      <c r="I20" s="94"/>
      <c r="R20" s="95"/>
    </row>
    <row r="21" spans="2:20" s="1" customFormat="1" x14ac:dyDescent="0.25">
      <c r="I21" s="94"/>
      <c r="P21" s="96"/>
    </row>
    <row r="22" spans="2:20" s="1" customFormat="1" x14ac:dyDescent="0.25">
      <c r="K22" s="78" t="s">
        <v>377</v>
      </c>
      <c r="L22" s="78">
        <f>+COUNTIF(M5:M19,"Oil")</f>
        <v>9</v>
      </c>
    </row>
    <row r="23" spans="2:20" s="1" customFormat="1" x14ac:dyDescent="0.25">
      <c r="K23" s="78" t="s">
        <v>378</v>
      </c>
      <c r="L23" s="78">
        <f>COUNTIF(M5:M19,"Gas")</f>
        <v>2</v>
      </c>
    </row>
    <row r="24" spans="2:20" s="1" customFormat="1" ht="15.75" thickBot="1" x14ac:dyDescent="0.3">
      <c r="K24" s="97" t="s">
        <v>379</v>
      </c>
      <c r="L24" s="97">
        <f>COUNTIF(M5:M19,"Oil and Gas")</f>
        <v>4</v>
      </c>
    </row>
    <row r="25" spans="2:20" s="1" customFormat="1" ht="15.75" thickTop="1" x14ac:dyDescent="0.25">
      <c r="K25" s="77" t="s">
        <v>380</v>
      </c>
      <c r="L25" s="77">
        <f>+SUM(L22:L24)</f>
        <v>15</v>
      </c>
      <c r="O25" s="94"/>
    </row>
    <row r="26" spans="2:20" s="1" customFormat="1" x14ac:dyDescent="0.25"/>
    <row r="27" spans="2:20" s="1" customFormat="1" x14ac:dyDescent="0.25"/>
    <row r="28" spans="2:20" s="1" customFormat="1" ht="15.75" thickBot="1" x14ac:dyDescent="0.3">
      <c r="K28" s="269" t="s">
        <v>381</v>
      </c>
      <c r="L28" s="269"/>
      <c r="M28" s="269"/>
    </row>
    <row r="29" spans="2:20" s="1" customFormat="1" ht="15.75" thickTop="1" x14ac:dyDescent="0.25">
      <c r="K29" s="98"/>
      <c r="L29" s="98" t="s">
        <v>382</v>
      </c>
      <c r="M29" s="98" t="s">
        <v>383</v>
      </c>
    </row>
    <row r="30" spans="2:20" s="1" customFormat="1" x14ac:dyDescent="0.25">
      <c r="K30" s="78" t="s">
        <v>384</v>
      </c>
      <c r="L30" s="99">
        <v>0</v>
      </c>
      <c r="M30" s="98">
        <v>10</v>
      </c>
    </row>
    <row r="31" spans="2:20" s="1" customFormat="1" x14ac:dyDescent="0.25">
      <c r="K31" s="78" t="s">
        <v>385</v>
      </c>
      <c r="L31" s="98">
        <v>10</v>
      </c>
      <c r="M31" s="98">
        <v>22.3</v>
      </c>
    </row>
    <row r="32" spans="2:20" s="1" customFormat="1" x14ac:dyDescent="0.25">
      <c r="K32" s="78" t="s">
        <v>386</v>
      </c>
      <c r="L32" s="98">
        <v>22.3</v>
      </c>
      <c r="M32" s="98">
        <v>31.1</v>
      </c>
    </row>
    <row r="33" spans="11:20" s="1" customFormat="1" x14ac:dyDescent="0.25">
      <c r="K33" s="78" t="s">
        <v>387</v>
      </c>
      <c r="L33" s="98">
        <v>31.1</v>
      </c>
      <c r="M33" s="99">
        <v>100</v>
      </c>
      <c r="N33" s="91"/>
    </row>
    <row r="34" spans="11:20" s="1" customFormat="1" x14ac:dyDescent="0.25"/>
    <row r="35" spans="11:20" s="1" customFormat="1" x14ac:dyDescent="0.25"/>
    <row r="36" spans="11:20" s="1" customFormat="1" ht="15.75" thickBot="1" x14ac:dyDescent="0.3">
      <c r="K36" s="266" t="s">
        <v>388</v>
      </c>
      <c r="L36" s="266"/>
      <c r="M36" s="266"/>
      <c r="N36" s="266"/>
      <c r="R36" s="78"/>
      <c r="S36" s="78"/>
      <c r="T36" s="78"/>
    </row>
    <row r="37" spans="11:20" s="1" customFormat="1" ht="17.25" customHeight="1" thickTop="1" thickBot="1" x14ac:dyDescent="0.3">
      <c r="L37" s="100" t="s">
        <v>389</v>
      </c>
      <c r="M37" s="100" t="s">
        <v>390</v>
      </c>
      <c r="N37" s="100" t="s">
        <v>391</v>
      </c>
      <c r="Q37" s="270" t="s">
        <v>392</v>
      </c>
      <c r="R37" s="270"/>
      <c r="S37" s="270"/>
      <c r="T37" s="270"/>
    </row>
    <row r="38" spans="11:20" s="1" customFormat="1" ht="15.75" thickTop="1" x14ac:dyDescent="0.25">
      <c r="K38" s="1" t="s">
        <v>393</v>
      </c>
      <c r="L38" s="101">
        <v>865191</v>
      </c>
      <c r="M38" s="94">
        <v>505308</v>
      </c>
      <c r="N38" s="102">
        <v>0.58404213636064173</v>
      </c>
      <c r="R38" s="100" t="s">
        <v>30</v>
      </c>
      <c r="S38" s="103" t="s">
        <v>394</v>
      </c>
      <c r="T38" s="78" t="s">
        <v>395</v>
      </c>
    </row>
    <row r="39" spans="11:20" s="1" customFormat="1" x14ac:dyDescent="0.25">
      <c r="K39" s="1" t="s">
        <v>396</v>
      </c>
      <c r="L39" s="101">
        <v>2343.1799999999998</v>
      </c>
      <c r="M39" s="94">
        <v>1941.6439999999998</v>
      </c>
      <c r="N39" s="102">
        <v>0.82863629768092928</v>
      </c>
      <c r="Q39" s="1" t="s">
        <v>393</v>
      </c>
      <c r="R39" s="101">
        <v>469419</v>
      </c>
      <c r="S39" s="94">
        <v>389606</v>
      </c>
      <c r="T39" s="104">
        <v>0.82997492645163484</v>
      </c>
    </row>
    <row r="40" spans="11:20" s="1" customFormat="1" x14ac:dyDescent="0.25">
      <c r="K40" s="1" t="s">
        <v>369</v>
      </c>
      <c r="L40" s="105">
        <v>1060</v>
      </c>
      <c r="M40" s="105">
        <v>796.81100000000004</v>
      </c>
      <c r="N40" s="102">
        <v>0.75170849056603772</v>
      </c>
      <c r="Q40" s="1" t="s">
        <v>396</v>
      </c>
      <c r="R40" s="101">
        <v>1201.2</v>
      </c>
      <c r="S40" s="106">
        <v>1080.6699999999998</v>
      </c>
      <c r="T40" s="104">
        <v>0.89965867465867455</v>
      </c>
    </row>
    <row r="41" spans="11:20" s="1" customFormat="1" x14ac:dyDescent="0.25">
      <c r="L41" s="105"/>
      <c r="M41" s="94"/>
      <c r="N41" s="102"/>
      <c r="Q41" s="1" t="s">
        <v>397</v>
      </c>
      <c r="R41" s="107">
        <v>436.14</v>
      </c>
      <c r="S41" s="1">
        <v>340.25100000000003</v>
      </c>
      <c r="T41" s="108">
        <v>0.78014169762003038</v>
      </c>
    </row>
    <row r="42" spans="11:20" s="1" customFormat="1" x14ac:dyDescent="0.25"/>
    <row r="43" spans="11:20" s="1" customFormat="1" ht="15.75" thickBot="1" x14ac:dyDescent="0.3">
      <c r="K43" s="266" t="s">
        <v>398</v>
      </c>
      <c r="L43" s="266"/>
      <c r="M43" s="266"/>
      <c r="Q43" s="266" t="s">
        <v>399</v>
      </c>
      <c r="R43" s="266"/>
      <c r="S43" s="266"/>
    </row>
    <row r="44" spans="11:20" s="1" customFormat="1" ht="15.75" thickTop="1" x14ac:dyDescent="0.25">
      <c r="L44" s="1" t="s">
        <v>400</v>
      </c>
      <c r="R44" s="1" t="s">
        <v>400</v>
      </c>
    </row>
    <row r="45" spans="11:20" s="1" customFormat="1" x14ac:dyDescent="0.25">
      <c r="K45" s="78" t="s">
        <v>384</v>
      </c>
      <c r="L45" s="109">
        <f>+SUMIF($O$5:$O$19,K45,$H$5:$H$19)</f>
        <v>0</v>
      </c>
      <c r="M45" s="94">
        <f>+L45/L49</f>
        <v>0</v>
      </c>
      <c r="Q45" s="78" t="s">
        <v>384</v>
      </c>
      <c r="R45" s="109">
        <f>360439/(365)</f>
        <v>987.50410958904115</v>
      </c>
      <c r="S45" s="110">
        <f>+R45/R49</f>
        <v>1.2434485304680682E-3</v>
      </c>
    </row>
    <row r="46" spans="11:20" s="1" customFormat="1" x14ac:dyDescent="0.25">
      <c r="K46" s="78" t="s">
        <v>385</v>
      </c>
      <c r="L46" s="109">
        <f>+SUMIF($O$5:$O$19,K46,$H$5:$H$19)</f>
        <v>383545</v>
      </c>
      <c r="M46" s="111">
        <f>+L46/$L$49</f>
        <v>0.75903211506645452</v>
      </c>
      <c r="Q46" s="78" t="s">
        <v>385</v>
      </c>
      <c r="R46" s="109">
        <f>153830052/(365)</f>
        <v>421452.19726027397</v>
      </c>
      <c r="S46" s="111">
        <f>+R46/R49</f>
        <v>0.53068550323695973</v>
      </c>
    </row>
    <row r="47" spans="11:20" s="1" customFormat="1" x14ac:dyDescent="0.25">
      <c r="K47" s="78" t="s">
        <v>386</v>
      </c>
      <c r="L47" s="109">
        <f>+SUMIF($O$5:$O$19,K47,$H$5:$H$19)</f>
        <v>66336</v>
      </c>
      <c r="M47" s="111">
        <f t="shared" ref="M47:M48" si="4">+L47/$L$49</f>
        <v>0.13127834904652211</v>
      </c>
      <c r="Q47" s="78" t="s">
        <v>386</v>
      </c>
      <c r="R47" s="109">
        <f>78050096/(365)</f>
        <v>213835.8794520548</v>
      </c>
      <c r="S47" s="111">
        <f>+R47/R49</f>
        <v>0.26925853521425719</v>
      </c>
    </row>
    <row r="48" spans="11:20" s="1" customFormat="1" ht="15.75" thickBot="1" x14ac:dyDescent="0.3">
      <c r="K48" s="78" t="s">
        <v>387</v>
      </c>
      <c r="L48" s="112">
        <f>+SUMIF($O$5:$O$19,K48,$H$5:$H$19)</f>
        <v>55427</v>
      </c>
      <c r="M48" s="113">
        <f t="shared" si="4"/>
        <v>0.10968953588702336</v>
      </c>
      <c r="Q48" s="78" t="s">
        <v>387</v>
      </c>
      <c r="R48" s="112">
        <f>57629875/365</f>
        <v>157890.0684931507</v>
      </c>
      <c r="S48" s="113">
        <f>+R48/R49</f>
        <v>0.19881251301831507</v>
      </c>
    </row>
    <row r="49" spans="11:21" s="1" customFormat="1" ht="15.75" thickTop="1" x14ac:dyDescent="0.25">
      <c r="K49" s="114"/>
      <c r="L49" s="94">
        <f>+SUM(L45:L48)</f>
        <v>505308</v>
      </c>
      <c r="M49" s="115">
        <f>+SUM(M46:M48)</f>
        <v>1</v>
      </c>
      <c r="Q49" s="114"/>
      <c r="R49" s="94">
        <f>+SUM(R45:R48)</f>
        <v>794165.6493150685</v>
      </c>
      <c r="S49" s="115">
        <f>+SUM(S46:S48)</f>
        <v>0.99875655146953191</v>
      </c>
      <c r="T49" s="94"/>
    </row>
    <row r="50" spans="11:21" s="1" customFormat="1" x14ac:dyDescent="0.25">
      <c r="R50" s="94"/>
    </row>
    <row r="51" spans="11:21" s="1" customFormat="1" x14ac:dyDescent="0.25"/>
    <row r="52" spans="11:21" s="1" customFormat="1" ht="15.75" thickBot="1" x14ac:dyDescent="0.3">
      <c r="K52" s="266" t="s">
        <v>401</v>
      </c>
      <c r="L52" s="266"/>
      <c r="M52" s="266"/>
      <c r="N52" s="266"/>
      <c r="O52" s="266"/>
      <c r="Q52" s="266" t="s">
        <v>402</v>
      </c>
      <c r="R52" s="266"/>
      <c r="S52" s="266"/>
      <c r="T52" s="266"/>
      <c r="U52" s="266"/>
    </row>
    <row r="53" spans="11:21" s="1" customFormat="1" ht="15.75" thickTop="1" x14ac:dyDescent="0.25">
      <c r="K53" s="78"/>
      <c r="L53" s="78" t="s">
        <v>400</v>
      </c>
      <c r="M53" s="78" t="s">
        <v>403</v>
      </c>
      <c r="N53" s="116" t="s">
        <v>404</v>
      </c>
      <c r="O53" s="78" t="s">
        <v>403</v>
      </c>
      <c r="Q53" s="78"/>
      <c r="R53" s="78" t="s">
        <v>400</v>
      </c>
      <c r="S53" s="78" t="s">
        <v>403</v>
      </c>
      <c r="T53" s="116" t="s">
        <v>404</v>
      </c>
      <c r="U53" s="117" t="s">
        <v>403</v>
      </c>
    </row>
    <row r="54" spans="11:21" s="1" customFormat="1" x14ac:dyDescent="0.25">
      <c r="K54" s="78" t="e" vm="1">
        <v>#VALUE!</v>
      </c>
      <c r="L54" s="105">
        <f t="shared" ref="L54:L61" si="5">+SUMIF($C$5:$C$19,K54,$H$5:$H$19)</f>
        <v>344782</v>
      </c>
      <c r="M54" s="117">
        <f t="shared" ref="M54:M61" si="6">+L54/$L$62</f>
        <v>0.68232048572355875</v>
      </c>
      <c r="N54" s="118">
        <f t="shared" ref="N54:N61" si="7">+SUMIF($C$5:$C$19,K54,$J$5:$J$19)</f>
        <v>8</v>
      </c>
      <c r="O54" s="119">
        <f t="shared" ref="O54:O61" si="8">+N54/$N$62</f>
        <v>4.120219772522667E-3</v>
      </c>
      <c r="Q54" s="120" t="e" vm="1">
        <v>#VALUE!</v>
      </c>
      <c r="R54" s="105">
        <v>421474.3</v>
      </c>
      <c r="S54" s="117">
        <f t="shared" ref="S54:S62" si="9">+R54/$R$63</f>
        <v>0.48714595967826757</v>
      </c>
      <c r="T54" s="105">
        <v>17.7</v>
      </c>
      <c r="U54" s="117">
        <f>+T54/$T$63</f>
        <v>7.5538370931810617E-3</v>
      </c>
    </row>
    <row r="55" spans="11:21" s="1" customFormat="1" x14ac:dyDescent="0.25">
      <c r="K55" s="78" t="e" vm="2">
        <v>#VALUE!</v>
      </c>
      <c r="L55" s="105">
        <f t="shared" si="5"/>
        <v>45201</v>
      </c>
      <c r="M55" s="104">
        <f t="shared" si="6"/>
        <v>8.9452373601842841E-2</v>
      </c>
      <c r="N55" s="121">
        <f t="shared" si="7"/>
        <v>6.44</v>
      </c>
      <c r="O55" s="119">
        <f t="shared" si="8"/>
        <v>3.3167769168807471E-3</v>
      </c>
      <c r="Q55" s="120" t="e" vm="2">
        <v>#VALUE!</v>
      </c>
      <c r="R55" s="105">
        <v>63986.1</v>
      </c>
      <c r="S55" s="117">
        <f t="shared" si="9"/>
        <v>7.3956039764629999E-2</v>
      </c>
      <c r="T55" s="105">
        <v>46.2</v>
      </c>
      <c r="U55" s="117">
        <f t="shared" ref="U55:U61" si="10">+T55/$T$63</f>
        <v>1.9716795124574298E-2</v>
      </c>
    </row>
    <row r="56" spans="11:21" s="1" customFormat="1" x14ac:dyDescent="0.25">
      <c r="K56" s="78" t="e" vm="3">
        <v>#VALUE!</v>
      </c>
      <c r="L56" s="105">
        <f t="shared" si="5"/>
        <v>21135</v>
      </c>
      <c r="M56" s="117">
        <f t="shared" si="6"/>
        <v>4.1825975444679288E-2</v>
      </c>
      <c r="N56" s="121">
        <f t="shared" si="7"/>
        <v>1.21</v>
      </c>
      <c r="O56" s="119">
        <f t="shared" si="8"/>
        <v>6.2318324059405339E-4</v>
      </c>
      <c r="Q56" s="120" t="e" vm="3">
        <v>#VALUE!</v>
      </c>
      <c r="R56" s="105">
        <v>47801.1</v>
      </c>
      <c r="S56" s="117">
        <f t="shared" si="9"/>
        <v>5.5249187751606289E-2</v>
      </c>
      <c r="T56" s="105">
        <v>5.2</v>
      </c>
      <c r="U56" s="117">
        <f t="shared" si="10"/>
        <v>2.2192063776577133E-3</v>
      </c>
    </row>
    <row r="57" spans="11:21" s="1" customFormat="1" x14ac:dyDescent="0.25">
      <c r="K57" s="78" t="e" vm="4">
        <v>#VALUE!</v>
      </c>
      <c r="L57" s="105">
        <f t="shared" si="5"/>
        <v>14787</v>
      </c>
      <c r="M57" s="117">
        <f t="shared" si="6"/>
        <v>2.9263340378541405E-2</v>
      </c>
      <c r="N57" s="118">
        <f t="shared" si="7"/>
        <v>4.13</v>
      </c>
      <c r="O57" s="119">
        <f t="shared" si="8"/>
        <v>2.1270634575648265E-3</v>
      </c>
      <c r="Q57" s="120" t="e" vm="4">
        <v>#VALUE!</v>
      </c>
      <c r="R57" s="105">
        <v>10337.799999999999</v>
      </c>
      <c r="S57" s="117">
        <f t="shared" si="9"/>
        <v>1.1948575516851192E-2</v>
      </c>
      <c r="T57" s="105">
        <v>4.9000000000000004</v>
      </c>
      <c r="U57" s="117">
        <f t="shared" si="10"/>
        <v>2.0911752404851529E-3</v>
      </c>
    </row>
    <row r="58" spans="11:21" s="1" customFormat="1" x14ac:dyDescent="0.25">
      <c r="K58" s="78" t="e" vm="5">
        <v>#VALUE!</v>
      </c>
      <c r="L58" s="105">
        <f t="shared" si="5"/>
        <v>12862</v>
      </c>
      <c r="M58" s="104">
        <f t="shared" si="6"/>
        <v>2.545378264345706E-2</v>
      </c>
      <c r="N58" s="121">
        <f t="shared" si="7"/>
        <v>1.48</v>
      </c>
      <c r="O58" s="119">
        <f t="shared" si="8"/>
        <v>7.6224065791669331E-4</v>
      </c>
      <c r="Q58" s="120" t="e" vm="5">
        <v>#VALUE!</v>
      </c>
      <c r="R58" s="105">
        <v>16428.900000000001</v>
      </c>
      <c r="S58" s="117">
        <f t="shared" si="9"/>
        <v>1.8988755084137492E-2</v>
      </c>
      <c r="T58" s="105">
        <v>2.2000000000000002</v>
      </c>
      <c r="U58" s="117">
        <f t="shared" si="10"/>
        <v>9.3889500593210954E-4</v>
      </c>
    </row>
    <row r="59" spans="11:21" s="1" customFormat="1" x14ac:dyDescent="0.25">
      <c r="K59" s="78" t="e" vm="6">
        <v>#VALUE!</v>
      </c>
      <c r="L59" s="105">
        <f t="shared" si="5"/>
        <v>11114</v>
      </c>
      <c r="M59" s="104">
        <f t="shared" si="6"/>
        <v>2.1994506320897354E-2</v>
      </c>
      <c r="N59" s="121">
        <f t="shared" si="7"/>
        <v>0.9</v>
      </c>
      <c r="O59" s="119">
        <f t="shared" si="8"/>
        <v>4.6352472440880002E-4</v>
      </c>
      <c r="Q59" s="120" t="e" vm="6">
        <v>#VALUE!</v>
      </c>
      <c r="R59" s="105">
        <v>34033.25</v>
      </c>
      <c r="S59" s="117">
        <f t="shared" si="9"/>
        <v>3.9336111910549233E-2</v>
      </c>
      <c r="T59" s="105">
        <v>17.2</v>
      </c>
      <c r="U59" s="117">
        <f t="shared" si="10"/>
        <v>7.3404518645601279E-3</v>
      </c>
    </row>
    <row r="60" spans="11:21" s="1" customFormat="1" x14ac:dyDescent="0.25">
      <c r="K60" s="78" t="e" vm="7">
        <v>#VALUE!</v>
      </c>
      <c r="L60" s="105">
        <f t="shared" si="5"/>
        <v>55427</v>
      </c>
      <c r="M60" s="104">
        <f t="shared" si="6"/>
        <v>0.10968953588702336</v>
      </c>
      <c r="N60" s="121">
        <f t="shared" si="7"/>
        <v>1673.4409999999998</v>
      </c>
      <c r="O60" s="119">
        <f t="shared" si="8"/>
        <v>0.86186808704376294</v>
      </c>
      <c r="Q60" s="120" t="e" vm="7">
        <v>#VALUE!</v>
      </c>
      <c r="R60" s="105">
        <v>170107.4</v>
      </c>
      <c r="S60" s="117">
        <f t="shared" si="9"/>
        <v>0.19661253989003583</v>
      </c>
      <c r="T60" s="105">
        <v>1628.7</v>
      </c>
      <c r="U60" s="117">
        <f t="shared" si="10"/>
        <v>0.69508104370983026</v>
      </c>
    </row>
    <row r="61" spans="11:21" s="1" customFormat="1" ht="15.75" thickBot="1" x14ac:dyDescent="0.3">
      <c r="K61" s="122" t="e" vm="8">
        <v>#VALUE!</v>
      </c>
      <c r="L61" s="122">
        <f t="shared" si="5"/>
        <v>0</v>
      </c>
      <c r="M61" s="123">
        <f t="shared" si="6"/>
        <v>0</v>
      </c>
      <c r="N61" s="124">
        <f t="shared" si="7"/>
        <v>246.04300000000001</v>
      </c>
      <c r="O61" s="125">
        <f t="shared" si="8"/>
        <v>0.12671890418634932</v>
      </c>
      <c r="Q61" s="120" t="e" vm="8">
        <v>#VALUE!</v>
      </c>
      <c r="R61" s="105">
        <v>0</v>
      </c>
      <c r="S61" s="117">
        <f t="shared" si="9"/>
        <v>0</v>
      </c>
      <c r="T61" s="105">
        <v>238.3</v>
      </c>
      <c r="U61" s="117">
        <f t="shared" si="10"/>
        <v>0.10169939996073712</v>
      </c>
    </row>
    <row r="62" spans="11:21" s="1" customFormat="1" ht="16.5" thickTop="1" thickBot="1" x14ac:dyDescent="0.3">
      <c r="L62" s="94">
        <f>+SUM(L54:L61)</f>
        <v>505308</v>
      </c>
      <c r="M62" s="126">
        <f>+SUM(M54:M61)</f>
        <v>1.0000000000000002</v>
      </c>
      <c r="N62" s="127">
        <f>+SUM(N54:N61)</f>
        <v>1941.6439999999998</v>
      </c>
      <c r="O62" s="102">
        <f>+SUM(O54:O61)</f>
        <v>1</v>
      </c>
      <c r="Q62" s="128" t="s">
        <v>405</v>
      </c>
      <c r="R62" s="129">
        <f>+L38-SUM(R54:R61)</f>
        <v>101022.14999999991</v>
      </c>
      <c r="S62" s="130">
        <f t="shared" si="9"/>
        <v>0.11676283040392227</v>
      </c>
      <c r="T62" s="129">
        <f>+L39-SUM(T54:T61)</f>
        <v>382.77999999999975</v>
      </c>
      <c r="U62" s="130">
        <f>+T62/$T$63</f>
        <v>0.1633591956230421</v>
      </c>
    </row>
    <row r="63" spans="11:21" s="1" customFormat="1" ht="15.75" thickTop="1" x14ac:dyDescent="0.25">
      <c r="R63" s="94">
        <f>+SUM(R54:R62)</f>
        <v>865191</v>
      </c>
      <c r="S63" s="117">
        <f>+SUM(S54:S62)</f>
        <v>0.99999999999999978</v>
      </c>
      <c r="T63" s="94">
        <f>+SUM(T54:T62)</f>
        <v>2343.1799999999998</v>
      </c>
      <c r="U63" s="117">
        <f>+SUM(U54:U62)</f>
        <v>0.99999999999999989</v>
      </c>
    </row>
    <row r="64" spans="11:21" s="1" customFormat="1" x14ac:dyDescent="0.25"/>
    <row r="65" spans="11:22" s="1" customFormat="1" x14ac:dyDescent="0.25"/>
    <row r="66" spans="11:22" s="1" customFormat="1" ht="15.75" thickBot="1" x14ac:dyDescent="0.3">
      <c r="K66" s="266" t="s">
        <v>406</v>
      </c>
      <c r="L66" s="266"/>
      <c r="M66" s="266"/>
      <c r="N66" s="266"/>
      <c r="O66" s="266"/>
      <c r="Q66" s="266" t="s">
        <v>407</v>
      </c>
      <c r="R66" s="266"/>
      <c r="S66" s="266"/>
      <c r="T66" s="266"/>
      <c r="U66" s="266"/>
    </row>
    <row r="67" spans="11:22" s="1" customFormat="1" ht="15.75" thickTop="1" x14ac:dyDescent="0.25">
      <c r="L67" s="78" t="s">
        <v>400</v>
      </c>
      <c r="M67" s="131" t="s">
        <v>403</v>
      </c>
      <c r="N67" s="78" t="s">
        <v>404</v>
      </c>
      <c r="O67" s="78" t="s">
        <v>403</v>
      </c>
      <c r="R67" s="78" t="s">
        <v>400</v>
      </c>
      <c r="S67" s="131" t="s">
        <v>403</v>
      </c>
      <c r="T67" s="78" t="s">
        <v>404</v>
      </c>
      <c r="U67" s="78" t="s">
        <v>403</v>
      </c>
    </row>
    <row r="68" spans="11:22" s="1" customFormat="1" x14ac:dyDescent="0.25">
      <c r="K68" s="1" t="s">
        <v>79</v>
      </c>
      <c r="L68" s="109">
        <f>+SUMIF($F$5:$F$19,K68,$H$5:$H$19)</f>
        <v>83964</v>
      </c>
      <c r="M68" s="132">
        <f>+L68/$L$71</f>
        <v>0.16616400294473865</v>
      </c>
      <c r="N68" s="109">
        <f>+SUMIF($F$5:$F$19,K68,$J$5:$J$19)</f>
        <v>12.950000000000001</v>
      </c>
      <c r="O68" s="133">
        <f>+N68/$N$71</f>
        <v>6.6696057567710671E-3</v>
      </c>
      <c r="Q68" s="1" t="s">
        <v>79</v>
      </c>
      <c r="R68" s="134">
        <v>116160</v>
      </c>
      <c r="S68" s="132">
        <f>+R68/$R$72</f>
        <v>0.14617664269399927</v>
      </c>
      <c r="T68" s="134">
        <f>12.9*1000/365</f>
        <v>35.342465753424655</v>
      </c>
      <c r="U68" s="135">
        <f>+T68/T72</f>
        <v>3.3974065877791386E-2</v>
      </c>
    </row>
    <row r="69" spans="11:22" s="1" customFormat="1" x14ac:dyDescent="0.25">
      <c r="K69" s="1" t="s">
        <v>299</v>
      </c>
      <c r="L69" s="109">
        <f>+SUMIF($F$5:$F$19,K69,$H$5:$H$19)</f>
        <v>0</v>
      </c>
      <c r="M69" s="132">
        <f t="shared" ref="M69:M70" si="11">+L69/$L$71</f>
        <v>0</v>
      </c>
      <c r="N69" s="109">
        <f>+SUMIF($F$5:$F$19,K69,$J$5:$J$19)</f>
        <v>246.04300000000001</v>
      </c>
      <c r="O69" s="133">
        <f t="shared" ref="O69:O70" si="12">+N69/$N$71</f>
        <v>0.12671890418634932</v>
      </c>
      <c r="Q69" s="1" t="s">
        <v>299</v>
      </c>
      <c r="R69" s="134">
        <v>0</v>
      </c>
      <c r="S69" s="132">
        <f>+R69/$R$72</f>
        <v>0</v>
      </c>
      <c r="T69" s="134">
        <f>248*1000/365</f>
        <v>679.45205479452056</v>
      </c>
      <c r="U69" s="135">
        <f>+T69/T72</f>
        <v>0.65314483237924537</v>
      </c>
      <c r="V69" s="102"/>
    </row>
    <row r="70" spans="11:22" s="1" customFormat="1" ht="15.75" thickBot="1" x14ac:dyDescent="0.3">
      <c r="K70" s="136" t="s">
        <v>28</v>
      </c>
      <c r="L70" s="112">
        <f>+SUMIF($F$5:$F$19,K70,$H$5:$H$19)</f>
        <v>421344</v>
      </c>
      <c r="M70" s="137">
        <f t="shared" si="11"/>
        <v>0.83383599705526135</v>
      </c>
      <c r="N70" s="112">
        <f>+SUMIF($F$5:$F$19,K70,$J$5:$J$19)</f>
        <v>1682.6509999999998</v>
      </c>
      <c r="O70" s="138">
        <f t="shared" si="12"/>
        <v>0.86661149005687965</v>
      </c>
      <c r="Q70" s="1" t="s">
        <v>28</v>
      </c>
      <c r="R70" s="139">
        <v>537311</v>
      </c>
      <c r="S70" s="132">
        <f t="shared" ref="S70" si="13">+R70/$R$72</f>
        <v>0.67615631940905174</v>
      </c>
      <c r="T70" s="140">
        <f>76*1000/365</f>
        <v>208.21917808219177</v>
      </c>
      <c r="U70" s="102">
        <f>+T70/T72</f>
        <v>0.20015728734202679</v>
      </c>
    </row>
    <row r="71" spans="11:22" s="1" customFormat="1" ht="16.5" thickTop="1" thickBot="1" x14ac:dyDescent="0.3">
      <c r="L71" s="141">
        <f>+SUM(L68:L70)</f>
        <v>505308</v>
      </c>
      <c r="M71" s="132">
        <f t="shared" ref="M71:O71" si="14">+SUM(M68:M70)</f>
        <v>1</v>
      </c>
      <c r="N71" s="141">
        <f t="shared" si="14"/>
        <v>1941.6439999999998</v>
      </c>
      <c r="O71" s="141">
        <f t="shared" si="14"/>
        <v>1</v>
      </c>
      <c r="Q71" s="142" t="s">
        <v>408</v>
      </c>
      <c r="R71" s="143">
        <f>794655-(R70+R68+R69)</f>
        <v>141184</v>
      </c>
      <c r="S71" s="144">
        <f>+R71/R72</f>
        <v>0.17766703789694899</v>
      </c>
      <c r="T71" s="143">
        <f>+T72-(T68+T69+T70)</f>
        <v>117.26407914764081</v>
      </c>
      <c r="U71" s="145">
        <f>+T71/T72</f>
        <v>0.11272381440093643</v>
      </c>
    </row>
    <row r="72" spans="11:22" s="1" customFormat="1" ht="15.75" thickTop="1" x14ac:dyDescent="0.25">
      <c r="R72" s="146">
        <f>+SUM(R68:R71)</f>
        <v>794655</v>
      </c>
      <c r="S72" s="147">
        <f>+SUM(S68:S71)</f>
        <v>1</v>
      </c>
      <c r="T72" s="148">
        <f>(248+126.5)*1000/12/30</f>
        <v>1040.2777777777778</v>
      </c>
      <c r="U72" s="102">
        <f>+SUM(U68:U71)</f>
        <v>1</v>
      </c>
    </row>
    <row r="73" spans="11:22" s="1" customFormat="1" x14ac:dyDescent="0.25">
      <c r="T73" s="106"/>
    </row>
    <row r="74" spans="11:22" s="1" customFormat="1" x14ac:dyDescent="0.25"/>
    <row r="75" spans="11:22" s="1" customFormat="1" ht="15.75" thickBot="1" x14ac:dyDescent="0.3">
      <c r="K75" s="267" t="s">
        <v>409</v>
      </c>
      <c r="L75" s="267"/>
      <c r="M75" s="267"/>
      <c r="N75" s="267"/>
      <c r="O75" s="267"/>
      <c r="Q75" s="266" t="s">
        <v>410</v>
      </c>
      <c r="R75" s="266"/>
      <c r="S75" s="266"/>
      <c r="T75" s="266"/>
      <c r="U75" s="266"/>
    </row>
    <row r="76" spans="11:22" s="1" customFormat="1" ht="16.5" thickTop="1" thickBot="1" x14ac:dyDescent="0.3">
      <c r="L76" s="77" t="s">
        <v>411</v>
      </c>
      <c r="M76" s="78" t="s">
        <v>403</v>
      </c>
      <c r="N76" s="77" t="s">
        <v>412</v>
      </c>
      <c r="O76" s="78" t="s">
        <v>403</v>
      </c>
      <c r="Q76" s="149"/>
      <c r="R76" s="150" t="s">
        <v>411</v>
      </c>
      <c r="S76" s="151" t="s">
        <v>403</v>
      </c>
      <c r="T76" s="150" t="s">
        <v>412</v>
      </c>
      <c r="U76" s="151"/>
    </row>
    <row r="77" spans="11:22" s="1" customFormat="1" ht="15.75" thickTop="1" x14ac:dyDescent="0.25">
      <c r="K77" s="120" t="e" vm="1">
        <v>#VALUE!</v>
      </c>
      <c r="L77" s="152">
        <f t="shared" ref="L77:L84" si="15">+SUMIF($C$5:$C$19,K77,$S$5:$S$19)</f>
        <v>780.24166600000001</v>
      </c>
      <c r="M77" s="153">
        <f t="shared" ref="M77:M84" si="16">+L77/$L$86</f>
        <v>0.68232048572355875</v>
      </c>
      <c r="N77" s="154">
        <f t="shared" ref="N77:N84" si="17">+SUMIF($C$5:$C$19,K77,$T$5:$T$19)</f>
        <v>0</v>
      </c>
      <c r="O77" s="119">
        <f>+N77/$N$86</f>
        <v>0</v>
      </c>
      <c r="Q77" s="120" t="e" vm="1">
        <v>#VALUE!</v>
      </c>
      <c r="R77" s="155">
        <f>888415605/1000000</f>
        <v>888.41560500000003</v>
      </c>
      <c r="S77" s="153">
        <f t="shared" ref="S77:S85" si="18">+R77/$R$86</f>
        <v>0.45367392396496903</v>
      </c>
      <c r="T77" s="156">
        <f>17022745/1000000</f>
        <v>17.022745</v>
      </c>
      <c r="U77" s="119">
        <f t="shared" ref="U77:U85" si="19">+T77/$T$86</f>
        <v>4.5011767109696139E-3</v>
      </c>
    </row>
    <row r="78" spans="11:22" s="1" customFormat="1" x14ac:dyDescent="0.25">
      <c r="K78" s="120" t="e" vm="2">
        <v>#VALUE!</v>
      </c>
      <c r="L78" s="152">
        <f t="shared" si="15"/>
        <v>102.289863</v>
      </c>
      <c r="M78" s="153">
        <f t="shared" si="16"/>
        <v>8.9452373601842841E-2</v>
      </c>
      <c r="N78" s="154">
        <f t="shared" si="17"/>
        <v>13.059627000000001</v>
      </c>
      <c r="O78" s="119">
        <f t="shared" ref="O78:O84" si="20">+N78/$T$86</f>
        <v>3.4532438162205898E-3</v>
      </c>
      <c r="Q78" s="120" t="e" vm="2">
        <v>#VALUE!</v>
      </c>
      <c r="R78" s="155">
        <f>254681686/1000000</f>
        <v>254.68168600000001</v>
      </c>
      <c r="S78" s="153">
        <f t="shared" si="18"/>
        <v>0.1300544916133414</v>
      </c>
      <c r="T78" s="156">
        <f>200646510/1000000</f>
        <v>200.64651000000001</v>
      </c>
      <c r="U78" s="119">
        <f t="shared" si="19"/>
        <v>5.3055215122433642E-2</v>
      </c>
    </row>
    <row r="79" spans="11:22" s="1" customFormat="1" x14ac:dyDescent="0.25">
      <c r="K79" s="120" t="e" vm="3">
        <v>#VALUE!</v>
      </c>
      <c r="L79" s="152">
        <f t="shared" si="15"/>
        <v>47.828505</v>
      </c>
      <c r="M79" s="153">
        <f t="shared" si="16"/>
        <v>4.1825975444679288E-2</v>
      </c>
      <c r="N79" s="154">
        <f t="shared" si="17"/>
        <v>0</v>
      </c>
      <c r="O79" s="119">
        <f t="shared" si="20"/>
        <v>0</v>
      </c>
      <c r="Q79" s="120" t="e" vm="3">
        <v>#VALUE!</v>
      </c>
      <c r="R79" s="155">
        <f>67847887/1000000</f>
        <v>67.847887</v>
      </c>
      <c r="S79" s="153">
        <f t="shared" si="18"/>
        <v>3.4646866798362701E-2</v>
      </c>
      <c r="T79" s="156">
        <f>4989606/1000000</f>
        <v>4.9896060000000002</v>
      </c>
      <c r="U79" s="119">
        <f t="shared" si="19"/>
        <v>1.3193582071583784E-3</v>
      </c>
    </row>
    <row r="80" spans="11:22" s="1" customFormat="1" x14ac:dyDescent="0.25">
      <c r="K80" s="120" t="e" vm="4">
        <v>#VALUE!</v>
      </c>
      <c r="L80" s="152">
        <f t="shared" si="15"/>
        <v>33.462980999999999</v>
      </c>
      <c r="M80" s="153">
        <f t="shared" si="16"/>
        <v>2.9263340378541405E-2</v>
      </c>
      <c r="N80" s="154">
        <f t="shared" si="17"/>
        <v>6.0093600000000009</v>
      </c>
      <c r="O80" s="119">
        <f t="shared" si="20"/>
        <v>1.5890029063956701E-3</v>
      </c>
      <c r="Q80" s="120" t="e" vm="4">
        <v>#VALUE!</v>
      </c>
      <c r="R80" s="155">
        <f>8033760/1000000</f>
        <v>8.0337599999999991</v>
      </c>
      <c r="S80" s="153">
        <f t="shared" si="18"/>
        <v>4.1024801938196586E-3</v>
      </c>
      <c r="T80" s="156">
        <v>0</v>
      </c>
      <c r="U80" s="119">
        <f t="shared" si="19"/>
        <v>0</v>
      </c>
    </row>
    <row r="81" spans="11:21" s="1" customFormat="1" x14ac:dyDescent="0.25">
      <c r="K81" s="120" t="e" vm="5">
        <v>#VALUE!</v>
      </c>
      <c r="L81" s="152">
        <f t="shared" si="15"/>
        <v>29.106705999999999</v>
      </c>
      <c r="M81" s="153">
        <f t="shared" si="16"/>
        <v>2.545378264345706E-2</v>
      </c>
      <c r="N81" s="154">
        <f t="shared" si="17"/>
        <v>0</v>
      </c>
      <c r="O81" s="119">
        <f t="shared" si="20"/>
        <v>0</v>
      </c>
      <c r="Q81" s="120" t="e" vm="5">
        <v>#VALUE!</v>
      </c>
      <c r="R81" s="155">
        <f>59611739/1000000</f>
        <v>59.611739</v>
      </c>
      <c r="S81" s="153">
        <f t="shared" si="18"/>
        <v>3.0441036148285101E-2</v>
      </c>
      <c r="T81" s="156">
        <f>1702956/1000000</f>
        <v>1.7029559999999999</v>
      </c>
      <c r="U81" s="119">
        <f t="shared" si="19"/>
        <v>4.5029787422686348E-4</v>
      </c>
    </row>
    <row r="82" spans="11:21" s="1" customFormat="1" x14ac:dyDescent="0.25">
      <c r="K82" s="120" t="e" vm="6">
        <v>#VALUE!</v>
      </c>
      <c r="L82" s="152">
        <f t="shared" si="15"/>
        <v>25.150981999999999</v>
      </c>
      <c r="M82" s="153">
        <f t="shared" si="16"/>
        <v>2.1994506320897354E-2</v>
      </c>
      <c r="N82" s="154">
        <f t="shared" si="17"/>
        <v>0</v>
      </c>
      <c r="O82" s="119">
        <f t="shared" si="20"/>
        <v>0</v>
      </c>
      <c r="Q82" s="120" t="e" vm="6">
        <v>#VALUE!</v>
      </c>
      <c r="R82" s="155">
        <f>61421419/1000000</f>
        <v>61.421419</v>
      </c>
      <c r="S82" s="153">
        <f t="shared" si="18"/>
        <v>3.1365158397039301E-2</v>
      </c>
      <c r="T82" s="156">
        <f>176382695/1000000</f>
        <v>176.38269500000001</v>
      </c>
      <c r="U82" s="119">
        <f t="shared" si="19"/>
        <v>4.6639345120428964E-2</v>
      </c>
    </row>
    <row r="83" spans="11:21" s="1" customFormat="1" x14ac:dyDescent="0.25">
      <c r="K83" s="120" t="e" vm="7">
        <v>#VALUE!</v>
      </c>
      <c r="L83" s="152">
        <f t="shared" si="15"/>
        <v>125.431301</v>
      </c>
      <c r="M83" s="153">
        <f t="shared" si="16"/>
        <v>0.10968953588702338</v>
      </c>
      <c r="N83" s="154">
        <f t="shared" si="17"/>
        <v>1979.4402600000001</v>
      </c>
      <c r="O83" s="119">
        <f t="shared" si="20"/>
        <v>0.52340620734597365</v>
      </c>
      <c r="Q83" s="120" t="e" vm="7">
        <v>#VALUE!</v>
      </c>
      <c r="R83" s="155">
        <f>380888372/1000000</f>
        <v>380.888372</v>
      </c>
      <c r="S83" s="153">
        <f t="shared" si="18"/>
        <v>0.19450257440926969</v>
      </c>
      <c r="T83" s="156">
        <f>2216125271/1000000</f>
        <v>2216.1252709999999</v>
      </c>
      <c r="U83" s="119">
        <f t="shared" si="19"/>
        <v>0.58599077049068304</v>
      </c>
    </row>
    <row r="84" spans="11:21" s="1" customFormat="1" ht="15.75" thickBot="1" x14ac:dyDescent="0.3">
      <c r="K84" s="157" t="e" vm="8">
        <v>#VALUE!</v>
      </c>
      <c r="L84" s="158">
        <f t="shared" si="15"/>
        <v>0</v>
      </c>
      <c r="M84" s="159">
        <f t="shared" si="16"/>
        <v>0</v>
      </c>
      <c r="N84" s="160">
        <f t="shared" si="17"/>
        <v>851.68370000000004</v>
      </c>
      <c r="O84" s="161">
        <f t="shared" si="20"/>
        <v>0.22520332857905298</v>
      </c>
      <c r="Q84" s="120" t="e" vm="8">
        <v>#VALUE!</v>
      </c>
      <c r="R84" s="155">
        <v>0</v>
      </c>
      <c r="S84" s="153">
        <f t="shared" si="18"/>
        <v>0</v>
      </c>
      <c r="T84" s="156">
        <f>583846226/1000000</f>
        <v>583.846226</v>
      </c>
      <c r="U84" s="119">
        <f t="shared" si="19"/>
        <v>0.1543813900319074</v>
      </c>
    </row>
    <row r="85" spans="11:21" s="1" customFormat="1" ht="16.5" thickTop="1" thickBot="1" x14ac:dyDescent="0.3">
      <c r="M85" s="60" t="s">
        <v>413</v>
      </c>
      <c r="N85" s="60"/>
      <c r="O85" s="60" t="s">
        <v>413</v>
      </c>
      <c r="Q85" s="128" t="s">
        <v>405</v>
      </c>
      <c r="R85" s="162">
        <f>+R86-SUM(R77:R84)</f>
        <v>237.36858400000028</v>
      </c>
      <c r="S85" s="163">
        <f t="shared" si="18"/>
        <v>0.12121346847491325</v>
      </c>
      <c r="T85" s="164">
        <f>+T86-SUM(T77:T84)</f>
        <v>581.12729399999989</v>
      </c>
      <c r="U85" s="165">
        <f t="shared" si="19"/>
        <v>0.15366244644219196</v>
      </c>
    </row>
    <row r="86" spans="11:21" s="1" customFormat="1" ht="15.75" thickTop="1" x14ac:dyDescent="0.25">
      <c r="K86" s="28" t="s">
        <v>390</v>
      </c>
      <c r="L86" s="166">
        <f>+SUM(S5:S19)</f>
        <v>1143.5120039999999</v>
      </c>
      <c r="M86" s="167">
        <f>+L86/R86</f>
        <v>0.58394019087015625</v>
      </c>
      <c r="N86" s="166">
        <f>+SUM(T5:T19)</f>
        <v>2850.1929470000005</v>
      </c>
      <c r="O86" s="167">
        <f>+N86/T86</f>
        <v>0.75365178264764299</v>
      </c>
      <c r="Q86" s="28" t="s">
        <v>414</v>
      </c>
      <c r="R86" s="168">
        <f>1958269052/1000000</f>
        <v>1958.2690520000001</v>
      </c>
      <c r="S86" s="167">
        <v>1</v>
      </c>
      <c r="T86" s="169">
        <f>3781843303/1000000</f>
        <v>3781.8433030000001</v>
      </c>
      <c r="U86" s="167">
        <v>1</v>
      </c>
    </row>
    <row r="87" spans="11:21" s="1" customFormat="1" ht="15.75" thickBot="1" x14ac:dyDescent="0.3">
      <c r="K87" s="170" t="s">
        <v>415</v>
      </c>
      <c r="L87" s="171">
        <f>+SUMIF($D$5:$D$19,"ECP",S5:S19)</f>
        <v>881.67837800000007</v>
      </c>
      <c r="M87" s="172">
        <f>+L87/R87</f>
        <v>0.72932283729009861</v>
      </c>
      <c r="N87" s="171">
        <f>+SUMIF($D$5:$D$19,"ECP",T5:T19)</f>
        <v>1217.0778270000001</v>
      </c>
      <c r="O87" s="172">
        <f>+N87/T87</f>
        <v>0.40502027534293078</v>
      </c>
      <c r="Q87" s="170" t="s">
        <v>30</v>
      </c>
      <c r="R87" s="173">
        <f>1727*0.7</f>
        <v>1208.8999999999999</v>
      </c>
      <c r="S87" s="172">
        <f>+R87/R86</f>
        <v>0.6173309018826284</v>
      </c>
      <c r="T87" s="174">
        <f>1727*0.3*5800*(1/1000)</f>
        <v>3004.98</v>
      </c>
      <c r="U87" s="172">
        <f>+T87/T86</f>
        <v>0.79458077959397677</v>
      </c>
    </row>
    <row r="88" spans="11:21" s="1" customFormat="1" ht="15.75" thickTop="1" x14ac:dyDescent="0.25">
      <c r="K88" s="1" t="s">
        <v>416</v>
      </c>
      <c r="L88" s="154">
        <f>+SUMIF($D$5:$D$19,"ECP",S5:S19)+SUMIF($D$5:$D$19,"EQUION*",S5:S19)</f>
        <v>971.22755100000006</v>
      </c>
      <c r="M88" s="111">
        <f>+L88/R87</f>
        <v>0.80339775911986122</v>
      </c>
      <c r="N88" s="154">
        <f>+SUMIF($D$5:$D$19,"ECP",T5:T19)++SUMIF($D$5:$D$19,"EQUION*",T5:T19)</f>
        <v>1998.5092470000002</v>
      </c>
      <c r="O88" s="147">
        <f>+N88/T87</f>
        <v>0.66506573987181283</v>
      </c>
    </row>
    <row r="89" spans="11:21" s="1" customFormat="1" x14ac:dyDescent="0.25"/>
    <row r="90" spans="11:21" s="1" customFormat="1" x14ac:dyDescent="0.25">
      <c r="L90" s="95"/>
    </row>
    <row r="91" spans="11:21" s="1" customFormat="1" ht="15.75" x14ac:dyDescent="0.25">
      <c r="Q91" s="263" t="s">
        <v>417</v>
      </c>
      <c r="R91" s="263"/>
      <c r="S91" s="263"/>
      <c r="T91" s="263"/>
      <c r="U91" s="263"/>
    </row>
    <row r="92" spans="11:21" s="1" customFormat="1" ht="15.75" thickBot="1" x14ac:dyDescent="0.3">
      <c r="Q92" s="170"/>
      <c r="R92" s="170" t="s">
        <v>418</v>
      </c>
      <c r="S92" s="170"/>
      <c r="T92" s="170" t="s">
        <v>419</v>
      </c>
      <c r="U92" s="170"/>
    </row>
    <row r="93" spans="11:21" s="1" customFormat="1" ht="15.75" thickTop="1" x14ac:dyDescent="0.25">
      <c r="Q93" s="84" t="s">
        <v>414</v>
      </c>
      <c r="R93" s="1">
        <v>492</v>
      </c>
    </row>
    <row r="94" spans="11:21" s="1" customFormat="1" x14ac:dyDescent="0.25">
      <c r="Q94" s="84" t="s">
        <v>420</v>
      </c>
      <c r="R94" s="1">
        <v>42</v>
      </c>
    </row>
    <row r="95" spans="11:21" s="1" customFormat="1" x14ac:dyDescent="0.25">
      <c r="Q95" s="84" t="s">
        <v>421</v>
      </c>
      <c r="R95" s="1">
        <v>450</v>
      </c>
    </row>
    <row r="96" spans="11:21" s="1" customFormat="1" ht="15.75" thickBot="1" x14ac:dyDescent="0.3">
      <c r="Q96" s="175" t="s">
        <v>422</v>
      </c>
      <c r="R96" s="136"/>
      <c r="S96" s="136"/>
      <c r="T96" s="136"/>
      <c r="U96" s="136"/>
    </row>
    <row r="97" spans="17:22" s="1" customFormat="1" ht="15.75" thickTop="1" x14ac:dyDescent="0.25">
      <c r="Q97" s="84" t="s">
        <v>30</v>
      </c>
    </row>
    <row r="98" spans="17:22" s="1" customFormat="1" x14ac:dyDescent="0.25">
      <c r="Q98" s="84" t="s">
        <v>420</v>
      </c>
    </row>
    <row r="99" spans="17:22" s="1" customFormat="1" x14ac:dyDescent="0.25">
      <c r="Q99" s="84" t="s">
        <v>421</v>
      </c>
    </row>
    <row r="100" spans="17:22" s="1" customFormat="1" ht="15.75" thickBot="1" x14ac:dyDescent="0.3">
      <c r="Q100" s="175" t="s">
        <v>422</v>
      </c>
      <c r="R100" s="136"/>
      <c r="S100" s="136"/>
      <c r="T100" s="136"/>
      <c r="U100" s="136"/>
    </row>
    <row r="101" spans="17:22" s="1" customFormat="1" ht="15.75" thickTop="1" x14ac:dyDescent="0.25"/>
    <row r="102" spans="17:22" s="1" customFormat="1" x14ac:dyDescent="0.25"/>
    <row r="103" spans="17:22" s="1" customFormat="1" x14ac:dyDescent="0.25"/>
    <row r="104" spans="17:22" s="1" customFormat="1" ht="15.75" x14ac:dyDescent="0.25">
      <c r="Q104" s="264" t="s">
        <v>423</v>
      </c>
      <c r="R104" s="264"/>
      <c r="S104" s="264"/>
      <c r="T104" s="264"/>
      <c r="U104" s="264"/>
      <c r="V104" s="264"/>
    </row>
    <row r="105" spans="17:22" s="1" customFormat="1" ht="16.5" thickBot="1" x14ac:dyDescent="0.3">
      <c r="Q105" s="265" t="s">
        <v>424</v>
      </c>
      <c r="R105" s="265"/>
      <c r="S105" s="265"/>
      <c r="T105" s="265"/>
      <c r="U105" s="265"/>
      <c r="V105" s="265"/>
    </row>
    <row r="106" spans="17:22" s="1" customFormat="1" ht="15.75" thickTop="1" x14ac:dyDescent="0.25">
      <c r="Q106" s="78"/>
      <c r="R106" s="78" t="s">
        <v>425</v>
      </c>
      <c r="S106" s="78" t="s">
        <v>426</v>
      </c>
      <c r="T106" s="78" t="s">
        <v>427</v>
      </c>
      <c r="U106" s="78" t="s">
        <v>428</v>
      </c>
      <c r="V106" s="98" t="s">
        <v>429</v>
      </c>
    </row>
    <row r="107" spans="17:22" s="1" customFormat="1" x14ac:dyDescent="0.25">
      <c r="Q107" s="78"/>
      <c r="R107" s="78" t="s">
        <v>430</v>
      </c>
      <c r="S107" s="78" t="s">
        <v>431</v>
      </c>
      <c r="T107" s="78" t="s">
        <v>432</v>
      </c>
      <c r="U107" s="78" t="s">
        <v>433</v>
      </c>
      <c r="V107" s="98" t="s">
        <v>429</v>
      </c>
    </row>
    <row r="108" spans="17:22" s="1" customFormat="1" x14ac:dyDescent="0.25">
      <c r="Q108" s="78">
        <v>2014</v>
      </c>
      <c r="R108" s="78">
        <v>2308</v>
      </c>
      <c r="S108" s="78">
        <v>361</v>
      </c>
      <c r="T108" s="78">
        <v>206</v>
      </c>
      <c r="U108" s="176">
        <f>+T108/S108</f>
        <v>0.5706371191135734</v>
      </c>
      <c r="V108" s="155">
        <f>+R108/S108</f>
        <v>6.3933518005540169</v>
      </c>
    </row>
    <row r="109" spans="17:22" s="1" customFormat="1" x14ac:dyDescent="0.25">
      <c r="Q109" s="78">
        <v>2015</v>
      </c>
      <c r="R109" s="78">
        <v>2002</v>
      </c>
      <c r="S109" s="78">
        <v>367</v>
      </c>
      <c r="T109" s="78">
        <v>48</v>
      </c>
      <c r="U109" s="176">
        <f t="shared" ref="U109:U113" si="21">+T109/S109</f>
        <v>0.13079019073569481</v>
      </c>
      <c r="V109" s="155">
        <f t="shared" ref="V109:V113" si="22">+R109/S109</f>
        <v>5.4550408719346049</v>
      </c>
    </row>
    <row r="110" spans="17:22" s="1" customFormat="1" x14ac:dyDescent="0.25">
      <c r="Q110" s="78">
        <v>2016</v>
      </c>
      <c r="R110" s="78">
        <v>1665</v>
      </c>
      <c r="S110" s="78">
        <v>324</v>
      </c>
      <c r="T110" s="78">
        <v>-20</v>
      </c>
      <c r="U110" s="176">
        <f t="shared" si="21"/>
        <v>-6.1728395061728392E-2</v>
      </c>
      <c r="V110" s="155">
        <f t="shared" si="22"/>
        <v>5.1388888888888893</v>
      </c>
    </row>
    <row r="111" spans="17:22" s="1" customFormat="1" x14ac:dyDescent="0.25">
      <c r="Q111" s="78">
        <v>2017</v>
      </c>
      <c r="R111" s="78">
        <v>1782</v>
      </c>
      <c r="S111" s="78">
        <v>312</v>
      </c>
      <c r="T111" s="78">
        <v>429</v>
      </c>
      <c r="U111" s="176">
        <f t="shared" si="21"/>
        <v>1.375</v>
      </c>
      <c r="V111" s="155">
        <f t="shared" si="22"/>
        <v>5.7115384615384617</v>
      </c>
    </row>
    <row r="112" spans="17:22" s="1" customFormat="1" x14ac:dyDescent="0.25">
      <c r="Q112" s="78">
        <v>2018</v>
      </c>
      <c r="R112" s="78">
        <v>1958</v>
      </c>
      <c r="S112" s="78">
        <v>316</v>
      </c>
      <c r="T112" s="78">
        <v>492</v>
      </c>
      <c r="U112" s="176">
        <f t="shared" si="21"/>
        <v>1.5569620253164558</v>
      </c>
      <c r="V112" s="155">
        <f t="shared" si="22"/>
        <v>6.1962025316455698</v>
      </c>
    </row>
    <row r="113" spans="17:22" s="1" customFormat="1" x14ac:dyDescent="0.25">
      <c r="Q113" s="78">
        <v>2019</v>
      </c>
      <c r="R113" s="78">
        <v>2041</v>
      </c>
      <c r="S113" s="78">
        <v>323</v>
      </c>
      <c r="T113" s="78">
        <v>406</v>
      </c>
      <c r="U113" s="176">
        <f t="shared" si="21"/>
        <v>1.2569659442724459</v>
      </c>
      <c r="V113" s="155">
        <f t="shared" si="22"/>
        <v>6.3188854489164088</v>
      </c>
    </row>
    <row r="114" spans="17:22" s="1" customFormat="1" ht="16.5" thickBot="1" x14ac:dyDescent="0.3">
      <c r="Q114" s="265" t="s">
        <v>434</v>
      </c>
      <c r="R114" s="265"/>
      <c r="S114" s="265"/>
      <c r="T114" s="265"/>
      <c r="U114" s="265"/>
      <c r="V114" s="265"/>
    </row>
    <row r="115" spans="17:22" s="1" customFormat="1" ht="15.75" thickTop="1" x14ac:dyDescent="0.25">
      <c r="Q115" s="78"/>
      <c r="R115" s="78" t="s">
        <v>425</v>
      </c>
      <c r="S115" s="78" t="s">
        <v>426</v>
      </c>
      <c r="T115" s="78" t="s">
        <v>427</v>
      </c>
      <c r="U115" s="78" t="s">
        <v>428</v>
      </c>
      <c r="V115" s="98" t="s">
        <v>429</v>
      </c>
    </row>
    <row r="116" spans="17:22" s="1" customFormat="1" x14ac:dyDescent="0.25">
      <c r="Q116" s="78"/>
      <c r="R116" s="78" t="s">
        <v>430</v>
      </c>
      <c r="S116" s="78" t="s">
        <v>431</v>
      </c>
      <c r="T116" s="78" t="s">
        <v>432</v>
      </c>
      <c r="U116" s="78" t="s">
        <v>433</v>
      </c>
      <c r="V116" s="98" t="s">
        <v>429</v>
      </c>
    </row>
    <row r="117" spans="17:22" s="1" customFormat="1" x14ac:dyDescent="0.25">
      <c r="Q117" s="78">
        <v>2014</v>
      </c>
      <c r="R117" s="78">
        <v>4758</v>
      </c>
      <c r="S117" s="78">
        <v>421</v>
      </c>
      <c r="T117" s="78">
        <v>-296</v>
      </c>
      <c r="U117" s="176">
        <f>+T117/S117</f>
        <v>-0.70308788598574823</v>
      </c>
      <c r="V117" s="155">
        <f>+R117/S117</f>
        <v>11.30166270783848</v>
      </c>
    </row>
    <row r="118" spans="17:22" s="1" customFormat="1" x14ac:dyDescent="0.25">
      <c r="Q118" s="78">
        <v>2015</v>
      </c>
      <c r="R118" s="78">
        <v>4361</v>
      </c>
      <c r="S118" s="78">
        <v>417</v>
      </c>
      <c r="T118" s="78">
        <v>35</v>
      </c>
      <c r="U118" s="176">
        <f t="shared" ref="U118:U122" si="23">+T118/S118</f>
        <v>8.3932853717026384E-2</v>
      </c>
      <c r="V118" s="155">
        <f t="shared" ref="V118:V122" si="24">+R118/S118</f>
        <v>10.458033573141487</v>
      </c>
    </row>
    <row r="119" spans="17:22" s="1" customFormat="1" x14ac:dyDescent="0.25">
      <c r="Q119" s="78">
        <v>2016</v>
      </c>
      <c r="R119" s="78">
        <v>4024</v>
      </c>
      <c r="S119" s="78">
        <v>389</v>
      </c>
      <c r="T119" s="78">
        <v>22</v>
      </c>
      <c r="U119" s="176">
        <f t="shared" si="23"/>
        <v>5.6555269922879174E-2</v>
      </c>
      <c r="V119" s="155">
        <f t="shared" si="24"/>
        <v>10.344473007712082</v>
      </c>
    </row>
    <row r="120" spans="17:22" s="1" customFormat="1" x14ac:dyDescent="0.25">
      <c r="Q120" s="78">
        <v>2017</v>
      </c>
      <c r="R120" s="78">
        <v>3896</v>
      </c>
      <c r="S120" s="78">
        <v>332</v>
      </c>
      <c r="T120" s="78">
        <v>204</v>
      </c>
      <c r="U120" s="176">
        <f t="shared" si="23"/>
        <v>0.61445783132530118</v>
      </c>
      <c r="V120" s="155">
        <f t="shared" si="24"/>
        <v>11.734939759036145</v>
      </c>
    </row>
    <row r="121" spans="17:22" s="1" customFormat="1" x14ac:dyDescent="0.25">
      <c r="Q121" s="78">
        <v>2018</v>
      </c>
      <c r="R121" s="78">
        <v>3782</v>
      </c>
      <c r="S121" s="78">
        <v>386</v>
      </c>
      <c r="T121" s="78">
        <v>272</v>
      </c>
      <c r="U121" s="176">
        <f t="shared" si="23"/>
        <v>0.70466321243523311</v>
      </c>
      <c r="V121" s="155">
        <f t="shared" si="24"/>
        <v>9.7979274611398957</v>
      </c>
    </row>
    <row r="122" spans="17:22" s="1" customFormat="1" ht="15.75" thickBot="1" x14ac:dyDescent="0.3">
      <c r="Q122" s="97">
        <v>2019</v>
      </c>
      <c r="R122" s="97">
        <v>3163</v>
      </c>
      <c r="S122" s="97">
        <v>391</v>
      </c>
      <c r="T122" s="97">
        <v>-228</v>
      </c>
      <c r="U122" s="177">
        <f t="shared" si="23"/>
        <v>-0.58312020460358061</v>
      </c>
      <c r="V122" s="178">
        <f t="shared" si="24"/>
        <v>8.0895140664961644</v>
      </c>
    </row>
    <row r="123" spans="17:22" s="1" customFormat="1" ht="15.75" thickTop="1" x14ac:dyDescent="0.25"/>
    <row r="124" spans="17:22" s="1" customFormat="1" x14ac:dyDescent="0.25"/>
    <row r="125" spans="17:22" s="1" customFormat="1" x14ac:dyDescent="0.25"/>
    <row r="126" spans="17:22" s="1" customFormat="1" x14ac:dyDescent="0.25"/>
    <row r="127" spans="17:22" s="1" customFormat="1" x14ac:dyDescent="0.25"/>
    <row r="128" spans="17:22" s="1" customFormat="1" x14ac:dyDescent="0.25"/>
    <row r="129" s="1" customFormat="1" x14ac:dyDescent="0.25"/>
    <row r="130" s="1" customFormat="1" x14ac:dyDescent="0.25"/>
    <row r="131" s="1" customFormat="1" x14ac:dyDescent="0.25"/>
    <row r="132" s="1" customFormat="1" x14ac:dyDescent="0.25"/>
    <row r="133" s="1" customFormat="1" x14ac:dyDescent="0.25"/>
    <row r="134" s="1" customFormat="1" x14ac:dyDescent="0.25"/>
    <row r="135" s="1" customFormat="1" x14ac:dyDescent="0.25"/>
    <row r="136" s="1" customFormat="1" x14ac:dyDescent="0.25"/>
    <row r="137" s="1" customFormat="1" x14ac:dyDescent="0.25"/>
    <row r="138" s="1" customFormat="1" x14ac:dyDescent="0.25"/>
    <row r="139" s="1" customFormat="1" x14ac:dyDescent="0.25"/>
    <row r="140" s="1" customFormat="1" x14ac:dyDescent="0.25"/>
    <row r="141" s="1" customFormat="1" x14ac:dyDescent="0.25"/>
    <row r="142" s="1" customFormat="1" x14ac:dyDescent="0.25"/>
    <row r="143" s="1" customFormat="1" x14ac:dyDescent="0.25"/>
    <row r="144" s="1" customFormat="1" x14ac:dyDescent="0.25"/>
    <row r="145" s="1" customFormat="1" x14ac:dyDescent="0.25"/>
    <row r="146" s="1" customFormat="1" x14ac:dyDescent="0.25"/>
    <row r="147" s="1" customFormat="1" x14ac:dyDescent="0.25"/>
    <row r="148" s="1" customFormat="1" x14ac:dyDescent="0.25"/>
    <row r="149" s="1" customFormat="1" x14ac:dyDescent="0.25"/>
    <row r="150" s="1" customFormat="1" x14ac:dyDescent="0.25"/>
    <row r="151" s="1" customFormat="1" x14ac:dyDescent="0.25"/>
    <row r="152" s="1" customFormat="1" x14ac:dyDescent="0.25"/>
    <row r="153" s="1" customFormat="1" x14ac:dyDescent="0.25"/>
    <row r="154" s="1" customFormat="1" x14ac:dyDescent="0.25"/>
    <row r="155" s="1" customFormat="1" x14ac:dyDescent="0.25"/>
    <row r="156" s="1" customFormat="1" x14ac:dyDescent="0.25"/>
    <row r="157" s="1" customFormat="1" x14ac:dyDescent="0.25"/>
    <row r="158" s="1" customFormat="1" x14ac:dyDescent="0.25"/>
    <row r="159" s="1" customFormat="1" x14ac:dyDescent="0.25"/>
    <row r="160" s="1" customFormat="1" x14ac:dyDescent="0.25"/>
    <row r="161" s="1" customFormat="1" x14ac:dyDescent="0.25"/>
    <row r="162" s="1" customFormat="1" x14ac:dyDescent="0.25"/>
    <row r="163" s="1" customFormat="1" x14ac:dyDescent="0.25"/>
    <row r="164" s="1" customFormat="1" x14ac:dyDescent="0.25"/>
    <row r="165" s="1" customFormat="1" x14ac:dyDescent="0.25"/>
    <row r="166" s="1" customFormat="1" x14ac:dyDescent="0.25"/>
    <row r="167" s="1" customFormat="1" x14ac:dyDescent="0.25"/>
    <row r="168" s="1" customFormat="1" x14ac:dyDescent="0.25"/>
    <row r="169" s="1" customFormat="1" x14ac:dyDescent="0.25"/>
    <row r="170" s="1" customFormat="1" x14ac:dyDescent="0.25"/>
    <row r="171" s="1" customFormat="1" x14ac:dyDescent="0.25"/>
    <row r="172" s="1" customFormat="1" x14ac:dyDescent="0.25"/>
    <row r="173" s="1" customFormat="1" x14ac:dyDescent="0.25"/>
    <row r="174" s="1" customFormat="1" x14ac:dyDescent="0.25"/>
    <row r="175" s="1" customFormat="1" x14ac:dyDescent="0.25"/>
    <row r="176" s="1" customFormat="1" x14ac:dyDescent="0.25"/>
    <row r="177" s="1" customFormat="1" x14ac:dyDescent="0.25"/>
    <row r="178" s="1" customFormat="1" x14ac:dyDescent="0.25"/>
    <row r="179" s="1" customFormat="1" x14ac:dyDescent="0.25"/>
    <row r="180" s="1" customFormat="1" x14ac:dyDescent="0.25"/>
    <row r="181" s="1" customFormat="1" x14ac:dyDescent="0.25"/>
    <row r="182" s="1" customFormat="1" x14ac:dyDescent="0.25"/>
    <row r="183" s="1" customFormat="1" x14ac:dyDescent="0.25"/>
    <row r="184" s="1" customFormat="1" x14ac:dyDescent="0.25"/>
    <row r="185" s="1" customFormat="1" x14ac:dyDescent="0.25"/>
    <row r="186" s="1" customFormat="1" x14ac:dyDescent="0.25"/>
    <row r="187" s="1" customFormat="1" x14ac:dyDescent="0.25"/>
    <row r="188" s="1" customFormat="1" x14ac:dyDescent="0.25"/>
    <row r="189" s="1" customFormat="1" x14ac:dyDescent="0.25"/>
    <row r="190" s="1" customFormat="1" x14ac:dyDescent="0.25"/>
    <row r="191" s="1" customFormat="1" x14ac:dyDescent="0.25"/>
    <row r="192" s="1" customFormat="1" x14ac:dyDescent="0.25"/>
    <row r="193" s="1" customFormat="1" x14ac:dyDescent="0.25"/>
    <row r="194" s="1" customFormat="1" x14ac:dyDescent="0.25"/>
    <row r="195" s="1" customFormat="1" x14ac:dyDescent="0.25"/>
    <row r="196" s="1" customFormat="1" x14ac:dyDescent="0.25"/>
    <row r="197" s="1" customFormat="1" x14ac:dyDescent="0.25"/>
    <row r="198" s="1" customFormat="1" x14ac:dyDescent="0.25"/>
    <row r="199" s="1" customFormat="1" x14ac:dyDescent="0.25"/>
    <row r="200" s="1" customFormat="1" x14ac:dyDescent="0.25"/>
    <row r="201" s="1" customFormat="1" x14ac:dyDescent="0.25"/>
    <row r="202" s="1" customFormat="1" x14ac:dyDescent="0.25"/>
    <row r="203" s="1" customFormat="1" x14ac:dyDescent="0.25"/>
    <row r="204" s="1" customFormat="1" x14ac:dyDescent="0.25"/>
    <row r="205" s="1" customFormat="1" x14ac:dyDescent="0.25"/>
    <row r="206" s="1" customFormat="1" x14ac:dyDescent="0.25"/>
    <row r="207" s="1" customFormat="1" x14ac:dyDescent="0.25"/>
    <row r="208" s="1" customFormat="1" x14ac:dyDescent="0.25"/>
    <row r="209" s="1" customFormat="1" x14ac:dyDescent="0.25"/>
    <row r="210" s="1" customFormat="1" x14ac:dyDescent="0.25"/>
    <row r="211" s="1" customFormat="1" x14ac:dyDescent="0.25"/>
    <row r="212" s="1" customFormat="1" x14ac:dyDescent="0.25"/>
    <row r="213" s="1" customFormat="1" x14ac:dyDescent="0.25"/>
    <row r="214" s="1" customFormat="1" x14ac:dyDescent="0.25"/>
    <row r="215" s="1" customFormat="1" x14ac:dyDescent="0.25"/>
    <row r="216" s="1" customFormat="1" x14ac:dyDescent="0.25"/>
    <row r="217" s="1" customFormat="1" x14ac:dyDescent="0.25"/>
    <row r="218" s="1" customFormat="1" x14ac:dyDescent="0.25"/>
    <row r="219" s="1" customFormat="1" x14ac:dyDescent="0.25"/>
  </sheetData>
  <mergeCells count="16">
    <mergeCell ref="U3:W3"/>
    <mergeCell ref="K28:M28"/>
    <mergeCell ref="K36:N36"/>
    <mergeCell ref="Q37:T37"/>
    <mergeCell ref="K43:M43"/>
    <mergeCell ref="Q43:S43"/>
    <mergeCell ref="Q91:U91"/>
    <mergeCell ref="Q104:V104"/>
    <mergeCell ref="Q105:V105"/>
    <mergeCell ref="Q114:V114"/>
    <mergeCell ref="K52:O52"/>
    <mergeCell ref="Q52:U52"/>
    <mergeCell ref="K66:O66"/>
    <mergeCell ref="Q66:U66"/>
    <mergeCell ref="K75:O75"/>
    <mergeCell ref="Q75:U75"/>
  </mergeCells>
  <conditionalFormatting sqref="F5">
    <cfRule type="containsBlanks" dxfId="43" priority="31">
      <formula>LEN(TRIM(F5))=0</formula>
    </cfRule>
  </conditionalFormatting>
  <conditionalFormatting sqref="M5:N5">
    <cfRule type="containsText" dxfId="42" priority="28" operator="containsText" text="Oil and Gas">
      <formula>NOT(ISERROR(SEARCH("Oil and Gas",M5)))</formula>
    </cfRule>
    <cfRule type="containsText" dxfId="41" priority="29" operator="containsText" text="Gas">
      <formula>NOT(ISERROR(SEARCH("Gas",M5)))</formula>
    </cfRule>
    <cfRule type="containsText" dxfId="40" priority="30" operator="containsText" text="Oil">
      <formula>NOT(ISERROR(SEARCH("Oil",M5)))</formula>
    </cfRule>
  </conditionalFormatting>
  <conditionalFormatting sqref="K22:K24">
    <cfRule type="containsText" dxfId="39" priority="25" operator="containsText" text="Oil and Gas">
      <formula>NOT(ISERROR(SEARCH("Oil and Gas",K22)))</formula>
    </cfRule>
    <cfRule type="containsText" dxfId="38" priority="26" operator="containsText" text="Gas">
      <formula>NOT(ISERROR(SEARCH("Gas",K22)))</formula>
    </cfRule>
    <cfRule type="containsText" dxfId="37" priority="27" operator="containsText" text="Oil">
      <formula>NOT(ISERROR(SEARCH("Oil",K22)))</formula>
    </cfRule>
  </conditionalFormatting>
  <conditionalFormatting sqref="F6:F19">
    <cfRule type="containsBlanks" dxfId="36" priority="8">
      <formula>LEN(TRIM(F6))=0</formula>
    </cfRule>
  </conditionalFormatting>
  <conditionalFormatting sqref="M6:N19">
    <cfRule type="containsText" dxfId="35" priority="5" operator="containsText" text="Oil and Gas">
      <formula>NOT(ISERROR(SEARCH("Oil and Gas",M6)))</formula>
    </cfRule>
    <cfRule type="containsText" dxfId="34" priority="6" operator="containsText" text="Gas">
      <formula>NOT(ISERROR(SEARCH("Gas",M6)))</formula>
    </cfRule>
    <cfRule type="containsText" dxfId="33" priority="7" operator="containsText" text="Oil">
      <formula>NOT(ISERROR(SEARCH("Oil",M6)))</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21" operator="containsText" id="{C797FD9D-5DC1-448A-B187-59DC661596FC}">
            <xm:f>NOT(ISERROR(SEARCH($K$33,O5)))</xm:f>
            <xm:f>$K$33</xm:f>
            <x14:dxf>
              <fill>
                <patternFill>
                  <bgColor theme="7" tint="0.79998168889431442"/>
                </patternFill>
              </fill>
            </x14:dxf>
          </x14:cfRule>
          <x14:cfRule type="containsText" priority="22" operator="containsText" id="{8EF5AE3E-F0D7-4314-8DBE-21B4A518D8F9}">
            <xm:f>NOT(ISERROR(SEARCH($K$32,O5)))</xm:f>
            <xm:f>$K$32</xm:f>
            <x14:dxf>
              <fill>
                <patternFill>
                  <bgColor theme="5" tint="0.79998168889431442"/>
                </patternFill>
              </fill>
            </x14:dxf>
          </x14:cfRule>
          <x14:cfRule type="containsText" priority="23" operator="containsText" id="{17DC543E-B68B-4484-8510-5F2DEF23A458}">
            <xm:f>NOT(ISERROR(SEARCH($K$31,O5)))</xm:f>
            <xm:f>$K$31</xm:f>
            <x14:dxf>
              <fill>
                <patternFill>
                  <bgColor theme="0" tint="-0.24994659260841701"/>
                </patternFill>
              </fill>
            </x14:dxf>
          </x14:cfRule>
          <x14:cfRule type="containsText" priority="24" operator="containsText" id="{6029F5FA-0A89-4B19-A4D9-52F6CFC437CE}">
            <xm:f>NOT(ISERROR(SEARCH($K$30,O5)))</xm:f>
            <xm:f>$K$30</xm:f>
            <x14:dxf>
              <fill>
                <patternFill>
                  <bgColor theme="0" tint="-0.34998626667073579"/>
                </patternFill>
              </fill>
            </x14:dxf>
          </x14:cfRule>
          <xm:sqref>O5</xm:sqref>
        </x14:conditionalFormatting>
        <x14:conditionalFormatting xmlns:xm="http://schemas.microsoft.com/office/excel/2006/main">
          <x14:cfRule type="containsText" priority="17" operator="containsText" id="{C8744857-6D46-406F-871B-0694ECBCAFFC}">
            <xm:f>NOT(ISERROR(SEARCH($K$33,K30)))</xm:f>
            <xm:f>$K$33</xm:f>
            <x14:dxf>
              <fill>
                <patternFill>
                  <bgColor theme="7" tint="0.79998168889431442"/>
                </patternFill>
              </fill>
            </x14:dxf>
          </x14:cfRule>
          <x14:cfRule type="containsText" priority="18" operator="containsText" id="{FE641021-A830-44EE-A7A0-1F6E3ADEFB7D}">
            <xm:f>NOT(ISERROR(SEARCH($K$32,K30)))</xm:f>
            <xm:f>$K$32</xm:f>
            <x14:dxf>
              <fill>
                <patternFill>
                  <bgColor theme="5" tint="0.79998168889431442"/>
                </patternFill>
              </fill>
            </x14:dxf>
          </x14:cfRule>
          <x14:cfRule type="containsText" priority="19" operator="containsText" id="{F15B28A0-31F3-42FC-89AE-6EAD61EDFD58}">
            <xm:f>NOT(ISERROR(SEARCH($K$31,K30)))</xm:f>
            <xm:f>$K$31</xm:f>
            <x14:dxf>
              <fill>
                <patternFill>
                  <bgColor theme="0" tint="-0.24994659260841701"/>
                </patternFill>
              </fill>
            </x14:dxf>
          </x14:cfRule>
          <x14:cfRule type="containsText" priority="20" operator="containsText" id="{A1A167A4-1E36-4C45-A213-3B4A9AC3423B}">
            <xm:f>NOT(ISERROR(SEARCH($K$30,K30)))</xm:f>
            <xm:f>$K$30</xm:f>
            <x14:dxf>
              <fill>
                <patternFill>
                  <bgColor theme="0" tint="-0.34998626667073579"/>
                </patternFill>
              </fill>
            </x14:dxf>
          </x14:cfRule>
          <xm:sqref>K30:K33</xm:sqref>
        </x14:conditionalFormatting>
        <x14:conditionalFormatting xmlns:xm="http://schemas.microsoft.com/office/excel/2006/main">
          <x14:cfRule type="containsText" priority="13" operator="containsText" id="{17E8EA9C-8DD4-451A-83AC-788FEDFDC490}">
            <xm:f>NOT(ISERROR(SEARCH($K$33,K45)))</xm:f>
            <xm:f>$K$33</xm:f>
            <x14:dxf>
              <fill>
                <patternFill>
                  <bgColor theme="7" tint="0.79998168889431442"/>
                </patternFill>
              </fill>
            </x14:dxf>
          </x14:cfRule>
          <x14:cfRule type="containsText" priority="14" operator="containsText" id="{24BF8B95-82B5-4872-B10D-B2D29AFF105E}">
            <xm:f>NOT(ISERROR(SEARCH($K$32,K45)))</xm:f>
            <xm:f>$K$32</xm:f>
            <x14:dxf>
              <fill>
                <patternFill>
                  <bgColor theme="5" tint="0.79998168889431442"/>
                </patternFill>
              </fill>
            </x14:dxf>
          </x14:cfRule>
          <x14:cfRule type="containsText" priority="15" operator="containsText" id="{D4FC85CE-674A-4E88-9E90-271FC992DE7A}">
            <xm:f>NOT(ISERROR(SEARCH($K$31,K45)))</xm:f>
            <xm:f>$K$31</xm:f>
            <x14:dxf>
              <fill>
                <patternFill>
                  <bgColor theme="0" tint="-0.24994659260841701"/>
                </patternFill>
              </fill>
            </x14:dxf>
          </x14:cfRule>
          <x14:cfRule type="containsText" priority="16" operator="containsText" id="{B4AA3EC0-4317-4B8C-9132-C35ED79A33A2}">
            <xm:f>NOT(ISERROR(SEARCH($K$30,K45)))</xm:f>
            <xm:f>$K$30</xm:f>
            <x14:dxf>
              <fill>
                <patternFill>
                  <bgColor theme="0" tint="-0.34998626667073579"/>
                </patternFill>
              </fill>
            </x14:dxf>
          </x14:cfRule>
          <xm:sqref>K45:K48</xm:sqref>
        </x14:conditionalFormatting>
        <x14:conditionalFormatting xmlns:xm="http://schemas.microsoft.com/office/excel/2006/main">
          <x14:cfRule type="containsText" priority="9" operator="containsText" id="{FD59FBDB-D632-44D5-9C87-23C74A1E45AE}">
            <xm:f>NOT(ISERROR(SEARCH($K$33,Q45)))</xm:f>
            <xm:f>$K$33</xm:f>
            <x14:dxf>
              <fill>
                <patternFill>
                  <bgColor theme="7" tint="0.79998168889431442"/>
                </patternFill>
              </fill>
            </x14:dxf>
          </x14:cfRule>
          <x14:cfRule type="containsText" priority="10" operator="containsText" id="{B6390874-67D4-489C-9EDC-7C6E20AE92A0}">
            <xm:f>NOT(ISERROR(SEARCH($K$32,Q45)))</xm:f>
            <xm:f>$K$32</xm:f>
            <x14:dxf>
              <fill>
                <patternFill>
                  <bgColor theme="5" tint="0.79998168889431442"/>
                </patternFill>
              </fill>
            </x14:dxf>
          </x14:cfRule>
          <x14:cfRule type="containsText" priority="11" operator="containsText" id="{60E5EF27-AD6F-47F8-BC02-C6E8A03C7062}">
            <xm:f>NOT(ISERROR(SEARCH($K$31,Q45)))</xm:f>
            <xm:f>$K$31</xm:f>
            <x14:dxf>
              <fill>
                <patternFill>
                  <bgColor theme="0" tint="-0.24994659260841701"/>
                </patternFill>
              </fill>
            </x14:dxf>
          </x14:cfRule>
          <x14:cfRule type="containsText" priority="12" operator="containsText" id="{0FF472B3-E22E-4F57-8CFF-1D840DCA51E8}">
            <xm:f>NOT(ISERROR(SEARCH($K$30,Q45)))</xm:f>
            <xm:f>$K$30</xm:f>
            <x14:dxf>
              <fill>
                <patternFill>
                  <bgColor theme="0" tint="-0.34998626667073579"/>
                </patternFill>
              </fill>
            </x14:dxf>
          </x14:cfRule>
          <xm:sqref>Q45:Q48</xm:sqref>
        </x14:conditionalFormatting>
        <x14:conditionalFormatting xmlns:xm="http://schemas.microsoft.com/office/excel/2006/main">
          <x14:cfRule type="containsText" priority="1" operator="containsText" id="{F7DB73E9-3BE5-437C-91FE-75DAAD2CF789}">
            <xm:f>NOT(ISERROR(SEARCH($K$33,O6)))</xm:f>
            <xm:f>$K$33</xm:f>
            <x14:dxf>
              <fill>
                <patternFill>
                  <bgColor theme="7" tint="0.79998168889431442"/>
                </patternFill>
              </fill>
            </x14:dxf>
          </x14:cfRule>
          <x14:cfRule type="containsText" priority="2" operator="containsText" id="{FF9134C8-E496-4A4F-B7F6-7EF982189D50}">
            <xm:f>NOT(ISERROR(SEARCH($K$32,O6)))</xm:f>
            <xm:f>$K$32</xm:f>
            <x14:dxf>
              <fill>
                <patternFill>
                  <bgColor theme="5" tint="0.79998168889431442"/>
                </patternFill>
              </fill>
            </x14:dxf>
          </x14:cfRule>
          <x14:cfRule type="containsText" priority="3" operator="containsText" id="{DC943C0F-438C-4EBA-B68C-3B87DFA7175B}">
            <xm:f>NOT(ISERROR(SEARCH($K$31,O6)))</xm:f>
            <xm:f>$K$31</xm:f>
            <x14:dxf>
              <fill>
                <patternFill>
                  <bgColor theme="0" tint="-0.24994659260841701"/>
                </patternFill>
              </fill>
            </x14:dxf>
          </x14:cfRule>
          <x14:cfRule type="containsText" priority="4" operator="containsText" id="{4EC6C3A9-C204-4A74-A7E9-E015AB49E1F7}">
            <xm:f>NOT(ISERROR(SEARCH($K$30,O6)))</xm:f>
            <xm:f>$K$30</xm:f>
            <x14:dxf>
              <fill>
                <patternFill>
                  <bgColor theme="0" tint="-0.34998626667073579"/>
                </patternFill>
              </fill>
            </x14:dxf>
          </x14:cfRule>
          <xm:sqref>O6:O19</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2BB43-6825-4DB9-BDA5-BAD8B9C7CF26}">
  <dimension ref="A2:W49"/>
  <sheetViews>
    <sheetView showGridLines="0" topLeftCell="D1" zoomScale="85" zoomScaleNormal="85" workbookViewId="0">
      <selection activeCell="G26" sqref="G26:K26"/>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8" max="10" width="18.85546875" customWidth="1"/>
    <col min="11" max="11" width="16.28515625" customWidth="1"/>
    <col min="12" max="12" width="6.5703125" customWidth="1"/>
    <col min="13" max="13" width="10.5703125" customWidth="1"/>
    <col min="14" max="14" width="12.28515625" customWidth="1"/>
    <col min="15" max="16" width="20.28515625" customWidth="1"/>
    <col min="17" max="17" width="14.7109375" customWidth="1"/>
    <col min="18" max="20" width="20.28515625" customWidth="1"/>
    <col min="22" max="22" width="5.28515625" customWidth="1"/>
    <col min="23" max="23" width="16.85546875" customWidth="1"/>
    <col min="25" max="25" width="17.7109375" customWidth="1"/>
  </cols>
  <sheetData>
    <row r="2" spans="1:23" ht="15.75" thickBot="1" x14ac:dyDescent="0.3">
      <c r="D2" s="269" t="s">
        <v>381</v>
      </c>
      <c r="E2" s="269"/>
      <c r="F2" s="269"/>
    </row>
    <row r="3" spans="1:23" ht="15.75" thickTop="1" x14ac:dyDescent="0.25">
      <c r="D3" s="98"/>
      <c r="E3" s="98" t="s">
        <v>382</v>
      </c>
      <c r="F3" s="98" t="s">
        <v>383</v>
      </c>
    </row>
    <row r="4" spans="1:23" x14ac:dyDescent="0.25">
      <c r="D4" s="78" t="s">
        <v>384</v>
      </c>
      <c r="E4" s="99">
        <v>0</v>
      </c>
      <c r="F4" s="98">
        <v>10</v>
      </c>
    </row>
    <row r="5" spans="1:23" x14ac:dyDescent="0.25">
      <c r="D5" s="78" t="s">
        <v>385</v>
      </c>
      <c r="E5" s="98">
        <v>10</v>
      </c>
      <c r="F5" s="98">
        <v>22.3</v>
      </c>
    </row>
    <row r="6" spans="1:23" x14ac:dyDescent="0.25">
      <c r="D6" s="78" t="s">
        <v>386</v>
      </c>
      <c r="E6" s="98">
        <v>22.3</v>
      </c>
      <c r="F6" s="98">
        <v>31.1</v>
      </c>
    </row>
    <row r="7" spans="1:23" x14ac:dyDescent="0.25">
      <c r="D7" s="78" t="s">
        <v>387</v>
      </c>
      <c r="E7" s="98">
        <v>31.1</v>
      </c>
      <c r="F7" s="99">
        <v>100</v>
      </c>
    </row>
    <row r="8" spans="1:23" ht="15.75" x14ac:dyDescent="0.25">
      <c r="K8" s="271" t="s">
        <v>448</v>
      </c>
      <c r="L8" s="271"/>
      <c r="M8" s="271"/>
      <c r="N8" s="271"/>
      <c r="O8" s="271"/>
      <c r="P8" s="271"/>
      <c r="Q8" s="271"/>
      <c r="R8" s="271"/>
      <c r="S8" s="183"/>
      <c r="T8" s="183"/>
    </row>
    <row r="9" spans="1:23" ht="30" x14ac:dyDescent="0.25">
      <c r="A9" t="s">
        <v>474</v>
      </c>
      <c r="C9" s="179" t="s">
        <v>341</v>
      </c>
      <c r="D9" s="179" t="s">
        <v>7</v>
      </c>
      <c r="E9" s="179" t="s">
        <v>4</v>
      </c>
      <c r="F9" s="179" t="s">
        <v>5</v>
      </c>
      <c r="G9" s="179" t="s">
        <v>6</v>
      </c>
      <c r="H9" s="181" t="s">
        <v>438</v>
      </c>
      <c r="I9" s="181" t="s">
        <v>436</v>
      </c>
      <c r="J9" s="181" t="s">
        <v>437</v>
      </c>
      <c r="K9" s="179" t="s">
        <v>442</v>
      </c>
      <c r="L9" s="179" t="s">
        <v>439</v>
      </c>
      <c r="M9" s="179" t="s">
        <v>440</v>
      </c>
      <c r="N9" s="179" t="s">
        <v>443</v>
      </c>
      <c r="O9" s="179" t="s">
        <v>444</v>
      </c>
      <c r="P9" s="179" t="s">
        <v>445</v>
      </c>
      <c r="Q9" s="179" t="s">
        <v>446</v>
      </c>
      <c r="R9" s="179" t="s">
        <v>447</v>
      </c>
      <c r="S9" s="179" t="s">
        <v>441</v>
      </c>
      <c r="T9" s="181" t="s">
        <v>450</v>
      </c>
      <c r="U9" s="5" t="s">
        <v>11</v>
      </c>
      <c r="V9" s="5"/>
      <c r="W9" s="5" t="s">
        <v>348</v>
      </c>
    </row>
    <row r="10" spans="1:23" x14ac:dyDescent="0.25">
      <c r="C10" s="76" t="e" vm="1">
        <v>#VALUE!</v>
      </c>
      <c r="D10" s="18" t="s">
        <v>30</v>
      </c>
      <c r="E10" s="18" t="s">
        <v>27</v>
      </c>
      <c r="F10" s="18" t="s">
        <v>28</v>
      </c>
      <c r="G10" s="81" t="s">
        <v>29</v>
      </c>
      <c r="H10" s="182"/>
      <c r="I10" s="182"/>
      <c r="J10" s="182"/>
      <c r="K10" s="185">
        <v>0</v>
      </c>
      <c r="L10" s="185">
        <v>0</v>
      </c>
      <c r="M10" s="185">
        <v>0</v>
      </c>
      <c r="N10" s="185">
        <v>0</v>
      </c>
      <c r="O10" s="185">
        <v>0</v>
      </c>
      <c r="P10" s="185">
        <v>0</v>
      </c>
      <c r="Q10" s="185">
        <v>0</v>
      </c>
      <c r="R10" s="185">
        <v>0</v>
      </c>
      <c r="S10" s="185">
        <v>119308.68268493151</v>
      </c>
      <c r="T10" s="184">
        <f>+M10</f>
        <v>0</v>
      </c>
      <c r="U10" s="76">
        <f>11.3+(14.4-11.3)/2</f>
        <v>12.850000000000001</v>
      </c>
      <c r="V10" s="79"/>
      <c r="W10" s="79" t="str">
        <f t="shared" ref="W10:W19" si="0">+IF(G10="Gas","Doesn't Apply",IF(U10&lt;$F$4,$D$4,IF(U10&lt;$F$5,$D$5,IF(U10&lt;$F$6,$D$6,IF(U10&gt;$E$7,$D$7,"Doesn't Apply")))))</f>
        <v>Heavy Oil</v>
      </c>
    </row>
    <row r="11" spans="1:23" x14ac:dyDescent="0.25">
      <c r="C11" s="76" t="e" vm="1">
        <v>#VALUE!</v>
      </c>
      <c r="D11" s="18" t="s">
        <v>30</v>
      </c>
      <c r="E11" s="18" t="s">
        <v>45</v>
      </c>
      <c r="F11" s="18" t="s">
        <v>28</v>
      </c>
      <c r="G11" s="81" t="s">
        <v>46</v>
      </c>
      <c r="H11" s="182"/>
      <c r="I11" s="182"/>
      <c r="J11" s="182"/>
      <c r="K11" s="185">
        <v>0</v>
      </c>
      <c r="L11" s="185">
        <v>0</v>
      </c>
      <c r="M11" s="185">
        <v>0</v>
      </c>
      <c r="N11" s="185">
        <v>0</v>
      </c>
      <c r="O11" s="185">
        <v>0</v>
      </c>
      <c r="P11" s="185">
        <v>0</v>
      </c>
      <c r="Q11" s="185">
        <v>0</v>
      </c>
      <c r="R11" s="185">
        <v>0</v>
      </c>
      <c r="S11" s="185">
        <v>114056.06200000001</v>
      </c>
      <c r="T11" s="184">
        <f t="shared" ref="T11:T29" si="1">+M11</f>
        <v>0</v>
      </c>
      <c r="U11" s="76">
        <v>13.7</v>
      </c>
      <c r="V11" s="79"/>
      <c r="W11" s="79" t="str">
        <f t="shared" si="0"/>
        <v>Heavy Oil</v>
      </c>
    </row>
    <row r="12" spans="1:23" x14ac:dyDescent="0.25">
      <c r="C12" s="76" t="e" vm="1">
        <v>#VALUE!</v>
      </c>
      <c r="D12" s="18" t="s">
        <v>30</v>
      </c>
      <c r="E12" s="18" t="s">
        <v>60</v>
      </c>
      <c r="F12" s="18" t="s">
        <v>28</v>
      </c>
      <c r="G12" s="81" t="s">
        <v>61</v>
      </c>
      <c r="H12" s="182"/>
      <c r="I12" s="182"/>
      <c r="J12" s="182"/>
      <c r="K12" s="185">
        <v>3.7935616438356163</v>
      </c>
      <c r="L12" s="185">
        <v>0</v>
      </c>
      <c r="M12" s="185">
        <v>0</v>
      </c>
      <c r="N12" s="185">
        <v>2.9221917808219184</v>
      </c>
      <c r="O12" s="185">
        <v>0.87139726027397268</v>
      </c>
      <c r="P12" s="185">
        <v>0</v>
      </c>
      <c r="Q12" s="185">
        <v>0</v>
      </c>
      <c r="R12" s="185">
        <v>0</v>
      </c>
      <c r="S12" s="185">
        <v>69090.784575342463</v>
      </c>
      <c r="T12" s="184">
        <f t="shared" si="1"/>
        <v>0</v>
      </c>
      <c r="U12" s="76">
        <f>7+(20-7)/2</f>
        <v>13.5</v>
      </c>
      <c r="V12" s="79"/>
      <c r="W12" s="79" t="str">
        <f t="shared" si="0"/>
        <v>Heavy Oil</v>
      </c>
    </row>
    <row r="13" spans="1:23" x14ac:dyDescent="0.25">
      <c r="C13" s="76" t="e" vm="2">
        <v>#VALUE!</v>
      </c>
      <c r="D13" s="18" t="s">
        <v>30</v>
      </c>
      <c r="E13" s="18" t="s">
        <v>78</v>
      </c>
      <c r="F13" s="18" t="s">
        <v>79</v>
      </c>
      <c r="G13" s="81" t="s">
        <v>80</v>
      </c>
      <c r="H13" s="182"/>
      <c r="I13" s="182"/>
      <c r="J13" s="182"/>
      <c r="K13" s="185">
        <v>6.7767123287671236</v>
      </c>
      <c r="L13" s="185">
        <v>0</v>
      </c>
      <c r="M13" s="185">
        <v>0</v>
      </c>
      <c r="N13" s="185">
        <v>1.6441095890410957</v>
      </c>
      <c r="O13" s="185">
        <v>1.396739726027397</v>
      </c>
      <c r="P13" s="185">
        <v>3.7358630136986304</v>
      </c>
      <c r="Q13" s="185">
        <v>0</v>
      </c>
      <c r="R13" s="185">
        <v>0</v>
      </c>
      <c r="S13" s="185">
        <v>42334.39687671233</v>
      </c>
      <c r="T13" s="184">
        <f t="shared" si="1"/>
        <v>0</v>
      </c>
      <c r="U13" s="76">
        <f>20+(25-20)/2</f>
        <v>22.5</v>
      </c>
      <c r="V13" s="79"/>
      <c r="W13" s="79" t="str">
        <f t="shared" si="0"/>
        <v>Medium Oil</v>
      </c>
    </row>
    <row r="14" spans="1:23" x14ac:dyDescent="0.25">
      <c r="C14" s="76" t="e" vm="4">
        <v>#VALUE!</v>
      </c>
      <c r="D14" s="18" t="s">
        <v>30</v>
      </c>
      <c r="E14" s="18" t="s">
        <v>124</v>
      </c>
      <c r="F14" s="18" t="s">
        <v>79</v>
      </c>
      <c r="G14" s="81" t="s">
        <v>125</v>
      </c>
      <c r="H14" s="182"/>
      <c r="I14" s="182"/>
      <c r="J14" s="182"/>
      <c r="K14" s="185">
        <v>5.0572054794520547</v>
      </c>
      <c r="L14" s="185">
        <v>0</v>
      </c>
      <c r="M14" s="185">
        <v>0</v>
      </c>
      <c r="N14" s="185">
        <v>0.21123287671232879</v>
      </c>
      <c r="O14" s="185">
        <v>2.4027123287671235</v>
      </c>
      <c r="P14" s="185">
        <v>0</v>
      </c>
      <c r="Q14" s="185">
        <v>0</v>
      </c>
      <c r="R14" s="185">
        <v>2.4430958904109596</v>
      </c>
      <c r="S14" s="185">
        <v>17849.99879452055</v>
      </c>
      <c r="T14" s="184">
        <f t="shared" si="1"/>
        <v>0</v>
      </c>
      <c r="U14" s="76">
        <v>21</v>
      </c>
      <c r="V14" s="79"/>
      <c r="W14" s="79" t="str">
        <f t="shared" si="0"/>
        <v>Heavy Oil</v>
      </c>
    </row>
    <row r="15" spans="1:23" x14ac:dyDescent="0.25">
      <c r="C15" s="76" t="e" vm="5">
        <v>#VALUE!</v>
      </c>
      <c r="D15" s="18" t="s">
        <v>30</v>
      </c>
      <c r="E15" s="18" t="s">
        <v>139</v>
      </c>
      <c r="F15" s="18" t="s">
        <v>79</v>
      </c>
      <c r="G15" s="81" t="s">
        <v>140</v>
      </c>
      <c r="H15" s="182"/>
      <c r="I15" s="182"/>
      <c r="J15" s="182"/>
      <c r="K15" s="185">
        <v>1.1894794520547947</v>
      </c>
      <c r="L15" s="185">
        <v>0</v>
      </c>
      <c r="M15" s="185">
        <v>0</v>
      </c>
      <c r="N15" s="185">
        <v>0.23397260273972598</v>
      </c>
      <c r="O15" s="185">
        <v>0.95542465753424666</v>
      </c>
      <c r="P15" s="185">
        <v>0</v>
      </c>
      <c r="Q15" s="185">
        <v>0</v>
      </c>
      <c r="R15" s="185">
        <v>0</v>
      </c>
      <c r="S15" s="185">
        <v>12119.396575342465</v>
      </c>
      <c r="T15" s="184">
        <f t="shared" si="1"/>
        <v>0</v>
      </c>
      <c r="U15" s="76">
        <v>21</v>
      </c>
      <c r="V15" s="79"/>
      <c r="W15" s="79" t="str">
        <f t="shared" si="0"/>
        <v>Heavy Oil</v>
      </c>
    </row>
    <row r="16" spans="1:23" x14ac:dyDescent="0.25">
      <c r="C16" s="76" t="e" vm="7">
        <v>#VALUE!</v>
      </c>
      <c r="D16" s="18" t="s">
        <v>30</v>
      </c>
      <c r="E16" s="18" t="s">
        <v>255</v>
      </c>
      <c r="F16" s="18" t="s">
        <v>28</v>
      </c>
      <c r="G16" s="81" t="s">
        <v>256</v>
      </c>
      <c r="H16" s="182"/>
      <c r="I16" s="182"/>
      <c r="J16" s="182"/>
      <c r="K16" s="185">
        <v>649.4862739726027</v>
      </c>
      <c r="L16" s="185">
        <v>0</v>
      </c>
      <c r="M16" s="185">
        <v>396.38389041095888</v>
      </c>
      <c r="N16" s="185">
        <v>2.2383835616438361</v>
      </c>
      <c r="O16" s="185">
        <v>38.275260273972606</v>
      </c>
      <c r="P16" s="185">
        <v>16.510794520547947</v>
      </c>
      <c r="Q16" s="185">
        <v>8.2636712328767121</v>
      </c>
      <c r="R16" s="185">
        <v>196.07800000000003</v>
      </c>
      <c r="S16" s="185">
        <v>10231.853999999999</v>
      </c>
      <c r="T16" s="184">
        <f t="shared" si="1"/>
        <v>396.38389041095888</v>
      </c>
      <c r="U16" s="76">
        <v>48</v>
      </c>
      <c r="V16" s="79"/>
      <c r="W16" s="79" t="str">
        <f t="shared" si="0"/>
        <v>Light Oil</v>
      </c>
    </row>
    <row r="17" spans="3:23" x14ac:dyDescent="0.25">
      <c r="C17" s="76" t="e" vm="7">
        <v>#VALUE!</v>
      </c>
      <c r="D17" s="18" t="s">
        <v>30</v>
      </c>
      <c r="E17" s="18" t="s">
        <v>269</v>
      </c>
      <c r="F17" s="18" t="s">
        <v>28</v>
      </c>
      <c r="G17" s="81" t="s">
        <v>270</v>
      </c>
      <c r="H17" s="182"/>
      <c r="I17" s="182"/>
      <c r="J17" s="182"/>
      <c r="K17" s="185">
        <v>277.37400000000002</v>
      </c>
      <c r="L17" s="185">
        <v>0</v>
      </c>
      <c r="M17" s="185">
        <v>50.500383561643829</v>
      </c>
      <c r="N17" s="185">
        <v>1.1420547945205479</v>
      </c>
      <c r="O17" s="185">
        <v>30.359369863013697</v>
      </c>
      <c r="P17" s="185">
        <v>30.377342465753429</v>
      </c>
      <c r="Q17" s="185">
        <v>30.352082191780823</v>
      </c>
      <c r="R17" s="185">
        <v>164.99443835616438</v>
      </c>
      <c r="S17" s="185">
        <v>3182.6220821917809</v>
      </c>
      <c r="T17" s="184">
        <f t="shared" si="1"/>
        <v>50.500383561643829</v>
      </c>
      <c r="U17" s="76">
        <v>52</v>
      </c>
      <c r="V17" s="79"/>
      <c r="W17" s="79" t="str">
        <f t="shared" si="0"/>
        <v>Light Oil</v>
      </c>
    </row>
    <row r="18" spans="3:23" x14ac:dyDescent="0.25">
      <c r="C18" s="76" t="e" vm="7">
        <v>#VALUE!</v>
      </c>
      <c r="D18" s="18" t="s">
        <v>30</v>
      </c>
      <c r="E18" s="18" t="s">
        <v>276</v>
      </c>
      <c r="F18" s="18" t="s">
        <v>28</v>
      </c>
      <c r="G18" s="81" t="s">
        <v>277</v>
      </c>
      <c r="H18" s="182"/>
      <c r="I18" s="182"/>
      <c r="J18" s="182"/>
      <c r="K18" s="185">
        <v>435.4008767123288</v>
      </c>
      <c r="L18" s="185">
        <v>0</v>
      </c>
      <c r="M18" s="185">
        <v>225.24104109589044</v>
      </c>
      <c r="N18" s="185">
        <v>1.2202465753424658</v>
      </c>
      <c r="O18" s="185">
        <v>9.0779452054794518</v>
      </c>
      <c r="P18" s="185">
        <v>142.09446575342469</v>
      </c>
      <c r="Q18" s="185">
        <v>0</v>
      </c>
      <c r="R18" s="185">
        <v>57.767424657534249</v>
      </c>
      <c r="S18" s="185">
        <v>27008.407917808221</v>
      </c>
      <c r="T18" s="184">
        <f t="shared" si="1"/>
        <v>225.24104109589044</v>
      </c>
      <c r="U18" s="76">
        <v>46</v>
      </c>
      <c r="V18" s="79"/>
      <c r="W18" s="79" t="str">
        <f t="shared" si="0"/>
        <v>Light Oil</v>
      </c>
    </row>
    <row r="19" spans="3:23" x14ac:dyDescent="0.25">
      <c r="C19" s="76" t="e" vm="7">
        <v>#VALUE!</v>
      </c>
      <c r="D19" s="18" t="s">
        <v>30</v>
      </c>
      <c r="E19" s="18" t="s">
        <v>276</v>
      </c>
      <c r="F19" s="18" t="s">
        <v>28</v>
      </c>
      <c r="G19" s="81" t="s">
        <v>290</v>
      </c>
      <c r="H19" s="182"/>
      <c r="I19" s="182"/>
      <c r="J19" s="182"/>
      <c r="K19" s="185">
        <v>114.48408219178081</v>
      </c>
      <c r="L19" s="185">
        <v>0</v>
      </c>
      <c r="M19" s="185">
        <v>111.18394520547945</v>
      </c>
      <c r="N19" s="185">
        <v>0.37649315068493155</v>
      </c>
      <c r="O19" s="185">
        <v>2.923643835616438</v>
      </c>
      <c r="P19" s="185">
        <v>0</v>
      </c>
      <c r="Q19" s="185">
        <v>0</v>
      </c>
      <c r="R19" s="185">
        <v>0</v>
      </c>
      <c r="S19" s="185">
        <v>4583.6177808219181</v>
      </c>
      <c r="T19" s="184">
        <f t="shared" si="1"/>
        <v>111.18394520547945</v>
      </c>
      <c r="U19" s="76">
        <f>44+((47-44)/2)</f>
        <v>45.5</v>
      </c>
      <c r="V19" s="79"/>
      <c r="W19" s="79" t="str">
        <f t="shared" si="0"/>
        <v>Light Oil</v>
      </c>
    </row>
    <row r="20" spans="3:23" x14ac:dyDescent="0.25">
      <c r="C20" s="76" t="e" vm="8">
        <v>#VALUE!</v>
      </c>
      <c r="D20" s="18" t="s">
        <v>30</v>
      </c>
      <c r="E20" s="18" t="s">
        <v>300</v>
      </c>
      <c r="F20" s="18" t="s">
        <v>299</v>
      </c>
      <c r="G20" s="81" t="s">
        <v>301</v>
      </c>
      <c r="H20" s="182"/>
      <c r="I20" s="182"/>
      <c r="J20" s="182"/>
      <c r="K20" s="185">
        <v>162.95279452054797</v>
      </c>
      <c r="L20" s="185">
        <v>0</v>
      </c>
      <c r="M20" s="185">
        <v>0</v>
      </c>
      <c r="N20" s="185">
        <v>0.22493150684931507</v>
      </c>
      <c r="O20" s="185">
        <v>6.5319452054794507</v>
      </c>
      <c r="P20" s="185">
        <v>13.287095890410958</v>
      </c>
      <c r="Q20" s="185">
        <v>0</v>
      </c>
      <c r="R20" s="185">
        <v>142.90884931506849</v>
      </c>
      <c r="S20" s="185">
        <v>0</v>
      </c>
      <c r="T20" s="184">
        <f t="shared" si="1"/>
        <v>0</v>
      </c>
      <c r="U20" s="76" t="s">
        <v>31</v>
      </c>
      <c r="V20" s="79" t="s">
        <v>435</v>
      </c>
      <c r="W20" s="79" t="str">
        <f>+IF(V20="Gas","Doesn't Apply",IF(U20&lt;$F$4,$D$4,IF(U20&lt;$F$5,$D$5,IF(U20&lt;$F$6,$D$6,IF(U20&gt;$E$7,$D$7,"Doesn't Apply")))))</f>
        <v>Doesn't Apply</v>
      </c>
    </row>
    <row r="21" spans="3:23" x14ac:dyDescent="0.25">
      <c r="C21" s="76" t="e" vm="8">
        <v>#VALUE!</v>
      </c>
      <c r="D21" s="18" t="s">
        <v>30</v>
      </c>
      <c r="E21" s="18" t="s">
        <v>300</v>
      </c>
      <c r="F21" s="18" t="s">
        <v>299</v>
      </c>
      <c r="G21" s="81" t="s">
        <v>311</v>
      </c>
      <c r="H21" s="182"/>
      <c r="I21" s="182"/>
      <c r="J21" s="182"/>
      <c r="K21" s="185">
        <v>23.174301369863016</v>
      </c>
      <c r="L21" s="185">
        <v>0</v>
      </c>
      <c r="M21" s="185">
        <v>0</v>
      </c>
      <c r="N21" s="185">
        <v>2.701369863013699E-2</v>
      </c>
      <c r="O21" s="185">
        <v>0.11695890410958903</v>
      </c>
      <c r="P21" s="185">
        <v>1.9608219178082194</v>
      </c>
      <c r="Q21" s="185">
        <v>0</v>
      </c>
      <c r="R21" s="185">
        <v>21.069616438356167</v>
      </c>
      <c r="S21" s="185">
        <v>0</v>
      </c>
      <c r="T21" s="184">
        <f t="shared" si="1"/>
        <v>0</v>
      </c>
      <c r="U21" s="76" t="s">
        <v>31</v>
      </c>
      <c r="V21" s="79" t="s">
        <v>435</v>
      </c>
      <c r="W21" s="79" t="str">
        <f>+IF(V21="Gas","Doesn't Apply",IF(U21&lt;$F$4,$D$4,IF(U21&lt;$F$5,$D$5,IF(U21&lt;$F$6,$D$6,IF(U21&gt;$E$7,$D$7,"Doesn't Apply")))))</f>
        <v>Doesn't Apply</v>
      </c>
    </row>
    <row r="22" spans="3:23" x14ac:dyDescent="0.25">
      <c r="C22" s="76" t="e" vm="1">
        <v>#VALUE!</v>
      </c>
      <c r="D22" s="18" t="s">
        <v>30</v>
      </c>
      <c r="E22" s="18" t="s">
        <v>60</v>
      </c>
      <c r="F22" s="18" t="s">
        <v>460</v>
      </c>
      <c r="G22" s="81" t="s">
        <v>342</v>
      </c>
      <c r="H22" s="182"/>
      <c r="I22" s="182"/>
      <c r="J22" s="182"/>
      <c r="K22" s="185">
        <v>0.58205479452054798</v>
      </c>
      <c r="L22" s="185">
        <v>0</v>
      </c>
      <c r="M22" s="185">
        <v>0</v>
      </c>
      <c r="N22" s="185">
        <v>0.58205479452054798</v>
      </c>
      <c r="O22" s="185">
        <v>0</v>
      </c>
      <c r="P22" s="185">
        <v>0</v>
      </c>
      <c r="Q22" s="185">
        <v>0</v>
      </c>
      <c r="R22" s="185">
        <v>0</v>
      </c>
      <c r="S22" s="185">
        <v>19756.607616438356</v>
      </c>
      <c r="T22" s="184">
        <f t="shared" si="1"/>
        <v>0</v>
      </c>
      <c r="U22" s="76">
        <v>8</v>
      </c>
      <c r="V22" s="79"/>
      <c r="W22" s="79" t="str">
        <f t="shared" ref="W22:W28" si="2">+IF(V22="Gas","Doesn't Apply",IF(U22&lt;$F$4,$D$4,IF(U22&lt;$F$5,$D$5,IF(U22&lt;$F$6,$D$6,IF(U22&gt;$E$7,$D$7,"Doesn't Apply")))))</f>
        <v>Extra Heavy Oil</v>
      </c>
    </row>
    <row r="23" spans="3:23" x14ac:dyDescent="0.25">
      <c r="C23" s="76" t="e" vm="9">
        <v>#VALUE!</v>
      </c>
      <c r="D23" s="18" t="s">
        <v>30</v>
      </c>
      <c r="E23" s="18" t="s">
        <v>452</v>
      </c>
      <c r="F23" s="18" t="s">
        <v>458</v>
      </c>
      <c r="G23" s="81" t="s">
        <v>343</v>
      </c>
      <c r="H23" s="182"/>
      <c r="I23" s="182"/>
      <c r="J23" s="182"/>
      <c r="K23" s="185">
        <v>1.9275342465753424</v>
      </c>
      <c r="L23" s="185">
        <v>0</v>
      </c>
      <c r="M23" s="185">
        <v>0</v>
      </c>
      <c r="N23" s="185">
        <v>0.22805479452054794</v>
      </c>
      <c r="O23" s="185">
        <v>0.10339726027397263</v>
      </c>
      <c r="P23" s="185">
        <v>1.5925479452054794</v>
      </c>
      <c r="Q23" s="185">
        <v>0.55931506849315071</v>
      </c>
      <c r="R23" s="185">
        <v>3.4794520547945205E-3</v>
      </c>
      <c r="S23" s="185">
        <v>4684.6815890410962</v>
      </c>
      <c r="T23" s="184">
        <f t="shared" si="1"/>
        <v>0</v>
      </c>
      <c r="U23" s="76">
        <v>23</v>
      </c>
      <c r="V23" s="79"/>
      <c r="W23" s="79" t="str">
        <f t="shared" si="2"/>
        <v>Medium Oil</v>
      </c>
    </row>
    <row r="24" spans="3:23" x14ac:dyDescent="0.25">
      <c r="C24" s="76" t="e" vm="9">
        <v>#VALUE!</v>
      </c>
      <c r="D24" s="18" t="s">
        <v>30</v>
      </c>
      <c r="E24" s="18" t="s">
        <v>453</v>
      </c>
      <c r="F24" s="18" t="s">
        <v>458</v>
      </c>
      <c r="G24" s="81" t="s">
        <v>344</v>
      </c>
      <c r="H24" s="182"/>
      <c r="I24" s="182"/>
      <c r="J24" s="182"/>
      <c r="K24" s="185">
        <v>0.86709589041095891</v>
      </c>
      <c r="L24" s="185">
        <v>0</v>
      </c>
      <c r="M24" s="185">
        <v>0</v>
      </c>
      <c r="N24" s="185">
        <v>0.41205479452054788</v>
      </c>
      <c r="O24" s="185">
        <v>0.45498630136986301</v>
      </c>
      <c r="P24" s="185">
        <v>0</v>
      </c>
      <c r="Q24" s="185">
        <v>0</v>
      </c>
      <c r="R24" s="185">
        <v>0</v>
      </c>
      <c r="S24" s="185">
        <v>4154.1152328767121</v>
      </c>
      <c r="T24" s="184">
        <f t="shared" si="1"/>
        <v>0</v>
      </c>
      <c r="U24" s="76">
        <v>25.5</v>
      </c>
      <c r="V24" s="79"/>
      <c r="W24" s="79" t="str">
        <f t="shared" si="2"/>
        <v>Medium Oil</v>
      </c>
    </row>
    <row r="25" spans="3:23" x14ac:dyDescent="0.25">
      <c r="C25" s="76" t="e" vm="9">
        <v>#VALUE!</v>
      </c>
      <c r="D25" s="18" t="s">
        <v>30</v>
      </c>
      <c r="E25" s="18" t="s">
        <v>454</v>
      </c>
      <c r="F25" s="18" t="s">
        <v>458</v>
      </c>
      <c r="G25" s="193" t="s">
        <v>345</v>
      </c>
      <c r="H25" s="182"/>
      <c r="I25" s="182"/>
      <c r="J25" s="182"/>
      <c r="K25" s="185">
        <v>1.1908493150684931</v>
      </c>
      <c r="L25" s="185">
        <v>0</v>
      </c>
      <c r="M25" s="185">
        <v>0</v>
      </c>
      <c r="N25" s="185">
        <v>1.5506849315068495E-2</v>
      </c>
      <c r="O25" s="185">
        <v>0</v>
      </c>
      <c r="P25" s="185">
        <v>1.1751506849315068</v>
      </c>
      <c r="Q25" s="185">
        <v>0.52964383561643835</v>
      </c>
      <c r="R25" s="185">
        <v>0</v>
      </c>
      <c r="S25" s="185">
        <v>3941.1335068493149</v>
      </c>
      <c r="T25" s="184">
        <f t="shared" si="1"/>
        <v>0</v>
      </c>
      <c r="U25" s="76">
        <v>21</v>
      </c>
      <c r="V25" s="79"/>
      <c r="W25" s="79" t="str">
        <f t="shared" si="2"/>
        <v>Heavy Oil</v>
      </c>
    </row>
    <row r="26" spans="3:23" x14ac:dyDescent="0.25">
      <c r="C26" s="76" t="e" vm="1">
        <v>#VALUE!</v>
      </c>
      <c r="D26" s="18" t="s">
        <v>30</v>
      </c>
      <c r="E26" s="18" t="s">
        <v>455</v>
      </c>
      <c r="F26" s="18" t="s">
        <v>460</v>
      </c>
      <c r="G26" s="81" t="s">
        <v>346</v>
      </c>
      <c r="H26" s="182"/>
      <c r="I26" s="182"/>
      <c r="J26" s="182"/>
      <c r="K26" s="185">
        <v>0.23827397260273972</v>
      </c>
      <c r="L26" s="185">
        <v>0</v>
      </c>
      <c r="M26" s="185">
        <v>0</v>
      </c>
      <c r="N26" s="185">
        <v>0.1378630136986301</v>
      </c>
      <c r="O26" s="185">
        <v>0.10038356164383562</v>
      </c>
      <c r="P26" s="185">
        <v>0</v>
      </c>
      <c r="Q26" s="185">
        <v>0</v>
      </c>
      <c r="R26" s="185">
        <v>0</v>
      </c>
      <c r="S26" s="185">
        <v>1476.5236986301368</v>
      </c>
      <c r="T26" s="184">
        <f t="shared" si="1"/>
        <v>0</v>
      </c>
      <c r="U26" s="76">
        <v>13.5</v>
      </c>
      <c r="V26" s="79"/>
      <c r="W26" s="79" t="str">
        <f t="shared" si="2"/>
        <v>Heavy Oil</v>
      </c>
    </row>
    <row r="27" spans="3:23" x14ac:dyDescent="0.25">
      <c r="C27" s="76" t="e" vm="5">
        <v>#VALUE!</v>
      </c>
      <c r="D27" s="18" t="s">
        <v>30</v>
      </c>
      <c r="E27" s="18" t="s">
        <v>456</v>
      </c>
      <c r="F27" s="18" t="s">
        <v>79</v>
      </c>
      <c r="G27" s="81" t="s">
        <v>347</v>
      </c>
      <c r="H27" s="182"/>
      <c r="I27" s="182"/>
      <c r="J27" s="182"/>
      <c r="K27" s="185">
        <v>0.23827397260273972</v>
      </c>
      <c r="L27" s="185">
        <v>0</v>
      </c>
      <c r="M27" s="185">
        <v>0</v>
      </c>
      <c r="N27" s="185">
        <v>0.1378630136986301</v>
      </c>
      <c r="O27" s="185">
        <v>0.10038356164383562</v>
      </c>
      <c r="P27" s="185">
        <v>0</v>
      </c>
      <c r="Q27" s="185">
        <v>0</v>
      </c>
      <c r="R27" s="185">
        <v>0</v>
      </c>
      <c r="S27" s="185">
        <v>1476.5236986301368</v>
      </c>
      <c r="T27" s="184">
        <f t="shared" si="1"/>
        <v>0</v>
      </c>
      <c r="U27" s="76">
        <v>12.5</v>
      </c>
      <c r="V27" s="79"/>
      <c r="W27" s="79" t="str">
        <f t="shared" si="2"/>
        <v>Heavy Oil</v>
      </c>
    </row>
    <row r="28" spans="3:23" x14ac:dyDescent="0.25">
      <c r="C28" s="76" t="e" vm="10">
        <v>#VALUE!</v>
      </c>
      <c r="D28" s="18" t="s">
        <v>30</v>
      </c>
      <c r="E28" s="18" t="s">
        <v>457</v>
      </c>
      <c r="F28" s="18" t="s">
        <v>459</v>
      </c>
      <c r="G28" s="81" t="s">
        <v>318</v>
      </c>
      <c r="H28" s="182"/>
      <c r="I28" s="182"/>
      <c r="J28" s="182"/>
      <c r="K28" s="185">
        <v>35.569315068493154</v>
      </c>
      <c r="L28" s="185">
        <v>0</v>
      </c>
      <c r="M28" s="185">
        <v>0</v>
      </c>
      <c r="N28" s="185">
        <v>0</v>
      </c>
      <c r="O28" s="185">
        <v>0</v>
      </c>
      <c r="P28" s="185">
        <v>35.569315068493154</v>
      </c>
      <c r="Q28" s="185">
        <v>3.5723835616438366</v>
      </c>
      <c r="R28" s="185">
        <v>0</v>
      </c>
      <c r="S28" s="185">
        <v>0</v>
      </c>
      <c r="T28" s="184">
        <f t="shared" si="1"/>
        <v>0</v>
      </c>
      <c r="U28" s="76" t="s">
        <v>31</v>
      </c>
      <c r="V28" s="79" t="s">
        <v>435</v>
      </c>
      <c r="W28" s="79" t="str">
        <f t="shared" si="2"/>
        <v>Doesn't Apply</v>
      </c>
    </row>
    <row r="29" spans="3:23" x14ac:dyDescent="0.25">
      <c r="C29" s="76" t="e" vm="11">
        <v>#VALUE!</v>
      </c>
      <c r="D29" s="18" t="s">
        <v>30</v>
      </c>
      <c r="E29" s="18" t="s">
        <v>449</v>
      </c>
      <c r="F29" s="18" t="s">
        <v>461</v>
      </c>
      <c r="G29" s="81" t="s">
        <v>449</v>
      </c>
      <c r="H29" s="182"/>
      <c r="I29" s="182"/>
      <c r="J29" s="182"/>
      <c r="K29" s="185">
        <v>3.4626301369863017</v>
      </c>
      <c r="L29" s="185">
        <v>0</v>
      </c>
      <c r="M29" s="185">
        <v>0</v>
      </c>
      <c r="N29" s="185">
        <v>3.4626301369863017</v>
      </c>
      <c r="O29" s="185">
        <v>0</v>
      </c>
      <c r="P29" s="185">
        <v>0</v>
      </c>
      <c r="Q29" s="185">
        <v>0</v>
      </c>
      <c r="R29" s="185">
        <v>0</v>
      </c>
      <c r="S29" s="185">
        <v>1962.0646849315069</v>
      </c>
      <c r="T29" s="184">
        <f t="shared" si="1"/>
        <v>0</v>
      </c>
      <c r="U29" s="76">
        <v>35</v>
      </c>
      <c r="V29" s="79"/>
      <c r="W29" s="79"/>
    </row>
    <row r="35" spans="5:12" x14ac:dyDescent="0.25">
      <c r="G35" t="s">
        <v>30</v>
      </c>
      <c r="I35" t="s">
        <v>473</v>
      </c>
    </row>
    <row r="36" spans="5:12" x14ac:dyDescent="0.25">
      <c r="E36" s="189" t="e" vm="5">
        <v>#VALUE!</v>
      </c>
      <c r="F36" s="180" t="s">
        <v>462</v>
      </c>
      <c r="G36" s="190">
        <v>14656.498438356164</v>
      </c>
      <c r="H36" s="191">
        <v>2.8564827826612956E-2</v>
      </c>
      <c r="I36" s="180">
        <f>+SUMIF($C$10:C29,E36,S$10:S$29)</f>
        <v>13595.920273972602</v>
      </c>
      <c r="J36" s="180"/>
      <c r="K36" s="192">
        <f>+G36-I36</f>
        <v>1060.5781643835617</v>
      </c>
      <c r="L36" s="191">
        <f>+K36/G36</f>
        <v>7.2362315517874365E-2</v>
      </c>
    </row>
    <row r="37" spans="5:12" x14ac:dyDescent="0.25">
      <c r="E37" s="189" t="e" vm="7">
        <v>#VALUE!</v>
      </c>
      <c r="F37" s="180" t="s">
        <v>463</v>
      </c>
      <c r="G37" s="190">
        <v>49873.263342465754</v>
      </c>
      <c r="H37" s="191">
        <v>9.7200650381855019E-2</v>
      </c>
      <c r="I37" s="180">
        <f ca="1">+SUMIF($C$10:C30,E37,S$10:S$29)</f>
        <v>45006.501780821927</v>
      </c>
      <c r="J37" s="180"/>
      <c r="K37" s="192">
        <f t="shared" ref="K37:K48" ca="1" si="3">+G37-I37</f>
        <v>4866.761561643827</v>
      </c>
      <c r="L37" s="191">
        <f t="shared" ref="L37:L48" ca="1" si="4">+K37/G37</f>
        <v>9.758257702579308E-2</v>
      </c>
    </row>
    <row r="38" spans="5:12" x14ac:dyDescent="0.25">
      <c r="F38" t="s">
        <v>464</v>
      </c>
      <c r="G38" s="187">
        <v>2877.3214794520545</v>
      </c>
      <c r="H38" s="186">
        <v>5.6077645699651466E-3</v>
      </c>
      <c r="I38">
        <f ca="1">+SUMIF($C$10:C31,E38,S$10:S$29)</f>
        <v>0</v>
      </c>
      <c r="K38" s="188">
        <f t="shared" ca="1" si="3"/>
        <v>2877.3214794520545</v>
      </c>
      <c r="L38" s="186">
        <f t="shared" ca="1" si="4"/>
        <v>1</v>
      </c>
    </row>
    <row r="39" spans="5:12" x14ac:dyDescent="0.25">
      <c r="F39" t="s">
        <v>465</v>
      </c>
      <c r="G39" s="187">
        <v>63.741945205479446</v>
      </c>
      <c r="H39" s="186">
        <v>1.2423006066462157E-4</v>
      </c>
      <c r="I39">
        <f ca="1">+SUMIF($C$10:C32,E39,S$10:S$29)</f>
        <v>0</v>
      </c>
      <c r="K39" s="188">
        <f t="shared" ca="1" si="3"/>
        <v>63.741945205479446</v>
      </c>
      <c r="L39" s="186">
        <f t="shared" ca="1" si="4"/>
        <v>1</v>
      </c>
    </row>
    <row r="40" spans="5:12" x14ac:dyDescent="0.25">
      <c r="E40" s="189" t="e" vm="9">
        <v>#VALUE!</v>
      </c>
      <c r="F40" s="180" t="s">
        <v>466</v>
      </c>
      <c r="G40" s="190">
        <v>23392.562712328774</v>
      </c>
      <c r="H40" s="191">
        <v>4.5591007232138166E-2</v>
      </c>
      <c r="I40" s="180">
        <f ca="1">+SUMIF($C$10:C33,E40,S$10:S$29)</f>
        <v>12779.930328767123</v>
      </c>
      <c r="J40" s="180"/>
      <c r="K40" s="192">
        <f t="shared" ca="1" si="3"/>
        <v>10612.632383561651</v>
      </c>
      <c r="L40" s="191">
        <f t="shared" ca="1" si="4"/>
        <v>0.45367549139745977</v>
      </c>
    </row>
    <row r="41" spans="5:12" x14ac:dyDescent="0.25">
      <c r="E41" s="189" t="e" vm="1">
        <v>#VALUE!</v>
      </c>
      <c r="F41" s="180" t="s">
        <v>467</v>
      </c>
      <c r="G41" s="190">
        <v>351063.42304109584</v>
      </c>
      <c r="H41" s="191">
        <v>0.68420614088469911</v>
      </c>
      <c r="I41" s="180">
        <f ca="1">+SUMIF($C$10:C34,E41,S$10:S$29)</f>
        <v>323688.66057534254</v>
      </c>
      <c r="J41" s="180"/>
      <c r="K41" s="192">
        <f t="shared" ca="1" si="3"/>
        <v>27374.762465753302</v>
      </c>
      <c r="L41" s="191">
        <f t="shared" ca="1" si="4"/>
        <v>7.7976686459155231E-2</v>
      </c>
    </row>
    <row r="42" spans="5:12" x14ac:dyDescent="0.25">
      <c r="E42" s="189" t="e" vm="10">
        <v>#VALUE!</v>
      </c>
      <c r="F42" s="180" t="s">
        <v>468</v>
      </c>
      <c r="G42" s="190">
        <v>1502.4393150684932</v>
      </c>
      <c r="H42" s="191">
        <v>2.9281837360656286E-3</v>
      </c>
      <c r="I42" s="180">
        <f ca="1">+SUMIF($C$10:C35,E42,S$10:S$29)</f>
        <v>0</v>
      </c>
      <c r="J42" s="180"/>
      <c r="K42" s="192">
        <f t="shared" ca="1" si="3"/>
        <v>1502.4393150684932</v>
      </c>
      <c r="L42" s="191">
        <f t="shared" ca="1" si="4"/>
        <v>1</v>
      </c>
    </row>
    <row r="43" spans="5:12" x14ac:dyDescent="0.25">
      <c r="E43" s="189" t="e" vm="11">
        <v>#VALUE!</v>
      </c>
      <c r="F43" s="180" t="s">
        <v>451</v>
      </c>
      <c r="G43" s="190">
        <v>5907.8353698630135</v>
      </c>
      <c r="H43" s="191">
        <v>1.1514093961656952E-2</v>
      </c>
      <c r="I43" s="180">
        <f ca="1">+SUMIF($C$10:C36,E43,S$10:S$29)</f>
        <v>1962.0646849315069</v>
      </c>
      <c r="J43" s="180"/>
      <c r="K43" s="192">
        <f t="shared" ca="1" si="3"/>
        <v>3945.7706849315064</v>
      </c>
      <c r="L43" s="191">
        <f t="shared" ca="1" si="4"/>
        <v>0.66788771824273063</v>
      </c>
    </row>
    <row r="44" spans="5:12" x14ac:dyDescent="0.25">
      <c r="F44" t="s">
        <v>464</v>
      </c>
      <c r="G44" s="187">
        <v>2877.3214794520545</v>
      </c>
      <c r="H44" s="186">
        <v>5.6077645699651466E-3</v>
      </c>
      <c r="I44">
        <f ca="1">+SUMIF($C$10:C37,E44,S$10:S$29)</f>
        <v>0</v>
      </c>
      <c r="K44" s="188">
        <f t="shared" ca="1" si="3"/>
        <v>2877.3214794520545</v>
      </c>
      <c r="L44" s="186">
        <f t="shared" ca="1" si="4"/>
        <v>1</v>
      </c>
    </row>
    <row r="45" spans="5:12" x14ac:dyDescent="0.25">
      <c r="E45" s="189" t="e" vm="2">
        <v>#VALUE!</v>
      </c>
      <c r="F45" s="180" t="s">
        <v>469</v>
      </c>
      <c r="G45" s="190">
        <v>56937.26830136987</v>
      </c>
      <c r="H45" s="191">
        <v>0.11096806462926974</v>
      </c>
      <c r="I45" s="180">
        <f ca="1">+SUMIF($C$10:C38,E45,S$10:S$29)</f>
        <v>42334.39687671233</v>
      </c>
      <c r="J45" s="180"/>
      <c r="K45" s="192">
        <f t="shared" ca="1" si="3"/>
        <v>14602.87142465754</v>
      </c>
      <c r="L45" s="191">
        <f t="shared" ca="1" si="4"/>
        <v>0.25647298966582499</v>
      </c>
    </row>
    <row r="46" spans="5:12" x14ac:dyDescent="0.25">
      <c r="F46" t="s">
        <v>470</v>
      </c>
      <c r="G46" s="187">
        <v>33.721452054794518</v>
      </c>
      <c r="H46" s="186">
        <v>6.5721527966581929E-5</v>
      </c>
      <c r="I46">
        <f ca="1">+SUMIF($C$10:C39,E46,S$10:S$29)</f>
        <v>0</v>
      </c>
      <c r="K46" s="188">
        <f t="shared" ca="1" si="3"/>
        <v>33.721452054794518</v>
      </c>
      <c r="L46" s="186">
        <f t="shared" ca="1" si="4"/>
        <v>1</v>
      </c>
    </row>
    <row r="47" spans="5:12" x14ac:dyDescent="0.25">
      <c r="F47" t="s">
        <v>471</v>
      </c>
      <c r="G47" s="187">
        <v>3910.58701369863</v>
      </c>
      <c r="H47" s="186">
        <v>7.6215506191408197E-3</v>
      </c>
      <c r="I47">
        <f ca="1">+SUMIF($C$10:C40,E47,S$10:S$29)</f>
        <v>0</v>
      </c>
      <c r="K47" s="188">
        <f t="shared" ca="1" si="3"/>
        <v>3910.58701369863</v>
      </c>
      <c r="L47" s="186">
        <f t="shared" ca="1" si="4"/>
        <v>1</v>
      </c>
    </row>
    <row r="48" spans="5:12" x14ac:dyDescent="0.25">
      <c r="E48" s="189" t="e" vm="4">
        <v>#VALUE!</v>
      </c>
      <c r="F48" s="180" t="s">
        <v>472</v>
      </c>
      <c r="G48" s="190">
        <v>14709.643945205482</v>
      </c>
      <c r="H48" s="191">
        <v>2.8668405926067869E-2</v>
      </c>
      <c r="I48" s="180">
        <f ca="1">+SUMIF($C$10:C41,E48,S$10:S$29)</f>
        <v>17849.99879452055</v>
      </c>
      <c r="J48" s="180"/>
      <c r="K48" s="192">
        <f t="shared" ca="1" si="3"/>
        <v>-3140.3548493150683</v>
      </c>
      <c r="L48" s="191">
        <f t="shared" ca="1" si="4"/>
        <v>-0.2134895216371738</v>
      </c>
    </row>
    <row r="49" spans="7:9" x14ac:dyDescent="0.25">
      <c r="G49">
        <v>513095.98389041098</v>
      </c>
      <c r="I49">
        <f ca="1">+SUM(I36:I48)</f>
        <v>457217.47331506858</v>
      </c>
    </row>
  </sheetData>
  <mergeCells count="2">
    <mergeCell ref="D2:F2"/>
    <mergeCell ref="K8:R8"/>
  </mergeCells>
  <conditionalFormatting sqref="F10:F29">
    <cfRule type="containsBlanks" dxfId="12" priority="32">
      <formula>LEN(TRIM(F10))=0</formula>
    </cfRule>
  </conditionalFormatting>
  <conditionalFormatting sqref="U10:V21">
    <cfRule type="containsText" dxfId="11" priority="28" operator="containsText" text="Oil and Gas">
      <formula>NOT(ISERROR(SEARCH("Oil and Gas",U10)))</formula>
    </cfRule>
    <cfRule type="containsText" dxfId="10" priority="29" operator="containsText" text="Gas">
      <formula>NOT(ISERROR(SEARCH("Gas",U10)))</formula>
    </cfRule>
    <cfRule type="containsText" dxfId="9" priority="30" operator="containsText" text="Oil">
      <formula>NOT(ISERROR(SEARCH("Oil",U10)))</formula>
    </cfRule>
  </conditionalFormatting>
  <conditionalFormatting sqref="U22:V29">
    <cfRule type="containsText" dxfId="8" priority="2" operator="containsText" text="Oil and Gas">
      <formula>NOT(ISERROR(SEARCH("Oil and Gas",U22)))</formula>
    </cfRule>
    <cfRule type="containsText" dxfId="7" priority="3" operator="containsText" text="Gas">
      <formula>NOT(ISERROR(SEARCH("Gas",U22)))</formula>
    </cfRule>
    <cfRule type="containsText" dxfId="6" priority="4" operator="containsText" text="Oil">
      <formula>NOT(ISERROR(SEARCH("Oil",U22)))</formula>
    </cfRule>
  </conditionalFormatting>
  <conditionalFormatting sqref="K10:S29">
    <cfRule type="cellIs" dxfId="5" priority="1" operator="equal">
      <formula>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3" operator="containsText" id="{939931F9-62D2-434A-B365-7AB1DF16894F}">
            <xm:f>NOT(ISERROR(SEARCH($D$7,D4)))</xm:f>
            <xm:f>$D$7</xm:f>
            <x14:dxf>
              <fill>
                <patternFill>
                  <bgColor theme="7" tint="0.79998168889431442"/>
                </patternFill>
              </fill>
            </x14:dxf>
          </x14:cfRule>
          <x14:cfRule type="containsText" priority="14" operator="containsText" id="{A0E49F1A-959B-4CE7-BB28-97C1B2047DB9}">
            <xm:f>NOT(ISERROR(SEARCH($D$6,D4)))</xm:f>
            <xm:f>$D$6</xm:f>
            <x14:dxf>
              <fill>
                <patternFill>
                  <bgColor theme="5" tint="0.79998168889431442"/>
                </patternFill>
              </fill>
            </x14:dxf>
          </x14:cfRule>
          <x14:cfRule type="containsText" priority="15" operator="containsText" id="{F90B021F-32A0-4186-A3E2-6E1767715FD8}">
            <xm:f>NOT(ISERROR(SEARCH($D$5,D4)))</xm:f>
            <xm:f>$D$5</xm:f>
            <x14:dxf>
              <fill>
                <patternFill>
                  <bgColor theme="0" tint="-0.24994659260841701"/>
                </patternFill>
              </fill>
            </x14:dxf>
          </x14:cfRule>
          <x14:cfRule type="containsText" priority="16" operator="containsText" id="{7BFE0A8B-3899-4783-85DC-403086432AED}">
            <xm:f>NOT(ISERROR(SEARCH($D$4,D4)))</xm:f>
            <xm:f>$D$4</xm:f>
            <x14:dxf>
              <fill>
                <patternFill>
                  <bgColor theme="0" tint="-0.34998626667073579"/>
                </patternFill>
              </fill>
            </x14:dxf>
          </x14:cfRule>
          <xm:sqref>D4:D7 W10:W29</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AF11C-6D97-40EB-8508-BF37DEBC90BE}">
  <dimension ref="C1:AF61"/>
  <sheetViews>
    <sheetView showGridLines="0" zoomScale="115" zoomScaleNormal="115" workbookViewId="0">
      <selection activeCell="K21" sqref="K21"/>
    </sheetView>
  </sheetViews>
  <sheetFormatPr baseColWidth="10" defaultRowHeight="15" x14ac:dyDescent="0.25"/>
  <cols>
    <col min="3" max="4" width="17.5703125" customWidth="1"/>
    <col min="5" max="5" width="21.42578125" customWidth="1"/>
    <col min="6" max="6" width="13.42578125" customWidth="1"/>
    <col min="7" max="12" width="11.42578125" customWidth="1"/>
    <col min="19" max="19" width="15.28515625" customWidth="1"/>
    <col min="21" max="21" width="14.140625" customWidth="1"/>
    <col min="28" max="28" width="14.140625" customWidth="1"/>
    <col min="29" max="29" width="21.28515625" customWidth="1"/>
    <col min="30" max="30" width="18.85546875" customWidth="1"/>
    <col min="31" max="31" width="20.28515625" customWidth="1"/>
  </cols>
  <sheetData>
    <row r="1" spans="3:32" x14ac:dyDescent="0.25">
      <c r="F1" t="s">
        <v>507</v>
      </c>
      <c r="G1" s="229">
        <f>+F29*1000/E29</f>
        <v>5997.3958333333339</v>
      </c>
      <c r="H1" s="229" t="s">
        <v>525</v>
      </c>
      <c r="I1" s="229"/>
      <c r="J1" s="229"/>
      <c r="U1">
        <v>1</v>
      </c>
      <c r="V1" t="s">
        <v>484</v>
      </c>
      <c r="W1">
        <v>5800</v>
      </c>
      <c r="X1" t="s">
        <v>485</v>
      </c>
    </row>
    <row r="3" spans="3:32" x14ac:dyDescent="0.25">
      <c r="M3" s="238" t="s">
        <v>533</v>
      </c>
      <c r="N3" s="239"/>
      <c r="O3" s="239"/>
      <c r="P3" s="239"/>
      <c r="Q3" s="240"/>
      <c r="R3" s="239"/>
      <c r="S3" s="239"/>
      <c r="T3" s="207" t="s">
        <v>479</v>
      </c>
      <c r="U3" s="208"/>
      <c r="V3" s="208"/>
      <c r="W3" s="208"/>
      <c r="X3" s="208"/>
      <c r="Y3" s="208"/>
      <c r="Z3" s="209"/>
      <c r="AD3" s="272" t="s">
        <v>488</v>
      </c>
      <c r="AE3" s="272"/>
    </row>
    <row r="4" spans="3:32" x14ac:dyDescent="0.25">
      <c r="E4" s="216" t="s">
        <v>475</v>
      </c>
      <c r="F4" s="217" t="s">
        <v>478</v>
      </c>
      <c r="G4" s="218" t="s">
        <v>477</v>
      </c>
      <c r="H4" s="218" t="s">
        <v>476</v>
      </c>
      <c r="I4" s="218"/>
      <c r="J4" s="218"/>
      <c r="K4" s="219" t="s">
        <v>480</v>
      </c>
      <c r="L4" s="216" t="s">
        <v>481</v>
      </c>
      <c r="M4" s="241" t="s">
        <v>380</v>
      </c>
      <c r="N4" s="241" t="s">
        <v>535</v>
      </c>
      <c r="O4" s="241" t="s">
        <v>534</v>
      </c>
      <c r="P4" s="241" t="s">
        <v>536</v>
      </c>
      <c r="Q4" s="241" t="s">
        <v>537</v>
      </c>
      <c r="R4" s="241" t="s">
        <v>477</v>
      </c>
      <c r="S4" s="241" t="s">
        <v>538</v>
      </c>
      <c r="T4" s="216">
        <v>2020</v>
      </c>
      <c r="U4" s="217">
        <v>2025</v>
      </c>
      <c r="V4" s="217">
        <v>2030</v>
      </c>
      <c r="W4" s="217">
        <v>2035</v>
      </c>
      <c r="X4" s="217">
        <v>2040</v>
      </c>
      <c r="Y4" s="217">
        <v>2045</v>
      </c>
      <c r="Z4" s="218">
        <v>2050</v>
      </c>
      <c r="AA4" s="220" t="s">
        <v>483</v>
      </c>
      <c r="AB4" s="221" t="s">
        <v>482</v>
      </c>
      <c r="AC4" s="222" t="s">
        <v>486</v>
      </c>
      <c r="AD4" s="220" t="s">
        <v>487</v>
      </c>
      <c r="AE4" s="221" t="s">
        <v>489</v>
      </c>
      <c r="AF4" s="183" t="s">
        <v>490</v>
      </c>
    </row>
    <row r="5" spans="3:32" x14ac:dyDescent="0.25">
      <c r="C5" t="s">
        <v>301</v>
      </c>
      <c r="E5" s="197">
        <v>28.68</v>
      </c>
      <c r="F5" s="198">
        <v>172.07</v>
      </c>
      <c r="G5" s="199">
        <v>0</v>
      </c>
      <c r="H5">
        <f t="shared" ref="H5:H43" si="0">+E5-G5</f>
        <v>28.68</v>
      </c>
      <c r="I5" s="186">
        <f t="shared" ref="I5:I38" si="1">+G5/E5</f>
        <v>0</v>
      </c>
      <c r="J5" s="186">
        <f t="shared" ref="J5:J38" si="2">+H5/E5</f>
        <v>1</v>
      </c>
      <c r="K5" s="200">
        <v>0.96079999999999999</v>
      </c>
      <c r="L5" s="201">
        <v>2027</v>
      </c>
      <c r="Q5" s="244">
        <v>0</v>
      </c>
      <c r="R5" s="245">
        <f t="shared" ref="R5:R27" si="3">+Q5*E5</f>
        <v>0</v>
      </c>
      <c r="S5" t="s">
        <v>539</v>
      </c>
      <c r="T5" s="202">
        <v>20000</v>
      </c>
      <c r="U5" s="203">
        <v>12500</v>
      </c>
      <c r="V5" s="206"/>
      <c r="W5" s="206"/>
      <c r="X5" s="206"/>
      <c r="Y5" s="206"/>
      <c r="Z5" s="199"/>
      <c r="AA5" s="210">
        <f t="shared" ref="AA5:AA37" si="4">+SLOPE(T5:Z5,$T$4:$Z$4)</f>
        <v>-1500</v>
      </c>
      <c r="AB5" s="204">
        <f t="shared" ref="AB5:AB37" si="5">+INTERCEPT(T5:Z5,$T$4:$Z$4)</f>
        <v>3050000</v>
      </c>
      <c r="AC5" s="211">
        <f t="shared" ref="AC5:AC37" si="6">+AA5*L5+AB5</f>
        <v>9500</v>
      </c>
      <c r="AD5" s="224">
        <f t="shared" ref="AD5:AD37" si="7">+((L5-$T$4)*AC5+((L5-$T$4)*(T5-AC5))/2)*365/1000000</f>
        <v>37.686250000000001</v>
      </c>
      <c r="AE5" s="225">
        <f t="shared" ref="AE5:AE37" si="8">+((AA5*L5*L5/2)+(AB5*L5)-(AA5*$T$4*$T$4/2)-(AB5*$T$4))*365/1000000</f>
        <v>37.686250000000001</v>
      </c>
      <c r="AF5" s="186">
        <f t="shared" ref="AF5:AF37" si="9">+(AE5-E5)/E5</f>
        <v>0.31402545327754539</v>
      </c>
    </row>
    <row r="6" spans="3:32" x14ac:dyDescent="0.25">
      <c r="C6" t="s">
        <v>342</v>
      </c>
      <c r="E6" s="194">
        <v>89.87</v>
      </c>
      <c r="F6" s="194">
        <v>0</v>
      </c>
      <c r="G6" s="194">
        <f>+E6</f>
        <v>89.87</v>
      </c>
      <c r="H6">
        <f t="shared" si="0"/>
        <v>0</v>
      </c>
      <c r="I6" s="186">
        <f t="shared" si="1"/>
        <v>1</v>
      </c>
      <c r="J6" s="186">
        <f t="shared" si="2"/>
        <v>0</v>
      </c>
      <c r="K6" s="196">
        <v>0.24629999999999999</v>
      </c>
      <c r="L6" s="194">
        <v>2048</v>
      </c>
      <c r="M6" s="242">
        <f>+N6+P6</f>
        <v>19756.607616438356</v>
      </c>
      <c r="N6" s="242">
        <v>19756.607616438356</v>
      </c>
      <c r="O6" s="242">
        <v>0</v>
      </c>
      <c r="P6" s="242">
        <f>+(O6*1000000)/$W$1</f>
        <v>0</v>
      </c>
      <c r="Q6" s="243">
        <f>+N6/M6</f>
        <v>1</v>
      </c>
      <c r="R6" s="245">
        <f t="shared" si="3"/>
        <v>89.87</v>
      </c>
      <c r="S6" s="243">
        <f t="shared" ref="S6:S38" si="10">+G6/E6</f>
        <v>1</v>
      </c>
      <c r="T6" s="194">
        <v>10000</v>
      </c>
      <c r="U6" s="194">
        <v>16000</v>
      </c>
      <c r="V6" s="194">
        <v>11000</v>
      </c>
      <c r="W6" s="194">
        <v>7500</v>
      </c>
      <c r="X6" s="194">
        <v>5500</v>
      </c>
      <c r="Y6" s="194">
        <v>4000</v>
      </c>
      <c r="Z6" s="194"/>
      <c r="AA6" s="210">
        <f t="shared" si="4"/>
        <v>-371.42857142857144</v>
      </c>
      <c r="AB6" s="204">
        <f t="shared" si="5"/>
        <v>763928.57142857148</v>
      </c>
      <c r="AC6" s="211">
        <f t="shared" si="6"/>
        <v>3242.8571428571595</v>
      </c>
      <c r="AD6" s="226">
        <f t="shared" si="7"/>
        <v>67.671000000000092</v>
      </c>
      <c r="AE6" s="227">
        <f t="shared" si="8"/>
        <v>86.286000000000001</v>
      </c>
      <c r="AF6" s="186">
        <f t="shared" si="9"/>
        <v>-3.9879826415934162E-2</v>
      </c>
    </row>
    <row r="7" spans="3:32" x14ac:dyDescent="0.25">
      <c r="C7" t="s">
        <v>491</v>
      </c>
      <c r="E7" s="194">
        <v>1.37</v>
      </c>
      <c r="F7" s="230">
        <f>+E7*1.12%</f>
        <v>1.5344000000000003E-2</v>
      </c>
      <c r="G7" s="195">
        <f>+E7*98.88%</f>
        <v>1.3546559999999999</v>
      </c>
      <c r="H7">
        <f t="shared" si="0"/>
        <v>1.5344000000000246E-2</v>
      </c>
      <c r="I7" s="186">
        <f t="shared" si="1"/>
        <v>0.98879999999999979</v>
      </c>
      <c r="J7" s="186">
        <f t="shared" si="2"/>
        <v>1.1200000000000179E-2</v>
      </c>
      <c r="K7" s="196">
        <v>0.62780000000000002</v>
      </c>
      <c r="L7" s="194">
        <v>2041</v>
      </c>
      <c r="M7" s="242">
        <f t="shared" ref="M7:M38" si="11">+N7+P7</f>
        <v>285.28490222012289</v>
      </c>
      <c r="N7" s="242">
        <v>249.14413698630142</v>
      </c>
      <c r="O7" s="242">
        <v>0.20961643835616439</v>
      </c>
      <c r="P7" s="242">
        <f t="shared" ref="P7:P38" si="12">+(O7*1000000)/$W$1</f>
        <v>36.140765233821448</v>
      </c>
      <c r="Q7" s="243">
        <f t="shared" ref="Q7:Q38" si="13">+N7/M7</f>
        <v>0.8733169370248145</v>
      </c>
      <c r="R7" s="245">
        <f t="shared" si="3"/>
        <v>1.196444203723996</v>
      </c>
      <c r="S7" s="243">
        <f t="shared" si="10"/>
        <v>0.98879999999999979</v>
      </c>
      <c r="T7" s="194">
        <v>400</v>
      </c>
      <c r="U7" s="194">
        <v>280</v>
      </c>
      <c r="V7" s="194">
        <v>200</v>
      </c>
      <c r="W7" s="194">
        <v>120</v>
      </c>
      <c r="X7" s="194">
        <v>80</v>
      </c>
      <c r="Y7" s="194"/>
      <c r="Z7" s="194"/>
      <c r="AA7" s="210">
        <f t="shared" si="4"/>
        <v>-16</v>
      </c>
      <c r="AB7" s="204">
        <f t="shared" si="5"/>
        <v>32696</v>
      </c>
      <c r="AC7" s="211">
        <f t="shared" si="6"/>
        <v>40</v>
      </c>
      <c r="AD7" s="226">
        <f t="shared" si="7"/>
        <v>1.6862999999999999</v>
      </c>
      <c r="AE7" s="227">
        <f t="shared" si="8"/>
        <v>1.59432</v>
      </c>
      <c r="AF7" s="186">
        <f t="shared" si="9"/>
        <v>0.16373722627737214</v>
      </c>
    </row>
    <row r="8" spans="3:32" x14ac:dyDescent="0.25">
      <c r="C8" t="s">
        <v>346</v>
      </c>
      <c r="E8" s="194">
        <v>2.5</v>
      </c>
      <c r="F8" s="194">
        <v>7.0000000000000007E-2</v>
      </c>
      <c r="G8" s="194">
        <f>+E8*99.53%</f>
        <v>2.4882499999999999</v>
      </c>
      <c r="H8">
        <f t="shared" si="0"/>
        <v>1.1750000000000149E-2</v>
      </c>
      <c r="I8" s="186">
        <f t="shared" si="1"/>
        <v>0.99529999999999996</v>
      </c>
      <c r="J8" s="186">
        <f t="shared" si="2"/>
        <v>4.70000000000006E-3</v>
      </c>
      <c r="K8" s="196">
        <v>0.93179999999999996</v>
      </c>
      <c r="L8" s="194">
        <v>2029</v>
      </c>
      <c r="M8" s="242">
        <f t="shared" si="11"/>
        <v>3767.1428889938588</v>
      </c>
      <c r="N8" s="242">
        <v>3691.9893698630135</v>
      </c>
      <c r="O8" s="242">
        <v>0.43589041095890391</v>
      </c>
      <c r="P8" s="242">
        <f t="shared" si="12"/>
        <v>75.153519130845496</v>
      </c>
      <c r="Q8" s="243">
        <f t="shared" si="13"/>
        <v>0.98005026054349709</v>
      </c>
      <c r="R8" s="245">
        <f t="shared" si="3"/>
        <v>2.4501256513587428</v>
      </c>
      <c r="S8" s="243">
        <f t="shared" si="10"/>
        <v>0.99529999999999996</v>
      </c>
      <c r="T8" s="194">
        <v>2950</v>
      </c>
      <c r="U8" s="194">
        <v>750</v>
      </c>
      <c r="V8" s="194"/>
      <c r="W8" s="194"/>
      <c r="X8" s="194"/>
      <c r="Y8" s="194"/>
      <c r="Z8" s="194"/>
      <c r="AA8" s="210">
        <f t="shared" si="4"/>
        <v>-440</v>
      </c>
      <c r="AB8" s="204">
        <f t="shared" si="5"/>
        <v>891750</v>
      </c>
      <c r="AC8" s="211">
        <f t="shared" si="6"/>
        <v>-1010</v>
      </c>
      <c r="AD8" s="226">
        <f t="shared" si="7"/>
        <v>3.1864499999999998</v>
      </c>
      <c r="AE8" s="227">
        <f t="shared" si="8"/>
        <v>3.1864499999999998</v>
      </c>
      <c r="AF8" s="186">
        <f t="shared" si="9"/>
        <v>0.27457999999999994</v>
      </c>
    </row>
    <row r="9" spans="3:32" x14ac:dyDescent="0.25">
      <c r="C9" t="s">
        <v>311</v>
      </c>
      <c r="E9" s="194">
        <v>14.92</v>
      </c>
      <c r="F9" s="194">
        <v>89.54</v>
      </c>
      <c r="G9" s="194">
        <v>0</v>
      </c>
      <c r="H9">
        <f t="shared" si="0"/>
        <v>14.92</v>
      </c>
      <c r="I9" s="186">
        <f t="shared" si="1"/>
        <v>0</v>
      </c>
      <c r="J9" s="186">
        <f t="shared" si="2"/>
        <v>1</v>
      </c>
      <c r="K9" s="196">
        <v>0.69059999999999999</v>
      </c>
      <c r="L9" s="194">
        <v>2039</v>
      </c>
      <c r="M9" s="242">
        <f t="shared" si="11"/>
        <v>3970.7652338214457</v>
      </c>
      <c r="N9" s="242">
        <v>0</v>
      </c>
      <c r="O9" s="242">
        <v>23.030438356164385</v>
      </c>
      <c r="P9" s="242">
        <f t="shared" si="12"/>
        <v>3970.7652338214457</v>
      </c>
      <c r="Q9" s="243">
        <f t="shared" si="13"/>
        <v>0</v>
      </c>
      <c r="R9" s="245">
        <f t="shared" si="3"/>
        <v>0</v>
      </c>
      <c r="S9" s="243">
        <f t="shared" si="10"/>
        <v>0</v>
      </c>
      <c r="T9" s="194">
        <v>2500</v>
      </c>
      <c r="U9" s="213">
        <v>3000</v>
      </c>
      <c r="V9" s="194">
        <v>2100</v>
      </c>
      <c r="W9" s="194">
        <v>1800</v>
      </c>
      <c r="X9" s="194"/>
      <c r="Y9" s="194"/>
      <c r="Z9" s="194"/>
      <c r="AA9" s="210">
        <f t="shared" si="4"/>
        <v>-60</v>
      </c>
      <c r="AB9" s="204">
        <f t="shared" si="5"/>
        <v>124000</v>
      </c>
      <c r="AC9" s="211">
        <f t="shared" si="6"/>
        <v>1660</v>
      </c>
      <c r="AD9" s="226">
        <f t="shared" si="7"/>
        <v>14.424799999999999</v>
      </c>
      <c r="AE9" s="227">
        <f t="shared" si="8"/>
        <v>15.46505</v>
      </c>
      <c r="AF9" s="186">
        <f t="shared" si="9"/>
        <v>3.653150134048256E-2</v>
      </c>
    </row>
    <row r="10" spans="3:32" x14ac:dyDescent="0.25">
      <c r="C10" t="s">
        <v>492</v>
      </c>
      <c r="E10" s="194">
        <v>153.29</v>
      </c>
      <c r="F10" s="194">
        <v>0</v>
      </c>
      <c r="G10" s="194">
        <v>153.29</v>
      </c>
      <c r="H10">
        <f t="shared" si="0"/>
        <v>0</v>
      </c>
      <c r="I10" s="186">
        <f t="shared" si="1"/>
        <v>1</v>
      </c>
      <c r="J10" s="186">
        <f t="shared" si="2"/>
        <v>0</v>
      </c>
      <c r="K10" s="196">
        <v>0.70950000000000002</v>
      </c>
      <c r="L10" s="194">
        <v>2036</v>
      </c>
      <c r="M10" s="242">
        <f t="shared" si="11"/>
        <v>70553.994630136978</v>
      </c>
      <c r="N10" s="242">
        <v>70553.994630136978</v>
      </c>
      <c r="O10" s="242">
        <v>0</v>
      </c>
      <c r="P10" s="242">
        <f t="shared" si="12"/>
        <v>0</v>
      </c>
      <c r="Q10" s="243">
        <f t="shared" si="13"/>
        <v>1</v>
      </c>
      <c r="R10" s="245">
        <f t="shared" si="3"/>
        <v>153.29</v>
      </c>
      <c r="S10" s="243">
        <f t="shared" si="10"/>
        <v>1</v>
      </c>
      <c r="T10" s="194">
        <v>65000</v>
      </c>
      <c r="U10" s="213">
        <v>37500</v>
      </c>
      <c r="V10" s="194">
        <v>22500</v>
      </c>
      <c r="W10" s="194">
        <v>12500</v>
      </c>
      <c r="X10" s="194"/>
      <c r="Y10" s="194"/>
      <c r="Z10" s="194"/>
      <c r="AA10" s="232">
        <f t="shared" si="4"/>
        <v>-3450</v>
      </c>
      <c r="AB10" s="233">
        <f t="shared" si="5"/>
        <v>7029250</v>
      </c>
      <c r="AC10" s="234">
        <f t="shared" si="6"/>
        <v>5050</v>
      </c>
      <c r="AD10" s="224">
        <f t="shared" si="7"/>
        <v>204.54599999999999</v>
      </c>
      <c r="AE10" s="225">
        <f t="shared" si="8"/>
        <v>190.67599999999999</v>
      </c>
      <c r="AF10" s="186">
        <f t="shared" si="9"/>
        <v>0.24389066475308238</v>
      </c>
    </row>
    <row r="11" spans="3:32" x14ac:dyDescent="0.25">
      <c r="C11" t="s">
        <v>493</v>
      </c>
      <c r="E11" s="194">
        <v>0.88</v>
      </c>
      <c r="F11" s="194">
        <v>0</v>
      </c>
      <c r="G11" s="194">
        <v>0.88</v>
      </c>
      <c r="H11">
        <f t="shared" si="0"/>
        <v>0</v>
      </c>
      <c r="I11" s="186">
        <f t="shared" si="1"/>
        <v>1</v>
      </c>
      <c r="J11" s="186">
        <f t="shared" si="2"/>
        <v>0</v>
      </c>
      <c r="K11" s="196">
        <v>0.69830000000000003</v>
      </c>
      <c r="L11" s="194">
        <v>2042</v>
      </c>
      <c r="M11" s="242">
        <f t="shared" si="11"/>
        <v>226.03172602739721</v>
      </c>
      <c r="N11" s="242">
        <v>226.03172602739721</v>
      </c>
      <c r="O11" s="242">
        <v>0</v>
      </c>
      <c r="P11" s="242">
        <f t="shared" si="12"/>
        <v>0</v>
      </c>
      <c r="Q11" s="243">
        <f t="shared" si="13"/>
        <v>1</v>
      </c>
      <c r="R11" s="245">
        <f t="shared" si="3"/>
        <v>0.88</v>
      </c>
      <c r="S11" s="243">
        <f t="shared" si="10"/>
        <v>1</v>
      </c>
      <c r="T11" s="194">
        <v>150</v>
      </c>
      <c r="U11" s="231">
        <v>180</v>
      </c>
      <c r="V11" s="194">
        <v>105</v>
      </c>
      <c r="W11" s="194">
        <v>90</v>
      </c>
      <c r="X11" s="194">
        <v>60</v>
      </c>
      <c r="Y11" s="194"/>
      <c r="Z11" s="194"/>
      <c r="AA11" s="232">
        <f t="shared" si="4"/>
        <v>-5.4</v>
      </c>
      <c r="AB11" s="233">
        <f t="shared" si="5"/>
        <v>11079</v>
      </c>
      <c r="AC11" s="234">
        <f t="shared" si="6"/>
        <v>52.199999999998909</v>
      </c>
      <c r="AD11" s="224">
        <f t="shared" si="7"/>
        <v>0.81183299999999559</v>
      </c>
      <c r="AE11" s="225">
        <f t="shared" si="8"/>
        <v>0.89614799999972805</v>
      </c>
      <c r="AF11" s="186">
        <f t="shared" si="9"/>
        <v>1.8349999999690961E-2</v>
      </c>
    </row>
    <row r="12" spans="3:32" x14ac:dyDescent="0.25">
      <c r="C12" t="s">
        <v>494</v>
      </c>
      <c r="E12" s="194">
        <v>543.79</v>
      </c>
      <c r="F12" s="194">
        <v>0</v>
      </c>
      <c r="G12" s="194">
        <f>+E12</f>
        <v>543.79</v>
      </c>
      <c r="H12">
        <f t="shared" si="0"/>
        <v>0</v>
      </c>
      <c r="I12" s="186">
        <f t="shared" si="1"/>
        <v>1</v>
      </c>
      <c r="J12" s="186">
        <f t="shared" si="2"/>
        <v>0</v>
      </c>
      <c r="K12" s="196">
        <v>0.31709999999999999</v>
      </c>
      <c r="L12" s="194">
        <v>2099</v>
      </c>
      <c r="M12" s="242">
        <f t="shared" si="11"/>
        <v>43276.035643835618</v>
      </c>
      <c r="N12" s="242">
        <v>43276.035643835618</v>
      </c>
      <c r="O12" s="242">
        <v>0</v>
      </c>
      <c r="P12" s="242">
        <f t="shared" si="12"/>
        <v>0</v>
      </c>
      <c r="Q12" s="243">
        <f t="shared" si="13"/>
        <v>1</v>
      </c>
      <c r="R12" s="245">
        <f t="shared" si="3"/>
        <v>543.79</v>
      </c>
      <c r="S12" s="243">
        <f t="shared" si="10"/>
        <v>1</v>
      </c>
      <c r="T12" s="194">
        <v>40000</v>
      </c>
      <c r="U12" s="194"/>
      <c r="V12" s="194">
        <v>32500</v>
      </c>
      <c r="X12" s="194">
        <v>27500</v>
      </c>
      <c r="Y12" s="194"/>
      <c r="Z12" s="194">
        <v>22500</v>
      </c>
      <c r="AA12" s="232">
        <f t="shared" si="4"/>
        <v>-575</v>
      </c>
      <c r="AB12" s="233">
        <f t="shared" si="5"/>
        <v>1200750</v>
      </c>
      <c r="AC12" s="234">
        <f t="shared" si="6"/>
        <v>-6175</v>
      </c>
      <c r="AD12" s="224">
        <f t="shared" si="7"/>
        <v>487.67193750000001</v>
      </c>
      <c r="AE12" s="225">
        <f t="shared" si="8"/>
        <v>476.8588125</v>
      </c>
      <c r="AF12" s="186">
        <f t="shared" si="9"/>
        <v>-0.1230827847146876</v>
      </c>
    </row>
    <row r="13" spans="3:32" x14ac:dyDescent="0.25">
      <c r="C13" t="s">
        <v>29</v>
      </c>
      <c r="E13" s="194">
        <v>272.89999999999998</v>
      </c>
      <c r="F13" s="194">
        <v>0</v>
      </c>
      <c r="G13" s="194">
        <v>272.29000000000002</v>
      </c>
      <c r="H13">
        <f t="shared" si="0"/>
        <v>0.6099999999999568</v>
      </c>
      <c r="I13" s="186">
        <f t="shared" si="1"/>
        <v>0.99776474899230505</v>
      </c>
      <c r="J13" s="186">
        <f t="shared" si="2"/>
        <v>2.2352510076949681E-3</v>
      </c>
      <c r="K13" s="228">
        <v>0.71530000000000005</v>
      </c>
      <c r="L13" s="194">
        <v>2036</v>
      </c>
      <c r="M13" s="242">
        <f t="shared" si="11"/>
        <v>119308.68268493151</v>
      </c>
      <c r="N13" s="242">
        <v>119308.68268493151</v>
      </c>
      <c r="O13" s="242">
        <v>0</v>
      </c>
      <c r="P13" s="242">
        <f t="shared" si="12"/>
        <v>0</v>
      </c>
      <c r="Q13" s="243">
        <f t="shared" si="13"/>
        <v>1</v>
      </c>
      <c r="R13" s="245">
        <f t="shared" si="3"/>
        <v>272.89999999999998</v>
      </c>
      <c r="S13" s="243">
        <f t="shared" si="10"/>
        <v>0.99776474899230505</v>
      </c>
      <c r="T13" s="205">
        <v>105000</v>
      </c>
      <c r="U13" s="214">
        <v>75000</v>
      </c>
      <c r="V13" s="194">
        <v>40000</v>
      </c>
      <c r="W13" s="194">
        <v>25000</v>
      </c>
      <c r="AA13" s="232">
        <f t="shared" si="4"/>
        <v>-5500</v>
      </c>
      <c r="AB13" s="233">
        <f t="shared" si="5"/>
        <v>11212500</v>
      </c>
      <c r="AC13" s="234">
        <f t="shared" si="6"/>
        <v>14500</v>
      </c>
      <c r="AD13" s="224">
        <f t="shared" si="7"/>
        <v>348.94</v>
      </c>
      <c r="AE13" s="225">
        <f t="shared" si="8"/>
        <v>341.64</v>
      </c>
      <c r="AF13" s="186">
        <f t="shared" si="9"/>
        <v>0.25188713814584102</v>
      </c>
    </row>
    <row r="14" spans="3:32" x14ac:dyDescent="0.25">
      <c r="C14" t="s">
        <v>345</v>
      </c>
      <c r="E14" s="194">
        <v>16.52</v>
      </c>
      <c r="F14" s="194">
        <v>1.61</v>
      </c>
      <c r="G14">
        <f>+E14*98.07%</f>
        <v>16.201163999999999</v>
      </c>
      <c r="H14">
        <f t="shared" si="0"/>
        <v>0.31883600000000101</v>
      </c>
      <c r="I14" s="186">
        <f t="shared" si="1"/>
        <v>0.98069999999999991</v>
      </c>
      <c r="J14" s="186">
        <f t="shared" si="2"/>
        <v>1.930000000000006E-2</v>
      </c>
      <c r="K14" s="228">
        <v>0.73629999999999995</v>
      </c>
      <c r="L14" s="194">
        <v>2060</v>
      </c>
      <c r="M14" s="242">
        <f t="shared" si="11"/>
        <v>4154.1152328767121</v>
      </c>
      <c r="N14" s="242">
        <v>4154.1152328767121</v>
      </c>
      <c r="O14" s="242">
        <v>0</v>
      </c>
      <c r="P14" s="242">
        <f t="shared" si="12"/>
        <v>0</v>
      </c>
      <c r="Q14" s="243">
        <f t="shared" si="13"/>
        <v>1</v>
      </c>
      <c r="R14" s="245">
        <f t="shared" si="3"/>
        <v>16.52</v>
      </c>
      <c r="S14" s="243">
        <f t="shared" si="10"/>
        <v>0.98069999999999991</v>
      </c>
      <c r="T14" s="194">
        <v>4000</v>
      </c>
      <c r="U14" s="194">
        <v>3000</v>
      </c>
      <c r="V14" s="194">
        <v>1800</v>
      </c>
      <c r="W14" s="194">
        <v>1000</v>
      </c>
      <c r="X14" s="194">
        <v>900</v>
      </c>
      <c r="Y14" s="194">
        <v>700</v>
      </c>
      <c r="Z14" s="194">
        <v>500</v>
      </c>
      <c r="AA14" s="232">
        <f t="shared" si="4"/>
        <v>-114.28571428571429</v>
      </c>
      <c r="AB14" s="233">
        <f t="shared" si="5"/>
        <v>234271.42857142858</v>
      </c>
      <c r="AC14" s="234">
        <f t="shared" si="6"/>
        <v>-1157.1428571428696</v>
      </c>
      <c r="AD14" s="224">
        <f t="shared" si="7"/>
        <v>20.752857142857053</v>
      </c>
      <c r="AE14" s="225">
        <f t="shared" si="8"/>
        <v>16.47714285712421</v>
      </c>
      <c r="AF14" s="186">
        <f t="shared" si="9"/>
        <v>-2.5942580433286396E-3</v>
      </c>
    </row>
    <row r="15" spans="3:32" x14ac:dyDescent="0.25">
      <c r="C15" t="s">
        <v>140</v>
      </c>
      <c r="E15" s="194">
        <v>21.91</v>
      </c>
      <c r="F15" s="194">
        <v>0</v>
      </c>
      <c r="G15">
        <f>+E15</f>
        <v>21.91</v>
      </c>
      <c r="H15">
        <f t="shared" si="0"/>
        <v>0</v>
      </c>
      <c r="I15" s="186">
        <f t="shared" si="1"/>
        <v>1</v>
      </c>
      <c r="J15" s="186">
        <f t="shared" si="2"/>
        <v>0</v>
      </c>
      <c r="K15" s="228">
        <v>0.78649999999999998</v>
      </c>
      <c r="L15" s="194">
        <v>2035</v>
      </c>
      <c r="M15" s="242">
        <f t="shared" si="11"/>
        <v>10381.531479452055</v>
      </c>
      <c r="N15" s="242">
        <v>10381.531479452055</v>
      </c>
      <c r="O15" s="242">
        <v>0</v>
      </c>
      <c r="P15" s="242">
        <f t="shared" si="12"/>
        <v>0</v>
      </c>
      <c r="Q15" s="243">
        <f t="shared" si="13"/>
        <v>1</v>
      </c>
      <c r="R15" s="245">
        <f t="shared" si="3"/>
        <v>21.91</v>
      </c>
      <c r="S15" s="243">
        <f t="shared" si="10"/>
        <v>1</v>
      </c>
      <c r="T15" s="205">
        <v>10500</v>
      </c>
      <c r="U15" s="215">
        <v>6000</v>
      </c>
      <c r="V15" s="194">
        <v>2300</v>
      </c>
      <c r="W15" s="194">
        <v>1800</v>
      </c>
      <c r="AA15" s="232">
        <f t="shared" si="4"/>
        <v>-596</v>
      </c>
      <c r="AB15" s="233">
        <f t="shared" si="5"/>
        <v>1213540</v>
      </c>
      <c r="AC15" s="234">
        <f t="shared" si="6"/>
        <v>680</v>
      </c>
      <c r="AD15" s="224">
        <f t="shared" si="7"/>
        <v>30.605250000000002</v>
      </c>
      <c r="AE15" s="225">
        <f t="shared" si="8"/>
        <v>28.196249999999999</v>
      </c>
      <c r="AF15" s="186">
        <f t="shared" si="9"/>
        <v>0.28691236878137832</v>
      </c>
    </row>
    <row r="16" spans="3:32" x14ac:dyDescent="0.25">
      <c r="C16" t="s">
        <v>495</v>
      </c>
      <c r="E16" s="194">
        <v>8.85</v>
      </c>
      <c r="F16" s="194">
        <v>0</v>
      </c>
      <c r="G16">
        <f>+E16</f>
        <v>8.85</v>
      </c>
      <c r="H16">
        <f t="shared" si="0"/>
        <v>0</v>
      </c>
      <c r="I16" s="186">
        <f t="shared" si="1"/>
        <v>1</v>
      </c>
      <c r="J16" s="186">
        <f t="shared" si="2"/>
        <v>0</v>
      </c>
      <c r="K16" s="228">
        <v>0.55530000000000002</v>
      </c>
      <c r="L16" s="194">
        <v>2052</v>
      </c>
      <c r="M16" s="242">
        <f t="shared" si="11"/>
        <v>1737.8650958904109</v>
      </c>
      <c r="N16" s="242">
        <v>1737.8650958904109</v>
      </c>
      <c r="O16" s="242">
        <v>0</v>
      </c>
      <c r="P16" s="242">
        <f t="shared" si="12"/>
        <v>0</v>
      </c>
      <c r="Q16" s="243">
        <f t="shared" si="13"/>
        <v>1</v>
      </c>
      <c r="R16" s="245">
        <f t="shared" si="3"/>
        <v>8.85</v>
      </c>
      <c r="S16" s="243">
        <f t="shared" si="10"/>
        <v>1</v>
      </c>
      <c r="T16" s="205">
        <v>1600</v>
      </c>
      <c r="U16" s="205">
        <v>1500</v>
      </c>
      <c r="V16" s="194">
        <v>1100</v>
      </c>
      <c r="W16" s="194">
        <v>750</v>
      </c>
      <c r="X16" s="194">
        <v>500</v>
      </c>
      <c r="Y16" s="194">
        <v>250</v>
      </c>
      <c r="Z16" s="194">
        <v>200</v>
      </c>
      <c r="AA16" s="232">
        <f t="shared" si="4"/>
        <v>-52.142857142857146</v>
      </c>
      <c r="AB16" s="233">
        <f t="shared" si="5"/>
        <v>106953.57142857143</v>
      </c>
      <c r="AC16" s="234">
        <f t="shared" si="6"/>
        <v>-43.571428571434808</v>
      </c>
      <c r="AD16" s="224">
        <f t="shared" si="7"/>
        <v>9.0895428571428205</v>
      </c>
      <c r="AE16" s="225">
        <f t="shared" si="8"/>
        <v>9.2355428571459655</v>
      </c>
      <c r="AF16" s="186">
        <f t="shared" si="9"/>
        <v>4.3564164649261675E-2</v>
      </c>
    </row>
    <row r="17" spans="3:32" x14ac:dyDescent="0.25">
      <c r="C17" t="s">
        <v>61</v>
      </c>
      <c r="E17" s="194">
        <v>146.25</v>
      </c>
      <c r="F17" s="194">
        <v>0</v>
      </c>
      <c r="G17">
        <v>146.25</v>
      </c>
      <c r="H17">
        <f t="shared" si="0"/>
        <v>0</v>
      </c>
      <c r="I17" s="186">
        <f t="shared" si="1"/>
        <v>1</v>
      </c>
      <c r="J17" s="186">
        <f t="shared" si="2"/>
        <v>0</v>
      </c>
      <c r="K17" s="228">
        <v>0.58260000000000001</v>
      </c>
      <c r="L17" s="194">
        <v>2039</v>
      </c>
      <c r="M17" s="242">
        <f t="shared" si="11"/>
        <v>48971.756410958893</v>
      </c>
      <c r="N17" s="242">
        <v>48971.756410958893</v>
      </c>
      <c r="O17" s="242">
        <v>0</v>
      </c>
      <c r="P17" s="242">
        <f t="shared" si="12"/>
        <v>0</v>
      </c>
      <c r="Q17" s="243">
        <f t="shared" si="13"/>
        <v>1</v>
      </c>
      <c r="R17" s="245">
        <f t="shared" si="3"/>
        <v>146.25</v>
      </c>
      <c r="S17" s="243">
        <f t="shared" si="10"/>
        <v>1</v>
      </c>
      <c r="T17" s="205">
        <v>50000</v>
      </c>
      <c r="U17" s="205">
        <v>35000</v>
      </c>
      <c r="V17" s="194">
        <v>20000</v>
      </c>
      <c r="W17" s="194">
        <v>12500</v>
      </c>
      <c r="AA17" s="232">
        <f t="shared" si="4"/>
        <v>-2550</v>
      </c>
      <c r="AB17" s="233">
        <f t="shared" si="5"/>
        <v>5199500</v>
      </c>
      <c r="AC17" s="234">
        <f t="shared" si="6"/>
        <v>50</v>
      </c>
      <c r="AD17" s="224">
        <f t="shared" si="7"/>
        <v>173.54837499999999</v>
      </c>
      <c r="AE17" s="225">
        <f t="shared" si="8"/>
        <v>168.34712500000001</v>
      </c>
      <c r="AF17" s="186">
        <f t="shared" si="9"/>
        <v>0.15109145299145302</v>
      </c>
    </row>
    <row r="18" spans="3:32" x14ac:dyDescent="0.25">
      <c r="C18" t="s">
        <v>496</v>
      </c>
      <c r="E18" s="194">
        <v>89.99</v>
      </c>
      <c r="F18" s="194">
        <v>0</v>
      </c>
      <c r="G18">
        <f>+E18</f>
        <v>89.99</v>
      </c>
      <c r="H18">
        <f t="shared" si="0"/>
        <v>0</v>
      </c>
      <c r="I18" s="186">
        <f t="shared" si="1"/>
        <v>1</v>
      </c>
      <c r="J18" s="186">
        <f t="shared" si="2"/>
        <v>0</v>
      </c>
      <c r="K18" s="228">
        <v>0.42830000000000001</v>
      </c>
      <c r="L18" s="194">
        <v>2044</v>
      </c>
      <c r="M18" s="242">
        <f t="shared" si="11"/>
        <v>20119.028164383562</v>
      </c>
      <c r="N18" s="242">
        <v>20119.028164383562</v>
      </c>
      <c r="O18" s="242">
        <v>0</v>
      </c>
      <c r="P18" s="242">
        <f t="shared" si="12"/>
        <v>0</v>
      </c>
      <c r="Q18" s="243">
        <f t="shared" si="13"/>
        <v>1</v>
      </c>
      <c r="R18" s="245">
        <f t="shared" si="3"/>
        <v>89.99</v>
      </c>
      <c r="S18" s="243">
        <f t="shared" si="10"/>
        <v>1</v>
      </c>
      <c r="T18" s="205">
        <v>20000</v>
      </c>
      <c r="U18" s="205">
        <v>17500</v>
      </c>
      <c r="V18" s="194">
        <v>12500</v>
      </c>
      <c r="W18" s="194">
        <v>7600</v>
      </c>
      <c r="X18" s="194">
        <v>6000</v>
      </c>
      <c r="AA18" s="232">
        <f t="shared" si="4"/>
        <v>-758</v>
      </c>
      <c r="AB18" s="233">
        <f t="shared" si="5"/>
        <v>1551460</v>
      </c>
      <c r="AC18" s="234">
        <f t="shared" si="6"/>
        <v>2108</v>
      </c>
      <c r="AD18" s="224">
        <f t="shared" si="7"/>
        <v>96.833039999999997</v>
      </c>
      <c r="AE18" s="225">
        <f t="shared" si="8"/>
        <v>98.147040000000004</v>
      </c>
      <c r="AF18" s="186">
        <f t="shared" si="9"/>
        <v>9.0643849316590835E-2</v>
      </c>
    </row>
    <row r="19" spans="3:32" x14ac:dyDescent="0.25">
      <c r="C19" t="s">
        <v>497</v>
      </c>
      <c r="E19" s="194">
        <v>86.96</v>
      </c>
      <c r="F19" s="194">
        <v>357.74</v>
      </c>
      <c r="G19">
        <f>+E19*68.57%</f>
        <v>59.628471999999995</v>
      </c>
      <c r="H19">
        <f t="shared" si="0"/>
        <v>27.331527999999999</v>
      </c>
      <c r="I19" s="186">
        <f t="shared" si="1"/>
        <v>0.68569999999999998</v>
      </c>
      <c r="J19" s="186">
        <f t="shared" si="2"/>
        <v>0.31430000000000002</v>
      </c>
      <c r="K19" s="228">
        <v>0.87790000000000001</v>
      </c>
      <c r="L19" s="194">
        <v>2035</v>
      </c>
      <c r="M19" s="242">
        <f t="shared" si="11"/>
        <v>36739.649441662732</v>
      </c>
      <c r="N19" s="242">
        <v>5802.3135890410958</v>
      </c>
      <c r="O19" s="242">
        <v>179.43654794520549</v>
      </c>
      <c r="P19" s="242">
        <f t="shared" si="12"/>
        <v>30937.335852621636</v>
      </c>
      <c r="Q19" s="243">
        <f t="shared" si="13"/>
        <v>0.15793056485893622</v>
      </c>
      <c r="R19" s="245">
        <f t="shared" si="3"/>
        <v>13.733641920133094</v>
      </c>
      <c r="S19" s="243">
        <f t="shared" si="10"/>
        <v>0.68569999999999998</v>
      </c>
      <c r="T19" s="205">
        <v>42000</v>
      </c>
      <c r="U19" s="205">
        <v>22000</v>
      </c>
      <c r="V19" s="194">
        <v>16000</v>
      </c>
      <c r="W19" s="194">
        <v>8000</v>
      </c>
      <c r="AA19" s="232">
        <f t="shared" si="4"/>
        <v>-2160</v>
      </c>
      <c r="AB19" s="233">
        <f t="shared" si="5"/>
        <v>4401400</v>
      </c>
      <c r="AC19" s="234">
        <f t="shared" si="6"/>
        <v>5800</v>
      </c>
      <c r="AD19" s="224">
        <f t="shared" si="7"/>
        <v>130.85249999999999</v>
      </c>
      <c r="AE19" s="225">
        <f t="shared" si="8"/>
        <v>120.45</v>
      </c>
      <c r="AF19" s="186">
        <f t="shared" si="9"/>
        <v>0.38511959521619149</v>
      </c>
    </row>
    <row r="20" spans="3:32" x14ac:dyDescent="0.25">
      <c r="C20" t="s">
        <v>498</v>
      </c>
      <c r="E20" s="194">
        <v>5.73</v>
      </c>
      <c r="F20" s="194">
        <v>0</v>
      </c>
      <c r="G20">
        <f>+E20</f>
        <v>5.73</v>
      </c>
      <c r="H20">
        <f t="shared" si="0"/>
        <v>0</v>
      </c>
      <c r="I20" s="186">
        <f t="shared" si="1"/>
        <v>1</v>
      </c>
      <c r="J20" s="186">
        <f t="shared" si="2"/>
        <v>0</v>
      </c>
      <c r="K20" s="228">
        <v>0.61819999999999997</v>
      </c>
      <c r="L20" s="194">
        <v>2050</v>
      </c>
      <c r="M20" s="242">
        <f t="shared" si="11"/>
        <v>3032.86197260274</v>
      </c>
      <c r="N20" s="242">
        <v>3032.86197260274</v>
      </c>
      <c r="O20" s="242">
        <v>0</v>
      </c>
      <c r="P20" s="242">
        <f t="shared" si="12"/>
        <v>0</v>
      </c>
      <c r="Q20" s="243">
        <f t="shared" si="13"/>
        <v>1</v>
      </c>
      <c r="R20" s="245">
        <f t="shared" si="3"/>
        <v>5.73</v>
      </c>
      <c r="S20" s="243">
        <f t="shared" si="10"/>
        <v>1</v>
      </c>
      <c r="T20" s="205">
        <v>2250</v>
      </c>
      <c r="U20" s="205">
        <v>1250</v>
      </c>
      <c r="V20" s="194">
        <v>600</v>
      </c>
      <c r="W20" s="194">
        <v>400</v>
      </c>
      <c r="X20" s="194">
        <v>200</v>
      </c>
      <c r="Y20" s="194">
        <v>150</v>
      </c>
      <c r="Z20" s="194">
        <v>100</v>
      </c>
      <c r="AA20" s="232">
        <f t="shared" si="4"/>
        <v>-64.642857142857139</v>
      </c>
      <c r="AB20" s="233">
        <f t="shared" si="5"/>
        <v>132255.35714285716</v>
      </c>
      <c r="AC20" s="234">
        <f t="shared" si="6"/>
        <v>-262.4999999999709</v>
      </c>
      <c r="AD20" s="224">
        <f t="shared" si="7"/>
        <v>10.881562500000161</v>
      </c>
      <c r="AE20" s="225">
        <f t="shared" si="8"/>
        <v>7.7432142857189472</v>
      </c>
      <c r="AF20" s="186">
        <f t="shared" si="9"/>
        <v>0.35134629768218961</v>
      </c>
    </row>
    <row r="21" spans="3:32" x14ac:dyDescent="0.25">
      <c r="C21" t="s">
        <v>499</v>
      </c>
      <c r="E21" s="194">
        <v>89.27</v>
      </c>
      <c r="F21" s="194">
        <v>504.38</v>
      </c>
      <c r="G21">
        <f>+E21*5.84%</f>
        <v>5.213368</v>
      </c>
      <c r="H21">
        <f t="shared" si="0"/>
        <v>84.056631999999993</v>
      </c>
      <c r="I21" s="186">
        <f t="shared" si="1"/>
        <v>5.8400000000000001E-2</v>
      </c>
      <c r="J21" s="186">
        <f t="shared" si="2"/>
        <v>0.94159999999999999</v>
      </c>
      <c r="K21" s="228">
        <v>0.24510000000000001</v>
      </c>
      <c r="L21" s="194">
        <v>2059</v>
      </c>
      <c r="M21" s="242">
        <f t="shared" si="11"/>
        <v>5687.8121180916396</v>
      </c>
      <c r="N21" s="242">
        <v>1396.6784383561644</v>
      </c>
      <c r="O21" s="242">
        <v>24.888575342465753</v>
      </c>
      <c r="P21" s="242">
        <f t="shared" si="12"/>
        <v>4291.1336797354752</v>
      </c>
      <c r="Q21" s="243">
        <f t="shared" si="13"/>
        <v>0.24555635969648984</v>
      </c>
      <c r="R21" s="245">
        <f t="shared" si="3"/>
        <v>21.920816230105647</v>
      </c>
      <c r="S21" s="243">
        <f t="shared" si="10"/>
        <v>5.8400000000000001E-2</v>
      </c>
      <c r="T21" s="205">
        <v>10000</v>
      </c>
      <c r="U21" s="205">
        <v>18500</v>
      </c>
      <c r="V21" s="194">
        <v>10000</v>
      </c>
      <c r="W21" s="194">
        <v>7000</v>
      </c>
      <c r="X21" s="194">
        <v>5000</v>
      </c>
      <c r="Y21" s="194">
        <v>3500</v>
      </c>
      <c r="Z21" s="194">
        <v>2100</v>
      </c>
      <c r="AA21" s="232">
        <f t="shared" si="4"/>
        <v>-419.28571428571439</v>
      </c>
      <c r="AB21" s="233">
        <f t="shared" si="5"/>
        <v>861260.71428571444</v>
      </c>
      <c r="AC21" s="234">
        <f t="shared" si="6"/>
        <v>-2048.5714285714785</v>
      </c>
      <c r="AD21" s="224">
        <f t="shared" si="7"/>
        <v>56.594292857142499</v>
      </c>
      <c r="AE21" s="225">
        <f t="shared" si="8"/>
        <v>87.224962500087017</v>
      </c>
      <c r="AF21" s="186">
        <f t="shared" si="9"/>
        <v>-2.2908451886557404E-2</v>
      </c>
    </row>
    <row r="22" spans="3:32" x14ac:dyDescent="0.25">
      <c r="C22" t="s">
        <v>500</v>
      </c>
      <c r="E22" s="194">
        <v>10.25</v>
      </c>
      <c r="F22" s="194">
        <v>60.26</v>
      </c>
      <c r="G22">
        <f>+E22*2%</f>
        <v>0.20500000000000002</v>
      </c>
      <c r="H22">
        <f t="shared" si="0"/>
        <v>10.045</v>
      </c>
      <c r="I22" s="186">
        <f t="shared" si="1"/>
        <v>0.02</v>
      </c>
      <c r="J22" s="186">
        <f t="shared" si="2"/>
        <v>0.98</v>
      </c>
      <c r="K22" s="228">
        <v>0.98270000000000002</v>
      </c>
      <c r="L22" s="194">
        <v>2025</v>
      </c>
      <c r="M22" s="242">
        <f t="shared" si="11"/>
        <v>13330.402025507794</v>
      </c>
      <c r="N22" s="242">
        <v>802.2064657534246</v>
      </c>
      <c r="O22" s="242">
        <v>72.663534246575338</v>
      </c>
      <c r="P22" s="242">
        <f t="shared" si="12"/>
        <v>12528.195559754369</v>
      </c>
      <c r="Q22" s="243">
        <f t="shared" si="13"/>
        <v>6.0178715106896125E-2</v>
      </c>
      <c r="R22" s="245">
        <f t="shared" si="3"/>
        <v>0.6168318298456853</v>
      </c>
      <c r="S22" s="243">
        <f t="shared" si="10"/>
        <v>0.02</v>
      </c>
      <c r="T22" s="205">
        <v>8000</v>
      </c>
      <c r="U22" s="205">
        <v>5000</v>
      </c>
      <c r="AA22" s="232">
        <f t="shared" si="4"/>
        <v>-600</v>
      </c>
      <c r="AB22" s="233">
        <f t="shared" si="5"/>
        <v>1220000</v>
      </c>
      <c r="AC22" s="234">
        <f t="shared" si="6"/>
        <v>5000</v>
      </c>
      <c r="AD22" s="224">
        <f t="shared" si="7"/>
        <v>11.862500000000001</v>
      </c>
      <c r="AE22" s="225">
        <f t="shared" si="8"/>
        <v>11.862500000000001</v>
      </c>
      <c r="AF22" s="186">
        <f t="shared" si="9"/>
        <v>0.15731707317073176</v>
      </c>
    </row>
    <row r="23" spans="3:32" x14ac:dyDescent="0.25">
      <c r="C23" t="s">
        <v>501</v>
      </c>
      <c r="E23" s="194">
        <v>17.7</v>
      </c>
      <c r="F23" s="194">
        <v>97.48</v>
      </c>
      <c r="G23">
        <f>+E23*8.23%</f>
        <v>1.4567099999999999</v>
      </c>
      <c r="H23">
        <f t="shared" si="0"/>
        <v>16.243289999999998</v>
      </c>
      <c r="I23" s="186">
        <f t="shared" si="1"/>
        <v>8.2299999999999998E-2</v>
      </c>
      <c r="J23" s="186">
        <f t="shared" si="2"/>
        <v>0.91769999999999996</v>
      </c>
      <c r="K23" s="228">
        <v>0.97750000000000004</v>
      </c>
      <c r="L23" s="194">
        <v>2025</v>
      </c>
      <c r="M23" s="242">
        <f t="shared" si="11"/>
        <v>18303.892234293809</v>
      </c>
      <c r="N23" s="242">
        <v>2380.4156164383562</v>
      </c>
      <c r="O23" s="242">
        <v>92.356164383561648</v>
      </c>
      <c r="P23" s="242">
        <f t="shared" si="12"/>
        <v>15923.476617855455</v>
      </c>
      <c r="Q23" s="243">
        <f t="shared" si="13"/>
        <v>0.13004969576790104</v>
      </c>
      <c r="R23" s="245">
        <f t="shared" si="3"/>
        <v>2.3018796150918481</v>
      </c>
      <c r="S23" s="243">
        <f t="shared" si="10"/>
        <v>8.2299999999999998E-2</v>
      </c>
      <c r="T23" s="194">
        <v>8000</v>
      </c>
      <c r="U23" s="213">
        <v>5000</v>
      </c>
      <c r="AA23" s="232">
        <f t="shared" si="4"/>
        <v>-600</v>
      </c>
      <c r="AB23" s="233">
        <f t="shared" si="5"/>
        <v>1220000</v>
      </c>
      <c r="AC23" s="234">
        <f t="shared" si="6"/>
        <v>5000</v>
      </c>
      <c r="AD23" s="224">
        <f t="shared" si="7"/>
        <v>11.862500000000001</v>
      </c>
      <c r="AE23" s="225">
        <f t="shared" si="8"/>
        <v>11.862500000000001</v>
      </c>
      <c r="AF23" s="186">
        <f t="shared" si="9"/>
        <v>-0.32980225988700557</v>
      </c>
    </row>
    <row r="24" spans="3:32" x14ac:dyDescent="0.25">
      <c r="C24" t="s">
        <v>502</v>
      </c>
      <c r="E24" s="194">
        <v>8.8000000000000007</v>
      </c>
      <c r="F24" s="194">
        <v>2.82</v>
      </c>
      <c r="G24">
        <f>+E24*94.66%</f>
        <v>8.3300800000000006</v>
      </c>
      <c r="H24">
        <f t="shared" si="0"/>
        <v>0.46992000000000012</v>
      </c>
      <c r="I24" s="186">
        <f t="shared" si="1"/>
        <v>0.9466</v>
      </c>
      <c r="J24" s="186">
        <f t="shared" si="2"/>
        <v>5.340000000000001E-2</v>
      </c>
      <c r="K24" s="228">
        <v>0.7712</v>
      </c>
      <c r="L24" s="194">
        <v>2039</v>
      </c>
      <c r="M24" s="242">
        <f t="shared" si="11"/>
        <v>3090.1880736891835</v>
      </c>
      <c r="N24" s="242">
        <v>2982.4176438356171</v>
      </c>
      <c r="O24" s="242">
        <v>0.62506849315068491</v>
      </c>
      <c r="P24" s="242">
        <f t="shared" si="12"/>
        <v>107.77042985356636</v>
      </c>
      <c r="Q24" s="243">
        <f t="shared" si="13"/>
        <v>0.96512496091381716</v>
      </c>
      <c r="R24" s="245">
        <f t="shared" si="3"/>
        <v>8.4930996560415917</v>
      </c>
      <c r="S24" s="243">
        <f t="shared" si="10"/>
        <v>0.9466</v>
      </c>
      <c r="T24" s="194">
        <v>3000</v>
      </c>
      <c r="U24" s="213">
        <v>2000</v>
      </c>
      <c r="V24" s="194">
        <v>1100</v>
      </c>
      <c r="W24" s="194">
        <v>800</v>
      </c>
      <c r="AA24" s="232">
        <f t="shared" si="4"/>
        <v>-150</v>
      </c>
      <c r="AB24" s="233">
        <f t="shared" si="5"/>
        <v>305850</v>
      </c>
      <c r="AC24" s="234">
        <f t="shared" si="6"/>
        <v>0</v>
      </c>
      <c r="AD24" s="224">
        <f t="shared" si="7"/>
        <v>10.4025</v>
      </c>
      <c r="AE24" s="225">
        <f t="shared" si="8"/>
        <v>9.8823749999999997</v>
      </c>
      <c r="AF24" s="186">
        <f t="shared" si="9"/>
        <v>0.12299715909090897</v>
      </c>
    </row>
    <row r="25" spans="3:32" x14ac:dyDescent="0.25">
      <c r="C25" t="s">
        <v>503</v>
      </c>
      <c r="E25" s="194">
        <v>1.1399999999999999</v>
      </c>
      <c r="F25" s="194">
        <v>0.47</v>
      </c>
      <c r="G25">
        <f>+E25*93.12%</f>
        <v>1.0615679999999998</v>
      </c>
      <c r="H25">
        <f t="shared" si="0"/>
        <v>7.8432000000000057E-2</v>
      </c>
      <c r="I25" s="186">
        <f t="shared" si="1"/>
        <v>0.93119999999999992</v>
      </c>
      <c r="J25" s="186">
        <f t="shared" si="2"/>
        <v>6.8800000000000056E-2</v>
      </c>
      <c r="K25" s="228">
        <v>0.73509999999999998</v>
      </c>
      <c r="L25" s="194">
        <v>2033</v>
      </c>
      <c r="M25" s="242">
        <f t="shared" si="11"/>
        <v>1290.1837175247995</v>
      </c>
      <c r="N25" s="242">
        <v>1266.3858904109591</v>
      </c>
      <c r="O25" s="242">
        <v>0.13802739726027391</v>
      </c>
      <c r="P25" s="242">
        <f t="shared" si="12"/>
        <v>23.797827113840331</v>
      </c>
      <c r="Q25" s="243">
        <f t="shared" si="13"/>
        <v>0.98155469892342451</v>
      </c>
      <c r="R25" s="245">
        <f t="shared" si="3"/>
        <v>1.1189723567727039</v>
      </c>
      <c r="S25" s="243">
        <f t="shared" si="10"/>
        <v>0.93119999999999992</v>
      </c>
      <c r="T25" s="205">
        <v>1000</v>
      </c>
      <c r="U25" s="213">
        <v>300</v>
      </c>
      <c r="V25" s="194">
        <v>100</v>
      </c>
      <c r="AA25" s="232">
        <f t="shared" si="4"/>
        <v>-90</v>
      </c>
      <c r="AB25" s="233">
        <f t="shared" si="5"/>
        <v>182716.66666666666</v>
      </c>
      <c r="AC25" s="234">
        <f t="shared" si="6"/>
        <v>-253.33333333334303</v>
      </c>
      <c r="AD25" s="224">
        <f t="shared" si="7"/>
        <v>1.7714666666666437</v>
      </c>
      <c r="AE25" s="225">
        <f t="shared" si="8"/>
        <v>1.5737583333405851</v>
      </c>
      <c r="AF25" s="186">
        <f t="shared" si="9"/>
        <v>0.38048976608823271</v>
      </c>
    </row>
    <row r="26" spans="3:32" x14ac:dyDescent="0.25">
      <c r="C26" t="s">
        <v>504</v>
      </c>
      <c r="E26" s="194">
        <v>1.31</v>
      </c>
      <c r="F26" s="194">
        <v>0.37</v>
      </c>
      <c r="G26">
        <f>+E26*95.34%</f>
        <v>1.2489540000000001</v>
      </c>
      <c r="H26">
        <f t="shared" si="0"/>
        <v>6.1045999999999934E-2</v>
      </c>
      <c r="I26" s="186">
        <f t="shared" si="1"/>
        <v>0.95340000000000003</v>
      </c>
      <c r="J26" s="186">
        <f t="shared" si="2"/>
        <v>4.6599999999999947E-2</v>
      </c>
      <c r="K26" s="228">
        <v>0.34710000000000002</v>
      </c>
      <c r="L26" s="194">
        <v>2053</v>
      </c>
      <c r="M26" s="242">
        <f t="shared" si="11"/>
        <v>483.05330278696272</v>
      </c>
      <c r="N26" s="242">
        <v>435.87805479452061</v>
      </c>
      <c r="O26" s="242">
        <v>0.27361643835616434</v>
      </c>
      <c r="P26" s="242">
        <f t="shared" si="12"/>
        <v>47.175247992442124</v>
      </c>
      <c r="Q26" s="243">
        <f t="shared" si="13"/>
        <v>0.90233945670122573</v>
      </c>
      <c r="R26" s="245">
        <f t="shared" si="3"/>
        <v>1.1820646882786057</v>
      </c>
      <c r="S26" s="243">
        <f t="shared" si="10"/>
        <v>0.95340000000000003</v>
      </c>
      <c r="T26" s="205">
        <v>480</v>
      </c>
      <c r="U26" s="205">
        <v>280</v>
      </c>
      <c r="V26" s="194">
        <v>125</v>
      </c>
      <c r="W26">
        <v>90</v>
      </c>
      <c r="X26">
        <v>50</v>
      </c>
      <c r="Y26">
        <v>30</v>
      </c>
      <c r="Z26">
        <v>25</v>
      </c>
      <c r="AA26" s="232">
        <f t="shared" si="4"/>
        <v>-13.857142857142858</v>
      </c>
      <c r="AB26" s="233">
        <f t="shared" si="5"/>
        <v>28353.571428571428</v>
      </c>
      <c r="AC26" s="234">
        <f t="shared" si="6"/>
        <v>-95.142857142858702</v>
      </c>
      <c r="AD26" s="224">
        <f t="shared" si="7"/>
        <v>2.3178021428571336</v>
      </c>
      <c r="AE26" s="225">
        <f t="shared" si="8"/>
        <v>1.6080075</v>
      </c>
      <c r="AF26" s="186">
        <f t="shared" si="9"/>
        <v>0.22748664122137402</v>
      </c>
    </row>
    <row r="27" spans="3:32" x14ac:dyDescent="0.25">
      <c r="C27" t="s">
        <v>505</v>
      </c>
      <c r="E27" s="194">
        <v>4.72</v>
      </c>
      <c r="F27" s="194">
        <v>7.45</v>
      </c>
      <c r="G27">
        <f>+E27*73.7%</f>
        <v>3.47864</v>
      </c>
      <c r="H27">
        <f t="shared" si="0"/>
        <v>1.2413599999999998</v>
      </c>
      <c r="I27" s="186">
        <f t="shared" si="1"/>
        <v>0.73699999999999999</v>
      </c>
      <c r="J27" s="186">
        <f t="shared" si="2"/>
        <v>0.26299999999999996</v>
      </c>
      <c r="K27" s="228">
        <v>0.91449999999999998</v>
      </c>
      <c r="L27" s="194">
        <v>2030</v>
      </c>
      <c r="M27" s="242">
        <f t="shared" si="11"/>
        <v>4583.6177808219181</v>
      </c>
      <c r="N27" s="242">
        <v>4583.6177808219181</v>
      </c>
      <c r="O27" s="242">
        <v>0</v>
      </c>
      <c r="P27" s="242">
        <f t="shared" si="12"/>
        <v>0</v>
      </c>
      <c r="Q27" s="243">
        <f t="shared" si="13"/>
        <v>1</v>
      </c>
      <c r="R27" s="245">
        <f t="shared" si="3"/>
        <v>4.72</v>
      </c>
      <c r="S27" s="243">
        <f t="shared" si="10"/>
        <v>0.73699999999999999</v>
      </c>
      <c r="T27" s="205">
        <v>3750</v>
      </c>
      <c r="U27" s="205">
        <v>1750</v>
      </c>
      <c r="V27" s="194">
        <v>750</v>
      </c>
      <c r="AA27" s="232">
        <f t="shared" si="4"/>
        <v>-300</v>
      </c>
      <c r="AB27" s="233">
        <f t="shared" si="5"/>
        <v>609583.33333333337</v>
      </c>
      <c r="AC27" s="234">
        <f t="shared" si="6"/>
        <v>583.33333333337214</v>
      </c>
      <c r="AD27" s="224">
        <f t="shared" si="7"/>
        <v>7.9083333333334034</v>
      </c>
      <c r="AE27" s="225">
        <f t="shared" si="8"/>
        <v>7.6041666666376591</v>
      </c>
      <c r="AF27" s="186">
        <f t="shared" si="9"/>
        <v>0.61105225988086009</v>
      </c>
    </row>
    <row r="28" spans="3:32" x14ac:dyDescent="0.25">
      <c r="C28" t="s">
        <v>506</v>
      </c>
      <c r="E28" s="194">
        <v>11.27</v>
      </c>
      <c r="F28" s="194">
        <v>0</v>
      </c>
      <c r="G28">
        <v>11.27</v>
      </c>
      <c r="H28">
        <f t="shared" si="0"/>
        <v>0</v>
      </c>
      <c r="I28" s="186">
        <f t="shared" si="1"/>
        <v>1</v>
      </c>
      <c r="J28" s="186">
        <f t="shared" si="2"/>
        <v>0</v>
      </c>
      <c r="K28" s="228">
        <v>0.4148</v>
      </c>
      <c r="L28" s="194">
        <v>2067</v>
      </c>
      <c r="M28" s="242">
        <f t="shared" si="11"/>
        <v>0</v>
      </c>
      <c r="N28" s="242"/>
      <c r="O28" s="242"/>
      <c r="P28" s="242">
        <f t="shared" si="12"/>
        <v>0</v>
      </c>
      <c r="Q28" s="243" t="e">
        <f t="shared" si="13"/>
        <v>#DIV/0!</v>
      </c>
      <c r="R28" s="245"/>
      <c r="S28" s="243">
        <f t="shared" si="10"/>
        <v>1</v>
      </c>
      <c r="T28" s="205">
        <v>2500</v>
      </c>
      <c r="U28" s="214">
        <v>1750</v>
      </c>
      <c r="V28" s="194">
        <v>1250</v>
      </c>
      <c r="W28">
        <v>800</v>
      </c>
      <c r="X28">
        <v>600</v>
      </c>
      <c r="Y28">
        <v>400</v>
      </c>
      <c r="Z28">
        <v>300</v>
      </c>
      <c r="AA28" s="232">
        <f t="shared" si="4"/>
        <v>-71.071428571428569</v>
      </c>
      <c r="AB28" s="233">
        <f t="shared" si="5"/>
        <v>145716.07142857142</v>
      </c>
      <c r="AC28" s="234">
        <f t="shared" si="6"/>
        <v>-1188.5714285714203</v>
      </c>
      <c r="AD28" s="224">
        <f t="shared" si="7"/>
        <v>11.248778571428643</v>
      </c>
      <c r="AE28" s="225">
        <f t="shared" si="8"/>
        <v>8.2619705357080697</v>
      </c>
      <c r="AF28" s="186">
        <f t="shared" si="9"/>
        <v>-0.2669058974527001</v>
      </c>
    </row>
    <row r="29" spans="3:32" x14ac:dyDescent="0.25">
      <c r="C29" t="s">
        <v>318</v>
      </c>
      <c r="E29" s="194">
        <v>3.84</v>
      </c>
      <c r="F29" s="194">
        <v>23.03</v>
      </c>
      <c r="H29">
        <f t="shared" si="0"/>
        <v>3.84</v>
      </c>
      <c r="I29" s="186">
        <f t="shared" si="1"/>
        <v>0</v>
      </c>
      <c r="J29" s="186">
        <f t="shared" si="2"/>
        <v>1</v>
      </c>
      <c r="K29" s="228">
        <v>0.84079999999999999</v>
      </c>
      <c r="L29" s="194">
        <v>2028</v>
      </c>
      <c r="M29" s="242">
        <f t="shared" si="11"/>
        <v>5516.7123287671238</v>
      </c>
      <c r="N29" s="242">
        <v>0</v>
      </c>
      <c r="O29" s="242">
        <v>31.996931506849318</v>
      </c>
      <c r="P29" s="242">
        <f t="shared" si="12"/>
        <v>5516.7123287671238</v>
      </c>
      <c r="Q29" s="243">
        <f t="shared" si="13"/>
        <v>0</v>
      </c>
      <c r="R29" s="245">
        <f t="shared" ref="R29:R38" si="14">+Q29*E29</f>
        <v>0</v>
      </c>
      <c r="S29" s="243">
        <f t="shared" si="10"/>
        <v>0</v>
      </c>
      <c r="T29" s="205">
        <v>5300</v>
      </c>
      <c r="U29" s="205">
        <v>1250</v>
      </c>
      <c r="AA29" s="232">
        <f t="shared" si="4"/>
        <v>-810</v>
      </c>
      <c r="AB29" s="233">
        <f t="shared" si="5"/>
        <v>1641500</v>
      </c>
      <c r="AC29" s="234">
        <f t="shared" si="6"/>
        <v>-1180</v>
      </c>
      <c r="AD29" s="224">
        <f t="shared" si="7"/>
        <v>6.0152000000000001</v>
      </c>
      <c r="AE29" s="225">
        <f t="shared" si="8"/>
        <v>6.0152000000000001</v>
      </c>
      <c r="AF29" s="186">
        <f t="shared" si="9"/>
        <v>0.5664583333333334</v>
      </c>
    </row>
    <row r="30" spans="3:32" x14ac:dyDescent="0.25">
      <c r="C30" t="s">
        <v>508</v>
      </c>
      <c r="E30" s="194">
        <v>14.92</v>
      </c>
      <c r="F30">
        <v>0.24</v>
      </c>
      <c r="G30">
        <f>+E30*99.74%</f>
        <v>14.881207999999999</v>
      </c>
      <c r="H30">
        <f t="shared" si="0"/>
        <v>3.8792000000000826E-2</v>
      </c>
      <c r="I30" s="186">
        <f t="shared" si="1"/>
        <v>0.99739999999999995</v>
      </c>
      <c r="J30" s="186">
        <f t="shared" si="2"/>
        <v>2.6000000000000554E-3</v>
      </c>
      <c r="K30" s="228">
        <v>0.75690000000000002</v>
      </c>
      <c r="L30" s="194">
        <v>2043</v>
      </c>
      <c r="M30" s="242">
        <f t="shared" si="11"/>
        <v>12434.820158715165</v>
      </c>
      <c r="N30" s="242">
        <v>12274.754027397263</v>
      </c>
      <c r="O30" s="242">
        <v>0.92838356164383562</v>
      </c>
      <c r="P30" s="242">
        <f t="shared" si="12"/>
        <v>160.06613131790269</v>
      </c>
      <c r="Q30" s="243">
        <f t="shared" si="13"/>
        <v>0.98712758775158338</v>
      </c>
      <c r="R30" s="245">
        <f t="shared" si="14"/>
        <v>14.727943609253623</v>
      </c>
      <c r="S30" s="243">
        <f t="shared" si="10"/>
        <v>0.99739999999999995</v>
      </c>
      <c r="T30" s="205">
        <v>10000</v>
      </c>
      <c r="U30" s="205">
        <v>4000</v>
      </c>
      <c r="V30" s="194">
        <v>1000</v>
      </c>
      <c r="W30">
        <v>500</v>
      </c>
      <c r="X30">
        <v>400</v>
      </c>
      <c r="AA30" s="232">
        <f t="shared" si="4"/>
        <v>-454</v>
      </c>
      <c r="AB30" s="233">
        <f t="shared" si="5"/>
        <v>924800</v>
      </c>
      <c r="AC30" s="234">
        <f t="shared" si="6"/>
        <v>-2722</v>
      </c>
      <c r="AD30" s="224">
        <f t="shared" si="7"/>
        <v>30.549405</v>
      </c>
      <c r="AE30" s="225">
        <f t="shared" si="8"/>
        <v>20.979105000000001</v>
      </c>
      <c r="AF30" s="186">
        <f t="shared" si="9"/>
        <v>0.40610623324396788</v>
      </c>
    </row>
    <row r="31" spans="3:32" x14ac:dyDescent="0.25">
      <c r="C31" t="s">
        <v>80</v>
      </c>
      <c r="E31" s="194">
        <v>43.42</v>
      </c>
      <c r="F31" s="194">
        <v>16.96</v>
      </c>
      <c r="G31">
        <f>+E31*93.49%</f>
        <v>40.593358000000002</v>
      </c>
      <c r="H31">
        <f t="shared" si="0"/>
        <v>2.8266419999999997</v>
      </c>
      <c r="I31" s="186">
        <f t="shared" si="1"/>
        <v>0.93490000000000006</v>
      </c>
      <c r="J31" s="186">
        <f t="shared" si="2"/>
        <v>6.5099999999999991E-2</v>
      </c>
      <c r="K31" s="228">
        <v>0.76190000000000002</v>
      </c>
      <c r="L31" s="194">
        <v>2042</v>
      </c>
      <c r="M31" s="242">
        <f t="shared" si="11"/>
        <v>30543.691030703827</v>
      </c>
      <c r="N31" s="242">
        <v>30059.642849315071</v>
      </c>
      <c r="O31" s="242">
        <v>2.8074794520547948</v>
      </c>
      <c r="P31" s="242">
        <f t="shared" si="12"/>
        <v>484.04818138875771</v>
      </c>
      <c r="Q31" s="243">
        <f t="shared" si="13"/>
        <v>0.98415226958319579</v>
      </c>
      <c r="R31" s="245">
        <f t="shared" si="14"/>
        <v>42.731891545302361</v>
      </c>
      <c r="S31" s="243">
        <f t="shared" si="10"/>
        <v>0.93490000000000006</v>
      </c>
      <c r="T31" s="205">
        <v>25000</v>
      </c>
      <c r="U31" s="205">
        <v>12500</v>
      </c>
      <c r="V31" s="194">
        <v>4500</v>
      </c>
      <c r="W31">
        <v>2500</v>
      </c>
      <c r="X31">
        <v>1000</v>
      </c>
      <c r="AA31" s="232">
        <f t="shared" si="4"/>
        <v>-1160</v>
      </c>
      <c r="AB31" s="233">
        <f t="shared" si="5"/>
        <v>2363900</v>
      </c>
      <c r="AC31" s="234">
        <f t="shared" si="6"/>
        <v>-4820</v>
      </c>
      <c r="AD31" s="224">
        <f t="shared" si="7"/>
        <v>81.0227</v>
      </c>
      <c r="AE31" s="225">
        <f t="shared" si="8"/>
        <v>63.758200000000002</v>
      </c>
      <c r="AF31" s="186">
        <f t="shared" si="9"/>
        <v>0.46840626439428834</v>
      </c>
    </row>
    <row r="32" spans="3:32" x14ac:dyDescent="0.25">
      <c r="C32" t="s">
        <v>449</v>
      </c>
      <c r="E32" s="194">
        <v>7.3</v>
      </c>
      <c r="F32" s="194">
        <v>4.54</v>
      </c>
      <c r="G32">
        <f>+E32*89.64%</f>
        <v>6.5437199999999995</v>
      </c>
      <c r="H32">
        <f t="shared" si="0"/>
        <v>0.75628000000000029</v>
      </c>
      <c r="I32" s="186">
        <f t="shared" si="1"/>
        <v>0.89639999999999997</v>
      </c>
      <c r="J32" s="186">
        <f t="shared" si="2"/>
        <v>0.10360000000000004</v>
      </c>
      <c r="K32" s="228">
        <v>0.77580000000000005</v>
      </c>
      <c r="L32" s="194">
        <v>2044</v>
      </c>
      <c r="M32" s="242">
        <f t="shared" si="11"/>
        <v>1962.0646849315069</v>
      </c>
      <c r="N32" s="242">
        <v>1962.0646849315069</v>
      </c>
      <c r="O32" s="242">
        <v>0</v>
      </c>
      <c r="P32" s="242">
        <f t="shared" si="12"/>
        <v>0</v>
      </c>
      <c r="Q32" s="243">
        <f t="shared" si="13"/>
        <v>1</v>
      </c>
      <c r="R32" s="245">
        <f t="shared" si="14"/>
        <v>7.3</v>
      </c>
      <c r="S32" s="243">
        <f t="shared" si="10"/>
        <v>0.89639999999999997</v>
      </c>
      <c r="T32" s="205">
        <v>2000</v>
      </c>
      <c r="U32" s="205">
        <v>1250</v>
      </c>
      <c r="V32" s="194">
        <v>900</v>
      </c>
      <c r="W32">
        <v>600</v>
      </c>
      <c r="X32">
        <v>400</v>
      </c>
      <c r="AA32" s="232">
        <f t="shared" si="4"/>
        <v>-77</v>
      </c>
      <c r="AB32" s="233">
        <f t="shared" si="5"/>
        <v>157340</v>
      </c>
      <c r="AC32" s="234">
        <f t="shared" si="6"/>
        <v>-48</v>
      </c>
      <c r="AD32" s="224">
        <f t="shared" si="7"/>
        <v>8.5497599999999991</v>
      </c>
      <c r="AE32" s="225">
        <f t="shared" si="8"/>
        <v>7.6737599999999997</v>
      </c>
      <c r="AF32" s="186">
        <f t="shared" si="9"/>
        <v>5.1199999999999982E-2</v>
      </c>
    </row>
    <row r="33" spans="3:32" x14ac:dyDescent="0.25">
      <c r="C33" t="s">
        <v>509</v>
      </c>
      <c r="E33" s="194">
        <v>0.57999999999999996</v>
      </c>
      <c r="F33" s="194">
        <v>0</v>
      </c>
      <c r="G33">
        <f>+E33</f>
        <v>0.57999999999999996</v>
      </c>
      <c r="H33">
        <f t="shared" si="0"/>
        <v>0</v>
      </c>
      <c r="I33" s="186">
        <f t="shared" si="1"/>
        <v>1</v>
      </c>
      <c r="J33" s="186">
        <f t="shared" si="2"/>
        <v>0</v>
      </c>
      <c r="K33" s="228">
        <v>0.91830000000000001</v>
      </c>
      <c r="L33" s="194">
        <v>2031</v>
      </c>
      <c r="M33" s="242">
        <f t="shared" si="11"/>
        <v>60862.479471894199</v>
      </c>
      <c r="N33" s="242">
        <v>26403.53284931507</v>
      </c>
      <c r="O33" s="242">
        <v>199.86189041095895</v>
      </c>
      <c r="P33" s="242">
        <f t="shared" si="12"/>
        <v>34458.946622579126</v>
      </c>
      <c r="Q33" s="243">
        <f t="shared" si="13"/>
        <v>0.43382282612242257</v>
      </c>
      <c r="R33" s="245">
        <f t="shared" si="14"/>
        <v>0.25161723915100509</v>
      </c>
      <c r="S33" s="243">
        <f t="shared" si="10"/>
        <v>1</v>
      </c>
      <c r="T33" s="205">
        <v>500</v>
      </c>
      <c r="U33" s="205">
        <v>200</v>
      </c>
      <c r="V33" s="194">
        <v>80</v>
      </c>
      <c r="AA33" s="232">
        <f t="shared" si="4"/>
        <v>-42</v>
      </c>
      <c r="AB33" s="233">
        <f t="shared" si="5"/>
        <v>85310</v>
      </c>
      <c r="AC33" s="234">
        <f t="shared" si="6"/>
        <v>8</v>
      </c>
      <c r="AD33" s="224">
        <f t="shared" si="7"/>
        <v>1.0198100000000001</v>
      </c>
      <c r="AE33" s="225">
        <f t="shared" si="8"/>
        <v>0.95958500000000002</v>
      </c>
      <c r="AF33" s="186">
        <f t="shared" si="9"/>
        <v>0.65445689655172434</v>
      </c>
    </row>
    <row r="34" spans="3:32" x14ac:dyDescent="0.25">
      <c r="C34" t="s">
        <v>510</v>
      </c>
      <c r="E34" s="194">
        <v>130.22</v>
      </c>
      <c r="F34" s="194">
        <v>284</v>
      </c>
      <c r="G34">
        <f>+E34*63.65%</f>
        <v>82.88503</v>
      </c>
      <c r="H34">
        <f t="shared" si="0"/>
        <v>47.334969999999998</v>
      </c>
      <c r="I34" s="186">
        <f t="shared" si="1"/>
        <v>0.63649999999999995</v>
      </c>
      <c r="J34" s="186">
        <f t="shared" si="2"/>
        <v>0.36349999999999999</v>
      </c>
      <c r="K34" s="228">
        <v>0.63759999999999994</v>
      </c>
      <c r="L34" s="194">
        <v>2018</v>
      </c>
      <c r="M34" s="242">
        <f t="shared" si="11"/>
        <v>604.87506849315071</v>
      </c>
      <c r="N34" s="242">
        <v>604.87506849315071</v>
      </c>
      <c r="O34" s="242">
        <v>0</v>
      </c>
      <c r="P34" s="242">
        <f t="shared" si="12"/>
        <v>0</v>
      </c>
      <c r="Q34" s="243">
        <f t="shared" si="13"/>
        <v>1</v>
      </c>
      <c r="R34" s="245">
        <f t="shared" si="14"/>
        <v>130.22</v>
      </c>
      <c r="S34" s="243">
        <f t="shared" si="10"/>
        <v>0.63649999999999995</v>
      </c>
      <c r="T34" s="205">
        <v>55000</v>
      </c>
      <c r="U34" s="205">
        <v>31000</v>
      </c>
      <c r="V34" s="194">
        <v>15000</v>
      </c>
      <c r="W34">
        <v>8000</v>
      </c>
      <c r="AA34" s="232">
        <f t="shared" si="4"/>
        <v>-3140</v>
      </c>
      <c r="AB34" s="233">
        <f t="shared" si="5"/>
        <v>6393600</v>
      </c>
      <c r="AC34" s="234">
        <f t="shared" si="6"/>
        <v>57080</v>
      </c>
      <c r="AD34" s="224">
        <f t="shared" si="7"/>
        <v>-40.909199999999998</v>
      </c>
      <c r="AE34" s="225">
        <f t="shared" si="8"/>
        <v>-39.376199999999997</v>
      </c>
      <c r="AF34" s="186">
        <f t="shared" si="9"/>
        <v>-1.3023821225618186</v>
      </c>
    </row>
    <row r="35" spans="3:32" x14ac:dyDescent="0.25">
      <c r="C35" t="s">
        <v>344</v>
      </c>
      <c r="E35" s="194">
        <v>24.09</v>
      </c>
      <c r="F35" s="194">
        <v>0</v>
      </c>
      <c r="G35">
        <f>+E35</f>
        <v>24.09</v>
      </c>
      <c r="H35">
        <f t="shared" si="0"/>
        <v>0</v>
      </c>
      <c r="I35" s="186">
        <f t="shared" si="1"/>
        <v>1</v>
      </c>
      <c r="J35" s="186">
        <f t="shared" si="2"/>
        <v>0</v>
      </c>
      <c r="K35" s="228">
        <v>0.73740000000000006</v>
      </c>
      <c r="L35" s="194">
        <v>2064</v>
      </c>
      <c r="M35" s="242">
        <f t="shared" si="11"/>
        <v>4233.3403013698626</v>
      </c>
      <c r="N35" s="242">
        <v>4233.3403013698626</v>
      </c>
      <c r="O35" s="242">
        <v>0</v>
      </c>
      <c r="P35" s="242">
        <f t="shared" si="12"/>
        <v>0</v>
      </c>
      <c r="Q35" s="243">
        <f t="shared" si="13"/>
        <v>1</v>
      </c>
      <c r="R35" s="245">
        <f t="shared" si="14"/>
        <v>24.09</v>
      </c>
      <c r="S35" s="243">
        <f t="shared" si="10"/>
        <v>1</v>
      </c>
      <c r="T35" s="205">
        <v>4000</v>
      </c>
      <c r="U35" s="205">
        <v>3500</v>
      </c>
      <c r="V35" s="194">
        <v>2500</v>
      </c>
      <c r="W35">
        <v>2000</v>
      </c>
      <c r="X35">
        <v>1500</v>
      </c>
      <c r="Y35">
        <v>1250</v>
      </c>
      <c r="Z35">
        <v>1000</v>
      </c>
      <c r="AA35" s="232">
        <f t="shared" si="4"/>
        <v>-103.57142857142857</v>
      </c>
      <c r="AB35" s="233">
        <f t="shared" si="5"/>
        <v>213017.85714285713</v>
      </c>
      <c r="AC35" s="234">
        <f t="shared" si="6"/>
        <v>-753.57142857144936</v>
      </c>
      <c r="AD35" s="224">
        <f t="shared" si="7"/>
        <v>26.068821428571262</v>
      </c>
      <c r="AE35" s="225">
        <f t="shared" si="8"/>
        <v>24.491499999999998</v>
      </c>
      <c r="AF35" s="186">
        <f t="shared" si="9"/>
        <v>1.6666666666666611E-2</v>
      </c>
    </row>
    <row r="36" spans="3:32" x14ac:dyDescent="0.25">
      <c r="C36" t="s">
        <v>511</v>
      </c>
      <c r="E36" s="194">
        <v>5.59</v>
      </c>
      <c r="F36" s="194">
        <v>0</v>
      </c>
      <c r="G36">
        <f>+E36</f>
        <v>5.59</v>
      </c>
      <c r="H36">
        <f t="shared" si="0"/>
        <v>0</v>
      </c>
      <c r="I36" s="186">
        <f t="shared" si="1"/>
        <v>1</v>
      </c>
      <c r="J36" s="186">
        <f t="shared" si="2"/>
        <v>0</v>
      </c>
      <c r="K36" s="228">
        <v>0.69210000000000005</v>
      </c>
      <c r="L36" s="194">
        <v>2047</v>
      </c>
      <c r="M36" s="242">
        <f t="shared" si="11"/>
        <v>1476.5236986301368</v>
      </c>
      <c r="N36" s="242">
        <v>1476.5236986301368</v>
      </c>
      <c r="O36" s="242">
        <v>0</v>
      </c>
      <c r="P36" s="242">
        <f t="shared" si="12"/>
        <v>0</v>
      </c>
      <c r="Q36" s="243">
        <f t="shared" si="13"/>
        <v>1</v>
      </c>
      <c r="R36" s="245">
        <f t="shared" si="14"/>
        <v>5.59</v>
      </c>
      <c r="S36" s="243">
        <f t="shared" si="10"/>
        <v>1</v>
      </c>
      <c r="T36" s="205">
        <v>1400</v>
      </c>
      <c r="U36" s="205">
        <v>1250</v>
      </c>
      <c r="V36" s="194">
        <v>750</v>
      </c>
      <c r="W36">
        <v>450</v>
      </c>
      <c r="X36">
        <v>250</v>
      </c>
      <c r="AA36" s="232">
        <f t="shared" si="4"/>
        <v>-62</v>
      </c>
      <c r="AB36" s="233">
        <f t="shared" si="5"/>
        <v>126680</v>
      </c>
      <c r="AC36" s="234">
        <f t="shared" si="6"/>
        <v>-234</v>
      </c>
      <c r="AD36" s="224">
        <f t="shared" si="7"/>
        <v>5.7454650000000003</v>
      </c>
      <c r="AE36" s="225">
        <f t="shared" si="8"/>
        <v>5.9425650000000001</v>
      </c>
      <c r="AF36" s="186">
        <f t="shared" si="9"/>
        <v>6.307066189624333E-2</v>
      </c>
    </row>
    <row r="37" spans="3:32" x14ac:dyDescent="0.25">
      <c r="C37" t="s">
        <v>345</v>
      </c>
      <c r="E37" s="194">
        <v>16.52</v>
      </c>
      <c r="F37" s="194">
        <v>1.91</v>
      </c>
      <c r="G37">
        <f>+E37*98.07%</f>
        <v>16.201163999999999</v>
      </c>
      <c r="H37">
        <f t="shared" si="0"/>
        <v>0.31883600000000101</v>
      </c>
      <c r="I37" s="186">
        <f t="shared" si="1"/>
        <v>0.98069999999999991</v>
      </c>
      <c r="J37" s="186">
        <f t="shared" si="2"/>
        <v>1.930000000000006E-2</v>
      </c>
      <c r="K37" s="228">
        <v>0.73629999999999995</v>
      </c>
      <c r="L37" s="194">
        <v>2060</v>
      </c>
      <c r="M37" s="242">
        <f t="shared" si="11"/>
        <v>4154.1152328767121</v>
      </c>
      <c r="N37" s="242">
        <v>4154.1152328767121</v>
      </c>
      <c r="O37" s="242">
        <v>0</v>
      </c>
      <c r="P37" s="242">
        <f t="shared" si="12"/>
        <v>0</v>
      </c>
      <c r="Q37" s="243">
        <f t="shared" si="13"/>
        <v>1</v>
      </c>
      <c r="R37" s="245">
        <f t="shared" si="14"/>
        <v>16.52</v>
      </c>
      <c r="S37" s="243">
        <f t="shared" si="10"/>
        <v>0.98069999999999991</v>
      </c>
      <c r="T37" s="205">
        <v>4000</v>
      </c>
      <c r="U37" s="205">
        <v>3000</v>
      </c>
      <c r="V37" s="194">
        <v>1800</v>
      </c>
      <c r="W37">
        <v>1250</v>
      </c>
      <c r="X37">
        <v>1000</v>
      </c>
      <c r="Y37">
        <v>750</v>
      </c>
      <c r="AA37" s="232">
        <f t="shared" si="4"/>
        <v>-130.28571428571428</v>
      </c>
      <c r="AB37" s="233">
        <f t="shared" si="5"/>
        <v>266772.38095238095</v>
      </c>
      <c r="AC37" s="234">
        <f t="shared" si="6"/>
        <v>-1616.1904761904734</v>
      </c>
      <c r="AD37" s="224">
        <f t="shared" si="7"/>
        <v>17.401809523809543</v>
      </c>
      <c r="AE37" s="225">
        <f t="shared" si="8"/>
        <v>14.447047619026899</v>
      </c>
      <c r="AF37" s="186">
        <f t="shared" si="9"/>
        <v>-0.12548137899352912</v>
      </c>
    </row>
    <row r="38" spans="3:32" x14ac:dyDescent="0.25">
      <c r="C38" t="s">
        <v>512</v>
      </c>
      <c r="E38" s="194">
        <v>90.73</v>
      </c>
      <c r="F38" s="194">
        <v>10.09</v>
      </c>
      <c r="G38">
        <f>+E38*98.15%</f>
        <v>89.051495000000003</v>
      </c>
      <c r="H38">
        <f t="shared" si="0"/>
        <v>1.6785050000000012</v>
      </c>
      <c r="I38" s="186">
        <f t="shared" si="1"/>
        <v>0.98150000000000004</v>
      </c>
      <c r="J38" s="186">
        <f t="shared" si="2"/>
        <v>1.8500000000000013E-2</v>
      </c>
      <c r="K38" s="228">
        <v>0.50829999999999997</v>
      </c>
      <c r="L38" s="194">
        <v>2061</v>
      </c>
      <c r="M38" s="242">
        <f t="shared" si="11"/>
        <v>18271.22222390175</v>
      </c>
      <c r="N38" s="242">
        <v>17849.99879452055</v>
      </c>
      <c r="O38" s="242">
        <v>2.4430958904109596</v>
      </c>
      <c r="P38" s="242">
        <f t="shared" si="12"/>
        <v>421.22342938119994</v>
      </c>
      <c r="Q38" s="243">
        <f t="shared" si="13"/>
        <v>0.97694607266994049</v>
      </c>
      <c r="R38" s="245">
        <f t="shared" si="14"/>
        <v>88.638317173343708</v>
      </c>
      <c r="S38" s="243">
        <f t="shared" si="10"/>
        <v>0.98150000000000004</v>
      </c>
      <c r="T38" s="205">
        <v>19000</v>
      </c>
      <c r="U38" s="205">
        <v>16000</v>
      </c>
      <c r="V38" s="194">
        <v>10000</v>
      </c>
      <c r="W38">
        <v>7000</v>
      </c>
      <c r="X38">
        <v>4500</v>
      </c>
      <c r="Y38">
        <v>3000</v>
      </c>
      <c r="Z38">
        <v>2000</v>
      </c>
    </row>
    <row r="39" spans="3:32" x14ac:dyDescent="0.25">
      <c r="H39">
        <f t="shared" si="0"/>
        <v>0</v>
      </c>
      <c r="I39" s="186"/>
      <c r="J39" s="186"/>
    </row>
    <row r="40" spans="3:32" x14ac:dyDescent="0.25">
      <c r="C40" t="s">
        <v>519</v>
      </c>
      <c r="E40" s="194" t="s">
        <v>527</v>
      </c>
      <c r="F40" s="194">
        <v>23.75</v>
      </c>
      <c r="G40" t="e">
        <f>+E40*0.74%</f>
        <v>#VALUE!</v>
      </c>
      <c r="H40" t="e">
        <f t="shared" si="0"/>
        <v>#VALUE!</v>
      </c>
      <c r="I40" s="186" t="e">
        <f>+G40/E40</f>
        <v>#VALUE!</v>
      </c>
      <c r="J40" s="186" t="e">
        <f>+H40/E40</f>
        <v>#VALUE!</v>
      </c>
      <c r="K40" s="228">
        <v>0.30909999999999999</v>
      </c>
      <c r="L40" s="194">
        <v>2049</v>
      </c>
      <c r="M40" s="194"/>
      <c r="N40" s="194"/>
      <c r="O40" s="194"/>
      <c r="P40" s="194"/>
      <c r="Q40" s="194"/>
      <c r="R40" s="194"/>
      <c r="S40" s="194"/>
    </row>
    <row r="41" spans="3:32" x14ac:dyDescent="0.25">
      <c r="C41" t="s">
        <v>520</v>
      </c>
      <c r="E41" s="194">
        <v>6.24</v>
      </c>
      <c r="F41" s="194">
        <v>11.14</v>
      </c>
      <c r="G41">
        <f>+E41*70.26%</f>
        <v>4.3842240000000006</v>
      </c>
      <c r="H41">
        <f t="shared" si="0"/>
        <v>1.8557759999999996</v>
      </c>
      <c r="I41" s="186">
        <f>+G41/E41</f>
        <v>0.70260000000000011</v>
      </c>
      <c r="J41" s="186">
        <f>+H41/E41</f>
        <v>0.29739999999999994</v>
      </c>
      <c r="K41" s="228">
        <v>0.77259999999999995</v>
      </c>
      <c r="L41" s="194">
        <v>2041</v>
      </c>
      <c r="M41" s="194"/>
      <c r="N41" s="194"/>
      <c r="O41" s="194"/>
      <c r="P41" s="194"/>
      <c r="Q41" s="194"/>
      <c r="R41" s="194"/>
      <c r="S41" s="194"/>
      <c r="T41" s="205">
        <v>3700</v>
      </c>
    </row>
    <row r="42" spans="3:32" x14ac:dyDescent="0.25">
      <c r="C42" t="s">
        <v>521</v>
      </c>
      <c r="E42" s="194">
        <v>18.809999999999999</v>
      </c>
      <c r="F42" s="194">
        <v>112.29</v>
      </c>
      <c r="G42">
        <f>+E42*0.49%</f>
        <v>9.2168999999999987E-2</v>
      </c>
      <c r="H42">
        <f t="shared" si="0"/>
        <v>18.717831</v>
      </c>
      <c r="I42" s="186">
        <f>+G42/E42</f>
        <v>4.8999999999999998E-3</v>
      </c>
      <c r="J42" s="186">
        <f>+H42/E42</f>
        <v>0.9951000000000001</v>
      </c>
      <c r="K42" s="228">
        <v>0.29599999999999999</v>
      </c>
      <c r="L42" s="194">
        <v>2042</v>
      </c>
      <c r="M42" s="194"/>
      <c r="N42" s="194"/>
      <c r="O42" s="194"/>
      <c r="P42" s="194"/>
      <c r="Q42" s="194"/>
      <c r="R42" s="194"/>
      <c r="S42" s="194"/>
      <c r="T42" s="205">
        <v>4500</v>
      </c>
    </row>
    <row r="43" spans="3:32" x14ac:dyDescent="0.25">
      <c r="C43" t="s">
        <v>522</v>
      </c>
      <c r="E43" s="194">
        <v>9.35</v>
      </c>
      <c r="F43" s="194">
        <v>4.1900000000000004</v>
      </c>
      <c r="G43">
        <f>+E43*92.53%</f>
        <v>8.6515550000000001</v>
      </c>
      <c r="H43">
        <f t="shared" si="0"/>
        <v>0.69844499999999954</v>
      </c>
      <c r="I43" s="186">
        <f>+G43/E43</f>
        <v>0.92530000000000001</v>
      </c>
      <c r="J43" s="186">
        <f>+H43/E43</f>
        <v>7.4699999999999947E-2</v>
      </c>
      <c r="K43" s="228">
        <v>0.51980000000000004</v>
      </c>
      <c r="L43" s="194">
        <v>2068</v>
      </c>
      <c r="M43" s="194"/>
      <c r="N43" s="194"/>
      <c r="O43" s="194"/>
      <c r="P43" s="194"/>
      <c r="Q43" s="194"/>
      <c r="R43" s="194"/>
      <c r="S43" s="194"/>
      <c r="T43" s="194">
        <v>1800</v>
      </c>
    </row>
    <row r="45" spans="3:32" x14ac:dyDescent="0.25">
      <c r="T45">
        <f>+SUM(T6:T43)</f>
        <v>529280</v>
      </c>
      <c r="U45" t="s">
        <v>528</v>
      </c>
    </row>
    <row r="46" spans="3:32" x14ac:dyDescent="0.25">
      <c r="T46">
        <f>+T45*365</f>
        <v>193187200</v>
      </c>
      <c r="U46" t="s">
        <v>528</v>
      </c>
    </row>
    <row r="47" spans="3:32" x14ac:dyDescent="0.25">
      <c r="C47" t="s">
        <v>513</v>
      </c>
      <c r="E47" s="212">
        <f>+SUM(E5:E38)+E42</f>
        <v>1984.8899999999996</v>
      </c>
      <c r="F47" t="s">
        <v>488</v>
      </c>
      <c r="T47" s="229">
        <f>+T46/1000000</f>
        <v>193.18719999999999</v>
      </c>
      <c r="U47" t="s">
        <v>529</v>
      </c>
    </row>
    <row r="48" spans="3:32" x14ac:dyDescent="0.25">
      <c r="C48" t="s">
        <v>514</v>
      </c>
      <c r="E48">
        <f>+SUM(G5:G38)+G42</f>
        <v>1725.2950059999996</v>
      </c>
      <c r="F48" t="s">
        <v>488</v>
      </c>
      <c r="G48" s="186">
        <f>+E48/E47</f>
        <v>0.86921441792744181</v>
      </c>
      <c r="H48" s="186"/>
      <c r="I48" s="186"/>
      <c r="J48" s="186"/>
      <c r="K48" s="212"/>
      <c r="T48" s="219" t="s">
        <v>530</v>
      </c>
      <c r="U48" s="219" t="s">
        <v>531</v>
      </c>
    </row>
    <row r="49" spans="3:21" x14ac:dyDescent="0.25">
      <c r="C49" t="s">
        <v>517</v>
      </c>
      <c r="E49" s="212">
        <f>+E47-E48</f>
        <v>259.59499400000004</v>
      </c>
      <c r="F49" t="s">
        <v>488</v>
      </c>
      <c r="G49" s="186">
        <f>+E49/E47</f>
        <v>0.13078558207255822</v>
      </c>
      <c r="H49" s="186"/>
      <c r="I49" s="186"/>
      <c r="J49" s="186"/>
      <c r="T49" s="236">
        <f>+T47*T54</f>
        <v>25.114335999999998</v>
      </c>
      <c r="U49" s="237">
        <f>+T47*(100%-T54)</f>
        <v>168.07286399999998</v>
      </c>
    </row>
    <row r="50" spans="3:21" x14ac:dyDescent="0.25">
      <c r="C50" t="s">
        <v>515</v>
      </c>
      <c r="E50" s="212">
        <f>+SUM(F5:F38)</f>
        <v>1635.0453439999999</v>
      </c>
      <c r="F50" t="s">
        <v>516</v>
      </c>
    </row>
    <row r="51" spans="3:21" x14ac:dyDescent="0.25">
      <c r="E51" s="212">
        <f>+E50*(1000000000)</f>
        <v>1635045344000</v>
      </c>
      <c r="F51" t="s">
        <v>526</v>
      </c>
    </row>
    <row r="52" spans="3:21" x14ac:dyDescent="0.25">
      <c r="E52" s="212">
        <f>+(E51/G1)/1000000</f>
        <v>272.62588454016498</v>
      </c>
      <c r="L52" t="s">
        <v>518</v>
      </c>
      <c r="T52" t="s">
        <v>532</v>
      </c>
    </row>
    <row r="53" spans="3:21" x14ac:dyDescent="0.25">
      <c r="L53">
        <v>71</v>
      </c>
      <c r="T53" s="235">
        <v>0.87</v>
      </c>
    </row>
    <row r="54" spans="3:21" x14ac:dyDescent="0.25">
      <c r="E54">
        <f>+E50*1000</f>
        <v>1635045.3439999998</v>
      </c>
      <c r="F54" t="s">
        <v>523</v>
      </c>
      <c r="L54">
        <v>29</v>
      </c>
      <c r="T54" s="235">
        <v>0.13</v>
      </c>
    </row>
    <row r="55" spans="3:21" x14ac:dyDescent="0.25">
      <c r="E55">
        <f>+E54/11</f>
        <v>148640.4858181818</v>
      </c>
      <c r="F55" t="s">
        <v>523</v>
      </c>
      <c r="O55" t="s">
        <v>540</v>
      </c>
      <c r="P55" s="212">
        <f>+E47</f>
        <v>1984.8899999999996</v>
      </c>
      <c r="Q55" t="s">
        <v>488</v>
      </c>
    </row>
    <row r="56" spans="3:21" x14ac:dyDescent="0.25">
      <c r="E56">
        <f>+E55/365</f>
        <v>407.234207721046</v>
      </c>
      <c r="F56" t="s">
        <v>523</v>
      </c>
      <c r="O56" t="s">
        <v>541</v>
      </c>
      <c r="P56" s="245">
        <f>+SUM(R6:R38)</f>
        <v>1737.7836457184026</v>
      </c>
    </row>
    <row r="58" spans="3:21" x14ac:dyDescent="0.25">
      <c r="E58">
        <v>1000</v>
      </c>
      <c r="F58" t="s">
        <v>523</v>
      </c>
    </row>
    <row r="59" spans="3:21" x14ac:dyDescent="0.25">
      <c r="E59">
        <f>+E58*365</f>
        <v>365000</v>
      </c>
    </row>
    <row r="60" spans="3:21" x14ac:dyDescent="0.25">
      <c r="E60" s="229">
        <f>+E54/E59</f>
        <v>4.4795762849315066</v>
      </c>
      <c r="F60" t="s">
        <v>524</v>
      </c>
    </row>
    <row r="61" spans="3:21" x14ac:dyDescent="0.25">
      <c r="E61" s="223"/>
    </row>
  </sheetData>
  <mergeCells count="1">
    <mergeCell ref="AD3:AE3"/>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2F472-E402-46D4-B360-E35C880EA1BD}">
  <dimension ref="C1:AH61"/>
  <sheetViews>
    <sheetView showGridLines="0" topLeftCell="A7" zoomScale="115" zoomScaleNormal="115" workbookViewId="0">
      <selection activeCell="C5" sqref="C5:C38"/>
    </sheetView>
  </sheetViews>
  <sheetFormatPr baseColWidth="10" defaultRowHeight="15" x14ac:dyDescent="0.25"/>
  <cols>
    <col min="3" max="4" width="17.5703125" customWidth="1"/>
    <col min="5" max="5" width="21.42578125" customWidth="1"/>
    <col min="6" max="6" width="13.42578125" customWidth="1"/>
    <col min="7" max="14" width="11.42578125" customWidth="1"/>
    <col min="21" max="21" width="15.28515625" customWidth="1"/>
    <col min="23" max="23" width="14.140625" customWidth="1"/>
    <col min="30" max="30" width="14.140625" customWidth="1"/>
    <col min="31" max="31" width="21.28515625" customWidth="1"/>
    <col min="32" max="32" width="18.85546875" customWidth="1"/>
    <col min="33" max="33" width="20.28515625" customWidth="1"/>
  </cols>
  <sheetData>
    <row r="1" spans="3:34" x14ac:dyDescent="0.25">
      <c r="F1" t="s">
        <v>507</v>
      </c>
      <c r="G1" s="229">
        <f>+F29*1000/E29</f>
        <v>5997.3958333333339</v>
      </c>
      <c r="H1" s="229" t="s">
        <v>525</v>
      </c>
      <c r="I1" s="229"/>
      <c r="J1" s="229"/>
      <c r="K1" s="229"/>
      <c r="L1" s="229"/>
      <c r="W1">
        <v>1</v>
      </c>
      <c r="X1" t="s">
        <v>484</v>
      </c>
      <c r="Y1">
        <v>5800</v>
      </c>
      <c r="Z1" t="s">
        <v>485</v>
      </c>
    </row>
    <row r="3" spans="3:34" x14ac:dyDescent="0.25">
      <c r="O3" s="238" t="s">
        <v>533</v>
      </c>
      <c r="P3" s="239"/>
      <c r="Q3" s="239"/>
      <c r="R3" s="239"/>
      <c r="S3" s="240"/>
      <c r="T3" s="239"/>
      <c r="U3" s="239"/>
      <c r="V3" s="207" t="s">
        <v>479</v>
      </c>
      <c r="W3" s="208"/>
      <c r="X3" s="208"/>
      <c r="Y3" s="208"/>
      <c r="Z3" s="208"/>
      <c r="AA3" s="208"/>
      <c r="AB3" s="209"/>
      <c r="AF3" s="272" t="s">
        <v>488</v>
      </c>
      <c r="AG3" s="272"/>
    </row>
    <row r="4" spans="3:34" x14ac:dyDescent="0.25">
      <c r="E4" s="216" t="s">
        <v>475</v>
      </c>
      <c r="F4" s="217" t="s">
        <v>478</v>
      </c>
      <c r="G4" s="218" t="s">
        <v>477</v>
      </c>
      <c r="H4" s="218" t="s">
        <v>476</v>
      </c>
      <c r="I4" s="218"/>
      <c r="J4" s="218"/>
      <c r="K4" s="218"/>
      <c r="L4" s="218"/>
      <c r="M4" s="219" t="s">
        <v>480</v>
      </c>
      <c r="N4" s="216" t="s">
        <v>481</v>
      </c>
      <c r="O4" s="241" t="s">
        <v>380</v>
      </c>
      <c r="P4" s="241" t="s">
        <v>535</v>
      </c>
      <c r="Q4" s="241" t="s">
        <v>534</v>
      </c>
      <c r="R4" s="241" t="s">
        <v>536</v>
      </c>
      <c r="S4" s="241" t="s">
        <v>537</v>
      </c>
      <c r="T4" s="241" t="s">
        <v>477</v>
      </c>
      <c r="U4" s="241" t="s">
        <v>538</v>
      </c>
      <c r="V4" s="216">
        <v>2020</v>
      </c>
      <c r="W4" s="217">
        <v>2025</v>
      </c>
      <c r="X4" s="217">
        <v>2030</v>
      </c>
      <c r="Y4" s="217">
        <v>2035</v>
      </c>
      <c r="Z4" s="217">
        <v>2040</v>
      </c>
      <c r="AA4" s="217">
        <v>2045</v>
      </c>
      <c r="AB4" s="218">
        <v>2050</v>
      </c>
      <c r="AC4" s="220" t="s">
        <v>483</v>
      </c>
      <c r="AD4" s="221" t="s">
        <v>482</v>
      </c>
      <c r="AE4" s="222" t="s">
        <v>486</v>
      </c>
      <c r="AF4" s="220" t="s">
        <v>487</v>
      </c>
      <c r="AG4" s="221" t="s">
        <v>489</v>
      </c>
      <c r="AH4" s="183" t="s">
        <v>490</v>
      </c>
    </row>
    <row r="5" spans="3:34" x14ac:dyDescent="0.25">
      <c r="C5" t="s">
        <v>301</v>
      </c>
      <c r="E5" s="197">
        <v>28.68</v>
      </c>
      <c r="F5" s="198">
        <v>172.07</v>
      </c>
      <c r="G5" s="199">
        <v>0</v>
      </c>
      <c r="H5">
        <f t="shared" ref="H5:H43" si="0">+E5-G5</f>
        <v>28.68</v>
      </c>
      <c r="I5" s="186">
        <f>+G5/E5</f>
        <v>0</v>
      </c>
      <c r="J5" s="186">
        <f>+H5/E5</f>
        <v>1</v>
      </c>
      <c r="M5" s="200">
        <v>0.96079999999999999</v>
      </c>
      <c r="N5" s="201">
        <v>2027</v>
      </c>
      <c r="S5" s="244">
        <v>0</v>
      </c>
      <c r="T5" s="245">
        <f>+S5*E5</f>
        <v>0</v>
      </c>
      <c r="U5" t="s">
        <v>539</v>
      </c>
      <c r="V5" s="202">
        <v>20000</v>
      </c>
      <c r="W5" s="203">
        <v>12500</v>
      </c>
      <c r="X5" s="206"/>
      <c r="Y5" s="206"/>
      <c r="Z5" s="206"/>
      <c r="AA5" s="206"/>
      <c r="AB5" s="199"/>
      <c r="AC5" s="210">
        <f t="shared" ref="AC5:AC37" si="1">+SLOPE(V5:AB5,$V$4:$AB$4)</f>
        <v>-1500</v>
      </c>
      <c r="AD5" s="204">
        <f t="shared" ref="AD5:AD37" si="2">+INTERCEPT(V5:AB5,$V$4:$AB$4)</f>
        <v>3050000</v>
      </c>
      <c r="AE5" s="211">
        <f t="shared" ref="AE5:AE37" si="3">+AC5*N5+AD5</f>
        <v>9500</v>
      </c>
      <c r="AF5" s="224">
        <f t="shared" ref="AF5:AF37" si="4">+((N5-$V$4)*AE5+((N5-$V$4)*(V5-AE5))/2)*365/1000000</f>
        <v>37.686250000000001</v>
      </c>
      <c r="AG5" s="225">
        <f t="shared" ref="AG5:AG37" si="5">+((AC5*N5*N5/2)+(AD5*N5)-(AC5*$V$4*$V$4/2)-(AD5*$V$4))*365/1000000</f>
        <v>37.686250000000001</v>
      </c>
      <c r="AH5" s="186">
        <f t="shared" ref="AH5:AH37" si="6">+(AG5-E5)/E5</f>
        <v>0.31402545327754539</v>
      </c>
    </row>
    <row r="6" spans="3:34" x14ac:dyDescent="0.25">
      <c r="C6" t="s">
        <v>342</v>
      </c>
      <c r="E6" s="194">
        <v>89.87</v>
      </c>
      <c r="F6" s="194">
        <v>0</v>
      </c>
      <c r="G6" s="194">
        <f>+E6</f>
        <v>89.87</v>
      </c>
      <c r="H6">
        <f t="shared" si="0"/>
        <v>0</v>
      </c>
      <c r="I6" s="186">
        <f t="shared" ref="I6:I43" si="7">+G6/E6</f>
        <v>1</v>
      </c>
      <c r="J6" s="186">
        <f t="shared" ref="J6:J43" si="8">+H6/E6</f>
        <v>0</v>
      </c>
      <c r="M6" s="196">
        <v>0.24629999999999999</v>
      </c>
      <c r="N6" s="194">
        <v>2048</v>
      </c>
      <c r="O6" s="242">
        <f>+P6+R6</f>
        <v>19756.607616438356</v>
      </c>
      <c r="P6" s="242">
        <v>19756.607616438356</v>
      </c>
      <c r="Q6" s="242">
        <v>0</v>
      </c>
      <c r="R6" s="242">
        <f>+(Q6*1000000)/$Y$1</f>
        <v>0</v>
      </c>
      <c r="S6" s="243">
        <f>+P6/O6</f>
        <v>1</v>
      </c>
      <c r="T6" s="245">
        <f t="shared" ref="T6:T38" si="9">+S6*E6</f>
        <v>89.87</v>
      </c>
      <c r="U6" s="243">
        <f>+G6/E6</f>
        <v>1</v>
      </c>
      <c r="V6" s="194">
        <v>10000</v>
      </c>
      <c r="W6" s="194">
        <v>16000</v>
      </c>
      <c r="X6" s="194">
        <v>11000</v>
      </c>
      <c r="Y6" s="194">
        <v>7500</v>
      </c>
      <c r="Z6" s="194">
        <v>5500</v>
      </c>
      <c r="AA6" s="194">
        <v>4000</v>
      </c>
      <c r="AB6" s="194"/>
      <c r="AC6" s="210">
        <f t="shared" si="1"/>
        <v>-371.42857142857144</v>
      </c>
      <c r="AD6" s="204">
        <f t="shared" si="2"/>
        <v>763928.57142857148</v>
      </c>
      <c r="AE6" s="211">
        <f t="shared" si="3"/>
        <v>3242.8571428571595</v>
      </c>
      <c r="AF6" s="226">
        <f t="shared" si="4"/>
        <v>67.671000000000092</v>
      </c>
      <c r="AG6" s="227">
        <f t="shared" si="5"/>
        <v>86.286000000000001</v>
      </c>
      <c r="AH6" s="186">
        <f t="shared" si="6"/>
        <v>-3.9879826415934162E-2</v>
      </c>
    </row>
    <row r="7" spans="3:34" x14ac:dyDescent="0.25">
      <c r="C7" t="s">
        <v>491</v>
      </c>
      <c r="E7" s="194">
        <v>1.37</v>
      </c>
      <c r="F7" s="230">
        <f>+E7*1.12%</f>
        <v>1.5344000000000003E-2</v>
      </c>
      <c r="G7" s="195">
        <f>+E7*98.88%</f>
        <v>1.3546559999999999</v>
      </c>
      <c r="H7">
        <f t="shared" si="0"/>
        <v>1.5344000000000246E-2</v>
      </c>
      <c r="I7" s="186">
        <f t="shared" si="7"/>
        <v>0.98879999999999979</v>
      </c>
      <c r="J7" s="186">
        <f t="shared" si="8"/>
        <v>1.1200000000000179E-2</v>
      </c>
      <c r="M7" s="196">
        <v>0.62780000000000002</v>
      </c>
      <c r="N7" s="194">
        <v>2041</v>
      </c>
      <c r="O7" s="242">
        <f t="shared" ref="O7:O38" si="10">+P7+R7</f>
        <v>285.28490222012289</v>
      </c>
      <c r="P7" s="242">
        <v>249.14413698630142</v>
      </c>
      <c r="Q7" s="242">
        <v>0.20961643835616439</v>
      </c>
      <c r="R7" s="242">
        <f t="shared" ref="R7:R38" si="11">+(Q7*1000000)/$Y$1</f>
        <v>36.140765233821448</v>
      </c>
      <c r="S7" s="243">
        <f t="shared" ref="S7:S38" si="12">+P7/O7</f>
        <v>0.8733169370248145</v>
      </c>
      <c r="T7" s="245">
        <f t="shared" si="9"/>
        <v>1.196444203723996</v>
      </c>
      <c r="U7" s="243">
        <f t="shared" ref="U7:U38" si="13">+G7/E7</f>
        <v>0.98879999999999979</v>
      </c>
      <c r="V7" s="194">
        <v>400</v>
      </c>
      <c r="W7" s="194">
        <v>280</v>
      </c>
      <c r="X7" s="194">
        <v>200</v>
      </c>
      <c r="Y7" s="194">
        <v>120</v>
      </c>
      <c r="Z7" s="194">
        <v>80</v>
      </c>
      <c r="AA7" s="194"/>
      <c r="AB7" s="194"/>
      <c r="AC7" s="210">
        <f t="shared" si="1"/>
        <v>-16</v>
      </c>
      <c r="AD7" s="204">
        <f t="shared" si="2"/>
        <v>32696</v>
      </c>
      <c r="AE7" s="211">
        <f t="shared" si="3"/>
        <v>40</v>
      </c>
      <c r="AF7" s="226">
        <f t="shared" si="4"/>
        <v>1.6862999999999999</v>
      </c>
      <c r="AG7" s="227">
        <f t="shared" si="5"/>
        <v>1.59432</v>
      </c>
      <c r="AH7" s="186">
        <f t="shared" si="6"/>
        <v>0.16373722627737214</v>
      </c>
    </row>
    <row r="8" spans="3:34" x14ac:dyDescent="0.25">
      <c r="C8" t="s">
        <v>346</v>
      </c>
      <c r="E8" s="194">
        <v>2.5</v>
      </c>
      <c r="F8" s="194">
        <v>7.0000000000000007E-2</v>
      </c>
      <c r="G8" s="194">
        <f>+E8*99.53%</f>
        <v>2.4882499999999999</v>
      </c>
      <c r="H8">
        <f t="shared" si="0"/>
        <v>1.1750000000000149E-2</v>
      </c>
      <c r="I8" s="186">
        <f t="shared" si="7"/>
        <v>0.99529999999999996</v>
      </c>
      <c r="J8" s="186">
        <f t="shared" si="8"/>
        <v>4.70000000000006E-3</v>
      </c>
      <c r="M8" s="196">
        <v>0.93179999999999996</v>
      </c>
      <c r="N8" s="194">
        <v>2029</v>
      </c>
      <c r="O8" s="242">
        <f t="shared" si="10"/>
        <v>3767.1428889938588</v>
      </c>
      <c r="P8" s="242">
        <v>3691.9893698630135</v>
      </c>
      <c r="Q8" s="242">
        <v>0.43589041095890391</v>
      </c>
      <c r="R8" s="242">
        <f t="shared" si="11"/>
        <v>75.153519130845496</v>
      </c>
      <c r="S8" s="243">
        <f t="shared" si="12"/>
        <v>0.98005026054349709</v>
      </c>
      <c r="T8" s="245">
        <f t="shared" si="9"/>
        <v>2.4501256513587428</v>
      </c>
      <c r="U8" s="243">
        <f t="shared" si="13"/>
        <v>0.99529999999999996</v>
      </c>
      <c r="V8" s="194">
        <v>2950</v>
      </c>
      <c r="W8" s="194">
        <v>750</v>
      </c>
      <c r="X8" s="194"/>
      <c r="Y8" s="194"/>
      <c r="Z8" s="194"/>
      <c r="AA8" s="194"/>
      <c r="AB8" s="194"/>
      <c r="AC8" s="210">
        <f t="shared" si="1"/>
        <v>-440</v>
      </c>
      <c r="AD8" s="204">
        <f t="shared" si="2"/>
        <v>891750</v>
      </c>
      <c r="AE8" s="211">
        <f t="shared" si="3"/>
        <v>-1010</v>
      </c>
      <c r="AF8" s="226">
        <f t="shared" si="4"/>
        <v>3.1864499999999998</v>
      </c>
      <c r="AG8" s="227">
        <f t="shared" si="5"/>
        <v>3.1864499999999998</v>
      </c>
      <c r="AH8" s="186">
        <f t="shared" si="6"/>
        <v>0.27457999999999994</v>
      </c>
    </row>
    <row r="9" spans="3:34" x14ac:dyDescent="0.25">
      <c r="C9" t="s">
        <v>311</v>
      </c>
      <c r="E9" s="194">
        <v>14.92</v>
      </c>
      <c r="F9" s="194">
        <v>89.54</v>
      </c>
      <c r="G9" s="194">
        <v>0</v>
      </c>
      <c r="H9">
        <f t="shared" si="0"/>
        <v>14.92</v>
      </c>
      <c r="I9" s="186">
        <f t="shared" si="7"/>
        <v>0</v>
      </c>
      <c r="J9" s="186">
        <f t="shared" si="8"/>
        <v>1</v>
      </c>
      <c r="M9" s="196">
        <v>0.69059999999999999</v>
      </c>
      <c r="N9" s="194">
        <v>2039</v>
      </c>
      <c r="O9" s="242">
        <f t="shared" si="10"/>
        <v>3970.7652338214457</v>
      </c>
      <c r="P9" s="242">
        <v>0</v>
      </c>
      <c r="Q9" s="242">
        <v>23.030438356164385</v>
      </c>
      <c r="R9" s="242">
        <f t="shared" si="11"/>
        <v>3970.7652338214457</v>
      </c>
      <c r="S9" s="243">
        <f t="shared" si="12"/>
        <v>0</v>
      </c>
      <c r="T9" s="245">
        <f t="shared" si="9"/>
        <v>0</v>
      </c>
      <c r="U9" s="243">
        <f t="shared" si="13"/>
        <v>0</v>
      </c>
      <c r="V9" s="194">
        <v>2500</v>
      </c>
      <c r="W9" s="213">
        <v>3000</v>
      </c>
      <c r="X9" s="194">
        <v>2100</v>
      </c>
      <c r="Y9" s="194">
        <v>1800</v>
      </c>
      <c r="Z9" s="194"/>
      <c r="AA9" s="194"/>
      <c r="AB9" s="194"/>
      <c r="AC9" s="210">
        <f t="shared" si="1"/>
        <v>-60</v>
      </c>
      <c r="AD9" s="204">
        <f t="shared" si="2"/>
        <v>124000</v>
      </c>
      <c r="AE9" s="211">
        <f t="shared" si="3"/>
        <v>1660</v>
      </c>
      <c r="AF9" s="226">
        <f t="shared" si="4"/>
        <v>14.424799999999999</v>
      </c>
      <c r="AG9" s="227">
        <f t="shared" si="5"/>
        <v>15.46505</v>
      </c>
      <c r="AH9" s="186">
        <f t="shared" si="6"/>
        <v>3.653150134048256E-2</v>
      </c>
    </row>
    <row r="10" spans="3:34" x14ac:dyDescent="0.25">
      <c r="C10" t="s">
        <v>492</v>
      </c>
      <c r="E10" s="194">
        <v>153.29</v>
      </c>
      <c r="F10" s="194">
        <v>0</v>
      </c>
      <c r="G10" s="194">
        <v>153.29</v>
      </c>
      <c r="H10">
        <f t="shared" si="0"/>
        <v>0</v>
      </c>
      <c r="I10" s="186">
        <f t="shared" si="7"/>
        <v>1</v>
      </c>
      <c r="J10" s="186">
        <f t="shared" si="8"/>
        <v>0</v>
      </c>
      <c r="M10" s="196">
        <v>0.70950000000000002</v>
      </c>
      <c r="N10" s="194">
        <v>2036</v>
      </c>
      <c r="O10" s="242">
        <f t="shared" si="10"/>
        <v>70553.994630136978</v>
      </c>
      <c r="P10" s="242">
        <v>70553.994630136978</v>
      </c>
      <c r="Q10" s="242">
        <v>0</v>
      </c>
      <c r="R10" s="242">
        <f t="shared" si="11"/>
        <v>0</v>
      </c>
      <c r="S10" s="243">
        <f t="shared" si="12"/>
        <v>1</v>
      </c>
      <c r="T10" s="245">
        <f t="shared" si="9"/>
        <v>153.29</v>
      </c>
      <c r="U10" s="243">
        <f t="shared" si="13"/>
        <v>1</v>
      </c>
      <c r="V10" s="194">
        <v>65000</v>
      </c>
      <c r="W10" s="213">
        <v>37500</v>
      </c>
      <c r="X10" s="194">
        <v>22500</v>
      </c>
      <c r="Y10" s="194">
        <v>12500</v>
      </c>
      <c r="Z10" s="194"/>
      <c r="AA10" s="194"/>
      <c r="AB10" s="194"/>
      <c r="AC10" s="232">
        <f t="shared" si="1"/>
        <v>-3450</v>
      </c>
      <c r="AD10" s="233">
        <f t="shared" si="2"/>
        <v>7029250</v>
      </c>
      <c r="AE10" s="234">
        <f t="shared" si="3"/>
        <v>5050</v>
      </c>
      <c r="AF10" s="224">
        <f t="shared" si="4"/>
        <v>204.54599999999999</v>
      </c>
      <c r="AG10" s="225">
        <f t="shared" si="5"/>
        <v>190.67599999999999</v>
      </c>
      <c r="AH10" s="186">
        <f t="shared" si="6"/>
        <v>0.24389066475308238</v>
      </c>
    </row>
    <row r="11" spans="3:34" x14ac:dyDescent="0.25">
      <c r="C11" t="s">
        <v>493</v>
      </c>
      <c r="E11" s="194">
        <v>0.88</v>
      </c>
      <c r="F11" s="194">
        <v>0</v>
      </c>
      <c r="G11" s="194">
        <v>0.88</v>
      </c>
      <c r="H11">
        <f t="shared" si="0"/>
        <v>0</v>
      </c>
      <c r="I11" s="186">
        <f t="shared" si="7"/>
        <v>1</v>
      </c>
      <c r="J11" s="186">
        <f t="shared" si="8"/>
        <v>0</v>
      </c>
      <c r="M11" s="196">
        <v>0.69830000000000003</v>
      </c>
      <c r="N11" s="194">
        <v>2042</v>
      </c>
      <c r="O11" s="242">
        <f t="shared" si="10"/>
        <v>226.03172602739721</v>
      </c>
      <c r="P11" s="242">
        <v>226.03172602739721</v>
      </c>
      <c r="Q11" s="242">
        <v>0</v>
      </c>
      <c r="R11" s="242">
        <f t="shared" si="11"/>
        <v>0</v>
      </c>
      <c r="S11" s="243">
        <f t="shared" si="12"/>
        <v>1</v>
      </c>
      <c r="T11" s="245">
        <f t="shared" si="9"/>
        <v>0.88</v>
      </c>
      <c r="U11" s="243">
        <f t="shared" si="13"/>
        <v>1</v>
      </c>
      <c r="V11" s="194">
        <v>150</v>
      </c>
      <c r="W11" s="231">
        <v>180</v>
      </c>
      <c r="X11" s="194">
        <v>105</v>
      </c>
      <c r="Y11" s="194">
        <v>90</v>
      </c>
      <c r="Z11" s="194">
        <v>60</v>
      </c>
      <c r="AA11" s="194"/>
      <c r="AB11" s="194"/>
      <c r="AC11" s="232">
        <f t="shared" si="1"/>
        <v>-5.4</v>
      </c>
      <c r="AD11" s="233">
        <f t="shared" si="2"/>
        <v>11079</v>
      </c>
      <c r="AE11" s="234">
        <f t="shared" si="3"/>
        <v>52.199999999998909</v>
      </c>
      <c r="AF11" s="224">
        <f t="shared" si="4"/>
        <v>0.81183299999999559</v>
      </c>
      <c r="AG11" s="225">
        <f t="shared" si="5"/>
        <v>0.89614799999972805</v>
      </c>
      <c r="AH11" s="186">
        <f t="shared" si="6"/>
        <v>1.8349999999690961E-2</v>
      </c>
    </row>
    <row r="12" spans="3:34" x14ac:dyDescent="0.25">
      <c r="C12" t="s">
        <v>494</v>
      </c>
      <c r="E12" s="194">
        <v>543.79</v>
      </c>
      <c r="F12" s="194">
        <v>0</v>
      </c>
      <c r="G12" s="194">
        <f>+E12</f>
        <v>543.79</v>
      </c>
      <c r="H12">
        <f t="shared" si="0"/>
        <v>0</v>
      </c>
      <c r="I12" s="186">
        <f t="shared" si="7"/>
        <v>1</v>
      </c>
      <c r="J12" s="186">
        <f t="shared" si="8"/>
        <v>0</v>
      </c>
      <c r="M12" s="196">
        <v>0.31709999999999999</v>
      </c>
      <c r="N12" s="194">
        <v>2099</v>
      </c>
      <c r="O12" s="242">
        <f t="shared" si="10"/>
        <v>43276.035643835618</v>
      </c>
      <c r="P12" s="242">
        <v>43276.035643835618</v>
      </c>
      <c r="Q12" s="242">
        <v>0</v>
      </c>
      <c r="R12" s="242">
        <f t="shared" si="11"/>
        <v>0</v>
      </c>
      <c r="S12" s="243">
        <f t="shared" si="12"/>
        <v>1</v>
      </c>
      <c r="T12" s="245">
        <f t="shared" si="9"/>
        <v>543.79</v>
      </c>
      <c r="U12" s="243">
        <f t="shared" si="13"/>
        <v>1</v>
      </c>
      <c r="V12" s="194">
        <v>40000</v>
      </c>
      <c r="W12" s="194"/>
      <c r="X12" s="194">
        <v>32500</v>
      </c>
      <c r="Z12" s="194">
        <v>27500</v>
      </c>
      <c r="AA12" s="194"/>
      <c r="AB12" s="194">
        <v>22500</v>
      </c>
      <c r="AC12" s="232">
        <f t="shared" si="1"/>
        <v>-575</v>
      </c>
      <c r="AD12" s="233">
        <f t="shared" si="2"/>
        <v>1200750</v>
      </c>
      <c r="AE12" s="234">
        <f t="shared" si="3"/>
        <v>-6175</v>
      </c>
      <c r="AF12" s="224">
        <f t="shared" si="4"/>
        <v>487.67193750000001</v>
      </c>
      <c r="AG12" s="225">
        <f t="shared" si="5"/>
        <v>476.8588125</v>
      </c>
      <c r="AH12" s="186">
        <f t="shared" si="6"/>
        <v>-0.1230827847146876</v>
      </c>
    </row>
    <row r="13" spans="3:34" x14ac:dyDescent="0.25">
      <c r="C13" t="s">
        <v>29</v>
      </c>
      <c r="E13" s="194">
        <v>272.89999999999998</v>
      </c>
      <c r="F13" s="194">
        <v>0</v>
      </c>
      <c r="G13" s="194">
        <v>272.29000000000002</v>
      </c>
      <c r="H13">
        <f t="shared" si="0"/>
        <v>0.6099999999999568</v>
      </c>
      <c r="I13" s="186">
        <f t="shared" si="7"/>
        <v>0.99776474899230505</v>
      </c>
      <c r="J13" s="186">
        <f t="shared" si="8"/>
        <v>2.2352510076949681E-3</v>
      </c>
      <c r="M13" s="228">
        <v>0.71530000000000005</v>
      </c>
      <c r="N13" s="194">
        <v>2036</v>
      </c>
      <c r="O13" s="242">
        <f t="shared" si="10"/>
        <v>119308.68268493151</v>
      </c>
      <c r="P13" s="242">
        <v>119308.68268493151</v>
      </c>
      <c r="Q13" s="242">
        <v>0</v>
      </c>
      <c r="R13" s="242">
        <f t="shared" si="11"/>
        <v>0</v>
      </c>
      <c r="S13" s="243">
        <f t="shared" si="12"/>
        <v>1</v>
      </c>
      <c r="T13" s="245">
        <f t="shared" si="9"/>
        <v>272.89999999999998</v>
      </c>
      <c r="U13" s="243">
        <f t="shared" si="13"/>
        <v>0.99776474899230505</v>
      </c>
      <c r="V13" s="205">
        <v>105000</v>
      </c>
      <c r="W13" s="214">
        <v>75000</v>
      </c>
      <c r="X13" s="194">
        <v>40000</v>
      </c>
      <c r="Y13" s="194">
        <v>25000</v>
      </c>
      <c r="AC13" s="232">
        <f t="shared" si="1"/>
        <v>-5500</v>
      </c>
      <c r="AD13" s="233">
        <f t="shared" si="2"/>
        <v>11212500</v>
      </c>
      <c r="AE13" s="234">
        <f t="shared" si="3"/>
        <v>14500</v>
      </c>
      <c r="AF13" s="224">
        <f t="shared" si="4"/>
        <v>348.94</v>
      </c>
      <c r="AG13" s="225">
        <f t="shared" si="5"/>
        <v>341.64</v>
      </c>
      <c r="AH13" s="186">
        <f t="shared" si="6"/>
        <v>0.25188713814584102</v>
      </c>
    </row>
    <row r="14" spans="3:34" x14ac:dyDescent="0.25">
      <c r="C14" t="s">
        <v>345</v>
      </c>
      <c r="E14" s="194">
        <v>16.52</v>
      </c>
      <c r="F14" s="194">
        <v>1.61</v>
      </c>
      <c r="G14">
        <f>+E14*98.07%</f>
        <v>16.201163999999999</v>
      </c>
      <c r="H14">
        <f t="shared" si="0"/>
        <v>0.31883600000000101</v>
      </c>
      <c r="I14" s="186">
        <f t="shared" si="7"/>
        <v>0.98069999999999991</v>
      </c>
      <c r="J14" s="186">
        <f t="shared" si="8"/>
        <v>1.930000000000006E-2</v>
      </c>
      <c r="M14" s="228">
        <v>0.73629999999999995</v>
      </c>
      <c r="N14" s="194">
        <v>2060</v>
      </c>
      <c r="O14" s="242">
        <f t="shared" si="10"/>
        <v>4154.1152328767121</v>
      </c>
      <c r="P14" s="242">
        <v>4154.1152328767121</v>
      </c>
      <c r="Q14" s="242">
        <v>0</v>
      </c>
      <c r="R14" s="242">
        <f t="shared" si="11"/>
        <v>0</v>
      </c>
      <c r="S14" s="243">
        <f t="shared" si="12"/>
        <v>1</v>
      </c>
      <c r="T14" s="245">
        <f t="shared" si="9"/>
        <v>16.52</v>
      </c>
      <c r="U14" s="243">
        <f t="shared" si="13"/>
        <v>0.98069999999999991</v>
      </c>
      <c r="V14" s="194">
        <v>4000</v>
      </c>
      <c r="W14" s="194">
        <v>3000</v>
      </c>
      <c r="X14" s="194">
        <v>1800</v>
      </c>
      <c r="Y14" s="194">
        <v>1000</v>
      </c>
      <c r="Z14" s="194">
        <v>900</v>
      </c>
      <c r="AA14" s="194">
        <v>700</v>
      </c>
      <c r="AB14" s="194">
        <v>500</v>
      </c>
      <c r="AC14" s="232">
        <f t="shared" si="1"/>
        <v>-114.28571428571429</v>
      </c>
      <c r="AD14" s="233">
        <f t="shared" si="2"/>
        <v>234271.42857142858</v>
      </c>
      <c r="AE14" s="234">
        <f t="shared" si="3"/>
        <v>-1157.1428571428696</v>
      </c>
      <c r="AF14" s="224">
        <f t="shared" si="4"/>
        <v>20.752857142857053</v>
      </c>
      <c r="AG14" s="225">
        <f t="shared" si="5"/>
        <v>16.47714285712421</v>
      </c>
      <c r="AH14" s="186">
        <f t="shared" si="6"/>
        <v>-2.5942580433286396E-3</v>
      </c>
    </row>
    <row r="15" spans="3:34" x14ac:dyDescent="0.25">
      <c r="C15" t="s">
        <v>140</v>
      </c>
      <c r="E15" s="194">
        <v>21.91</v>
      </c>
      <c r="F15" s="194">
        <v>0</v>
      </c>
      <c r="G15">
        <f>+E15</f>
        <v>21.91</v>
      </c>
      <c r="H15">
        <f t="shared" si="0"/>
        <v>0</v>
      </c>
      <c r="I15" s="186">
        <f t="shared" si="7"/>
        <v>1</v>
      </c>
      <c r="J15" s="186">
        <f t="shared" si="8"/>
        <v>0</v>
      </c>
      <c r="M15" s="228">
        <v>0.78649999999999998</v>
      </c>
      <c r="N15" s="194">
        <v>2035</v>
      </c>
      <c r="O15" s="242">
        <f t="shared" si="10"/>
        <v>10381.531479452055</v>
      </c>
      <c r="P15" s="242">
        <v>10381.531479452055</v>
      </c>
      <c r="Q15" s="242">
        <v>0</v>
      </c>
      <c r="R15" s="242">
        <f t="shared" si="11"/>
        <v>0</v>
      </c>
      <c r="S15" s="243">
        <f t="shared" si="12"/>
        <v>1</v>
      </c>
      <c r="T15" s="245">
        <f t="shared" si="9"/>
        <v>21.91</v>
      </c>
      <c r="U15" s="243">
        <f t="shared" si="13"/>
        <v>1</v>
      </c>
      <c r="V15" s="205">
        <v>10500</v>
      </c>
      <c r="W15" s="215">
        <v>6000</v>
      </c>
      <c r="X15" s="194">
        <v>2300</v>
      </c>
      <c r="Y15" s="194">
        <v>1800</v>
      </c>
      <c r="AC15" s="232">
        <f t="shared" si="1"/>
        <v>-596</v>
      </c>
      <c r="AD15" s="233">
        <f t="shared" si="2"/>
        <v>1213540</v>
      </c>
      <c r="AE15" s="234">
        <f t="shared" si="3"/>
        <v>680</v>
      </c>
      <c r="AF15" s="224">
        <f t="shared" si="4"/>
        <v>30.605250000000002</v>
      </c>
      <c r="AG15" s="225">
        <f t="shared" si="5"/>
        <v>28.196249999999999</v>
      </c>
      <c r="AH15" s="186">
        <f t="shared" si="6"/>
        <v>0.28691236878137832</v>
      </c>
    </row>
    <row r="16" spans="3:34" x14ac:dyDescent="0.25">
      <c r="C16" t="s">
        <v>495</v>
      </c>
      <c r="E16" s="194">
        <v>8.85</v>
      </c>
      <c r="F16" s="194">
        <v>0</v>
      </c>
      <c r="G16">
        <f>+E16</f>
        <v>8.85</v>
      </c>
      <c r="H16">
        <f t="shared" si="0"/>
        <v>0</v>
      </c>
      <c r="I16" s="186">
        <f t="shared" si="7"/>
        <v>1</v>
      </c>
      <c r="J16" s="186">
        <f t="shared" si="8"/>
        <v>0</v>
      </c>
      <c r="M16" s="228">
        <v>0.55530000000000002</v>
      </c>
      <c r="N16" s="194">
        <v>2052</v>
      </c>
      <c r="O16" s="242">
        <f t="shared" si="10"/>
        <v>1737.8650958904109</v>
      </c>
      <c r="P16" s="242">
        <v>1737.8650958904109</v>
      </c>
      <c r="Q16" s="242">
        <v>0</v>
      </c>
      <c r="R16" s="242">
        <f t="shared" si="11"/>
        <v>0</v>
      </c>
      <c r="S16" s="243">
        <f t="shared" si="12"/>
        <v>1</v>
      </c>
      <c r="T16" s="245">
        <f t="shared" si="9"/>
        <v>8.85</v>
      </c>
      <c r="U16" s="243">
        <f t="shared" si="13"/>
        <v>1</v>
      </c>
      <c r="V16" s="205">
        <v>1600</v>
      </c>
      <c r="W16" s="205">
        <v>1500</v>
      </c>
      <c r="X16" s="194">
        <v>1100</v>
      </c>
      <c r="Y16" s="194">
        <v>750</v>
      </c>
      <c r="Z16" s="194">
        <v>500</v>
      </c>
      <c r="AA16" s="194">
        <v>250</v>
      </c>
      <c r="AB16" s="194">
        <v>200</v>
      </c>
      <c r="AC16" s="232">
        <f t="shared" si="1"/>
        <v>-52.142857142857146</v>
      </c>
      <c r="AD16" s="233">
        <f t="shared" si="2"/>
        <v>106953.57142857143</v>
      </c>
      <c r="AE16" s="234">
        <f t="shared" si="3"/>
        <v>-43.571428571434808</v>
      </c>
      <c r="AF16" s="224">
        <f t="shared" si="4"/>
        <v>9.0895428571428205</v>
      </c>
      <c r="AG16" s="225">
        <f t="shared" si="5"/>
        <v>9.2355428571459655</v>
      </c>
      <c r="AH16" s="186">
        <f t="shared" si="6"/>
        <v>4.3564164649261675E-2</v>
      </c>
    </row>
    <row r="17" spans="3:34" x14ac:dyDescent="0.25">
      <c r="C17" t="s">
        <v>61</v>
      </c>
      <c r="E17" s="194">
        <v>146.25</v>
      </c>
      <c r="F17" s="194">
        <v>0</v>
      </c>
      <c r="G17">
        <v>146.25</v>
      </c>
      <c r="H17">
        <f t="shared" si="0"/>
        <v>0</v>
      </c>
      <c r="I17" s="186">
        <f t="shared" si="7"/>
        <v>1</v>
      </c>
      <c r="J17" s="186">
        <f t="shared" si="8"/>
        <v>0</v>
      </c>
      <c r="M17" s="228">
        <v>0.58260000000000001</v>
      </c>
      <c r="N17" s="194">
        <v>2039</v>
      </c>
      <c r="O17" s="242">
        <f t="shared" si="10"/>
        <v>48971.756410958893</v>
      </c>
      <c r="P17" s="242">
        <v>48971.756410958893</v>
      </c>
      <c r="Q17" s="242">
        <v>0</v>
      </c>
      <c r="R17" s="242">
        <f t="shared" si="11"/>
        <v>0</v>
      </c>
      <c r="S17" s="243">
        <f t="shared" si="12"/>
        <v>1</v>
      </c>
      <c r="T17" s="245">
        <f t="shared" si="9"/>
        <v>146.25</v>
      </c>
      <c r="U17" s="243">
        <f t="shared" si="13"/>
        <v>1</v>
      </c>
      <c r="V17" s="205">
        <v>50000</v>
      </c>
      <c r="W17" s="205">
        <v>35000</v>
      </c>
      <c r="X17" s="194">
        <v>20000</v>
      </c>
      <c r="Y17" s="194">
        <v>12500</v>
      </c>
      <c r="AC17" s="232">
        <f t="shared" si="1"/>
        <v>-2550</v>
      </c>
      <c r="AD17" s="233">
        <f t="shared" si="2"/>
        <v>5199500</v>
      </c>
      <c r="AE17" s="234">
        <f t="shared" si="3"/>
        <v>50</v>
      </c>
      <c r="AF17" s="224">
        <f t="shared" si="4"/>
        <v>173.54837499999999</v>
      </c>
      <c r="AG17" s="225">
        <f t="shared" si="5"/>
        <v>168.34712500000001</v>
      </c>
      <c r="AH17" s="186">
        <f t="shared" si="6"/>
        <v>0.15109145299145302</v>
      </c>
    </row>
    <row r="18" spans="3:34" x14ac:dyDescent="0.25">
      <c r="C18" t="s">
        <v>496</v>
      </c>
      <c r="E18" s="194">
        <v>89.99</v>
      </c>
      <c r="F18" s="194">
        <v>0</v>
      </c>
      <c r="G18">
        <f>+E18</f>
        <v>89.99</v>
      </c>
      <c r="H18">
        <f t="shared" si="0"/>
        <v>0</v>
      </c>
      <c r="I18" s="186">
        <f t="shared" si="7"/>
        <v>1</v>
      </c>
      <c r="J18" s="186">
        <f t="shared" si="8"/>
        <v>0</v>
      </c>
      <c r="M18" s="228">
        <v>0.42830000000000001</v>
      </c>
      <c r="N18" s="194">
        <v>2044</v>
      </c>
      <c r="O18" s="242">
        <f t="shared" si="10"/>
        <v>20119.028164383562</v>
      </c>
      <c r="P18" s="242">
        <v>20119.028164383562</v>
      </c>
      <c r="Q18" s="242">
        <v>0</v>
      </c>
      <c r="R18" s="242">
        <f t="shared" si="11"/>
        <v>0</v>
      </c>
      <c r="S18" s="243">
        <f t="shared" si="12"/>
        <v>1</v>
      </c>
      <c r="T18" s="245">
        <f t="shared" si="9"/>
        <v>89.99</v>
      </c>
      <c r="U18" s="243">
        <f t="shared" si="13"/>
        <v>1</v>
      </c>
      <c r="V18" s="205">
        <v>20000</v>
      </c>
      <c r="W18" s="205">
        <v>17500</v>
      </c>
      <c r="X18" s="194">
        <v>12500</v>
      </c>
      <c r="Y18" s="194">
        <v>7600</v>
      </c>
      <c r="Z18" s="194">
        <v>6000</v>
      </c>
      <c r="AC18" s="232">
        <f t="shared" si="1"/>
        <v>-758</v>
      </c>
      <c r="AD18" s="233">
        <f t="shared" si="2"/>
        <v>1551460</v>
      </c>
      <c r="AE18" s="234">
        <f t="shared" si="3"/>
        <v>2108</v>
      </c>
      <c r="AF18" s="224">
        <f t="shared" si="4"/>
        <v>96.833039999999997</v>
      </c>
      <c r="AG18" s="225">
        <f t="shared" si="5"/>
        <v>98.147040000000004</v>
      </c>
      <c r="AH18" s="186">
        <f t="shared" si="6"/>
        <v>9.0643849316590835E-2</v>
      </c>
    </row>
    <row r="19" spans="3:34" x14ac:dyDescent="0.25">
      <c r="C19" t="s">
        <v>497</v>
      </c>
      <c r="E19" s="194">
        <v>86.96</v>
      </c>
      <c r="F19" s="194">
        <v>357.74</v>
      </c>
      <c r="G19">
        <f>+E19*68.57%</f>
        <v>59.628471999999995</v>
      </c>
      <c r="H19">
        <f t="shared" si="0"/>
        <v>27.331527999999999</v>
      </c>
      <c r="I19" s="186">
        <f t="shared" si="7"/>
        <v>0.68569999999999998</v>
      </c>
      <c r="J19" s="186">
        <f t="shared" si="8"/>
        <v>0.31430000000000002</v>
      </c>
      <c r="M19" s="228">
        <v>0.87790000000000001</v>
      </c>
      <c r="N19" s="194">
        <v>2035</v>
      </c>
      <c r="O19" s="242">
        <f t="shared" si="10"/>
        <v>36739.649441662732</v>
      </c>
      <c r="P19" s="242">
        <v>5802.3135890410958</v>
      </c>
      <c r="Q19" s="242">
        <v>179.43654794520549</v>
      </c>
      <c r="R19" s="242">
        <f t="shared" si="11"/>
        <v>30937.335852621636</v>
      </c>
      <c r="S19" s="243">
        <f t="shared" si="12"/>
        <v>0.15793056485893622</v>
      </c>
      <c r="T19" s="245">
        <f t="shared" si="9"/>
        <v>13.733641920133094</v>
      </c>
      <c r="U19" s="243">
        <f t="shared" si="13"/>
        <v>0.68569999999999998</v>
      </c>
      <c r="V19" s="205">
        <v>42000</v>
      </c>
      <c r="W19" s="205">
        <v>22000</v>
      </c>
      <c r="X19" s="194">
        <v>16000</v>
      </c>
      <c r="Y19" s="194">
        <v>8000</v>
      </c>
      <c r="AC19" s="232">
        <f t="shared" si="1"/>
        <v>-2160</v>
      </c>
      <c r="AD19" s="233">
        <f t="shared" si="2"/>
        <v>4401400</v>
      </c>
      <c r="AE19" s="234">
        <f t="shared" si="3"/>
        <v>5800</v>
      </c>
      <c r="AF19" s="224">
        <f t="shared" si="4"/>
        <v>130.85249999999999</v>
      </c>
      <c r="AG19" s="225">
        <f t="shared" si="5"/>
        <v>120.45</v>
      </c>
      <c r="AH19" s="186">
        <f t="shared" si="6"/>
        <v>0.38511959521619149</v>
      </c>
    </row>
    <row r="20" spans="3:34" x14ac:dyDescent="0.25">
      <c r="C20" t="s">
        <v>498</v>
      </c>
      <c r="E20" s="194">
        <v>5.73</v>
      </c>
      <c r="F20" s="194">
        <v>0</v>
      </c>
      <c r="G20">
        <f>+E20</f>
        <v>5.73</v>
      </c>
      <c r="H20">
        <f t="shared" si="0"/>
        <v>0</v>
      </c>
      <c r="I20" s="186">
        <f t="shared" si="7"/>
        <v>1</v>
      </c>
      <c r="J20" s="186">
        <f t="shared" si="8"/>
        <v>0</v>
      </c>
      <c r="M20" s="228">
        <v>0.61819999999999997</v>
      </c>
      <c r="N20" s="194">
        <v>2050</v>
      </c>
      <c r="O20" s="242">
        <f t="shared" si="10"/>
        <v>3032.86197260274</v>
      </c>
      <c r="P20" s="242">
        <v>3032.86197260274</v>
      </c>
      <c r="Q20" s="242">
        <v>0</v>
      </c>
      <c r="R20" s="242">
        <f t="shared" si="11"/>
        <v>0</v>
      </c>
      <c r="S20" s="243">
        <f t="shared" si="12"/>
        <v>1</v>
      </c>
      <c r="T20" s="245">
        <f t="shared" si="9"/>
        <v>5.73</v>
      </c>
      <c r="U20" s="243">
        <f t="shared" si="13"/>
        <v>1</v>
      </c>
      <c r="V20" s="205">
        <v>2250</v>
      </c>
      <c r="W20" s="205">
        <v>1250</v>
      </c>
      <c r="X20" s="194">
        <v>600</v>
      </c>
      <c r="Y20" s="194">
        <v>400</v>
      </c>
      <c r="Z20" s="194">
        <v>200</v>
      </c>
      <c r="AA20" s="194">
        <v>150</v>
      </c>
      <c r="AB20" s="194">
        <v>100</v>
      </c>
      <c r="AC20" s="232">
        <f t="shared" si="1"/>
        <v>-64.642857142857139</v>
      </c>
      <c r="AD20" s="233">
        <f t="shared" si="2"/>
        <v>132255.35714285716</v>
      </c>
      <c r="AE20" s="234">
        <f t="shared" si="3"/>
        <v>-262.4999999999709</v>
      </c>
      <c r="AF20" s="224">
        <f t="shared" si="4"/>
        <v>10.881562500000161</v>
      </c>
      <c r="AG20" s="225">
        <f t="shared" si="5"/>
        <v>7.7432142857189472</v>
      </c>
      <c r="AH20" s="186">
        <f t="shared" si="6"/>
        <v>0.35134629768218961</v>
      </c>
    </row>
    <row r="21" spans="3:34" x14ac:dyDescent="0.25">
      <c r="C21" t="s">
        <v>499</v>
      </c>
      <c r="E21" s="194">
        <v>89.27</v>
      </c>
      <c r="F21" s="194">
        <v>504.38</v>
      </c>
      <c r="G21">
        <f>+E21*5.84%</f>
        <v>5.213368</v>
      </c>
      <c r="H21">
        <f t="shared" si="0"/>
        <v>84.056631999999993</v>
      </c>
      <c r="I21" s="186">
        <f t="shared" si="7"/>
        <v>5.8400000000000001E-2</v>
      </c>
      <c r="J21" s="186">
        <f t="shared" si="8"/>
        <v>0.94159999999999999</v>
      </c>
      <c r="M21" s="228">
        <v>0.24510000000000001</v>
      </c>
      <c r="N21" s="194">
        <v>2059</v>
      </c>
      <c r="O21" s="242">
        <f t="shared" si="10"/>
        <v>5687.8121180916396</v>
      </c>
      <c r="P21" s="242">
        <v>1396.6784383561644</v>
      </c>
      <c r="Q21" s="242">
        <v>24.888575342465753</v>
      </c>
      <c r="R21" s="242">
        <f t="shared" si="11"/>
        <v>4291.1336797354752</v>
      </c>
      <c r="S21" s="243">
        <f t="shared" si="12"/>
        <v>0.24555635969648984</v>
      </c>
      <c r="T21" s="245">
        <f t="shared" si="9"/>
        <v>21.920816230105647</v>
      </c>
      <c r="U21" s="243">
        <f t="shared" si="13"/>
        <v>5.8400000000000001E-2</v>
      </c>
      <c r="V21" s="205">
        <v>10000</v>
      </c>
      <c r="W21" s="205">
        <v>18500</v>
      </c>
      <c r="X21" s="194">
        <v>10000</v>
      </c>
      <c r="Y21" s="194">
        <v>7000</v>
      </c>
      <c r="Z21" s="194">
        <v>5000</v>
      </c>
      <c r="AA21" s="194">
        <v>3500</v>
      </c>
      <c r="AB21" s="194">
        <v>2100</v>
      </c>
      <c r="AC21" s="232">
        <f t="shared" si="1"/>
        <v>-419.28571428571439</v>
      </c>
      <c r="AD21" s="233">
        <f t="shared" si="2"/>
        <v>861260.71428571444</v>
      </c>
      <c r="AE21" s="234">
        <f t="shared" si="3"/>
        <v>-2048.5714285714785</v>
      </c>
      <c r="AF21" s="224">
        <f t="shared" si="4"/>
        <v>56.594292857142499</v>
      </c>
      <c r="AG21" s="225">
        <f t="shared" si="5"/>
        <v>87.224962500087017</v>
      </c>
      <c r="AH21" s="186">
        <f t="shared" si="6"/>
        <v>-2.2908451886557404E-2</v>
      </c>
    </row>
    <row r="22" spans="3:34" x14ac:dyDescent="0.25">
      <c r="C22" t="s">
        <v>500</v>
      </c>
      <c r="E22" s="194">
        <v>10.25</v>
      </c>
      <c r="F22" s="194">
        <v>60.26</v>
      </c>
      <c r="G22">
        <f>+E22*2%</f>
        <v>0.20500000000000002</v>
      </c>
      <c r="H22">
        <f t="shared" si="0"/>
        <v>10.045</v>
      </c>
      <c r="I22" s="186">
        <f t="shared" si="7"/>
        <v>0.02</v>
      </c>
      <c r="J22" s="186">
        <f t="shared" si="8"/>
        <v>0.98</v>
      </c>
      <c r="M22" s="228">
        <v>0.98270000000000002</v>
      </c>
      <c r="N22" s="194">
        <v>2025</v>
      </c>
      <c r="O22" s="242">
        <f t="shared" si="10"/>
        <v>13330.402025507794</v>
      </c>
      <c r="P22" s="242">
        <v>802.2064657534246</v>
      </c>
      <c r="Q22" s="242">
        <v>72.663534246575338</v>
      </c>
      <c r="R22" s="242">
        <f t="shared" si="11"/>
        <v>12528.195559754369</v>
      </c>
      <c r="S22" s="243">
        <f t="shared" si="12"/>
        <v>6.0178715106896125E-2</v>
      </c>
      <c r="T22" s="245">
        <f t="shared" si="9"/>
        <v>0.6168318298456853</v>
      </c>
      <c r="U22" s="243">
        <f t="shared" si="13"/>
        <v>0.02</v>
      </c>
      <c r="V22" s="205">
        <v>8000</v>
      </c>
      <c r="W22" s="205">
        <v>5000</v>
      </c>
      <c r="AC22" s="232">
        <f t="shared" si="1"/>
        <v>-600</v>
      </c>
      <c r="AD22" s="233">
        <f t="shared" si="2"/>
        <v>1220000</v>
      </c>
      <c r="AE22" s="234">
        <f t="shared" si="3"/>
        <v>5000</v>
      </c>
      <c r="AF22" s="224">
        <f t="shared" si="4"/>
        <v>11.862500000000001</v>
      </c>
      <c r="AG22" s="225">
        <f t="shared" si="5"/>
        <v>11.862500000000001</v>
      </c>
      <c r="AH22" s="186">
        <f t="shared" si="6"/>
        <v>0.15731707317073176</v>
      </c>
    </row>
    <row r="23" spans="3:34" x14ac:dyDescent="0.25">
      <c r="C23" t="s">
        <v>501</v>
      </c>
      <c r="E23" s="194">
        <v>17.7</v>
      </c>
      <c r="F23" s="194">
        <v>97.48</v>
      </c>
      <c r="G23">
        <f>+E23*8.23%</f>
        <v>1.4567099999999999</v>
      </c>
      <c r="H23">
        <f t="shared" si="0"/>
        <v>16.243289999999998</v>
      </c>
      <c r="I23" s="186">
        <f t="shared" si="7"/>
        <v>8.2299999999999998E-2</v>
      </c>
      <c r="J23" s="186">
        <f t="shared" si="8"/>
        <v>0.91769999999999996</v>
      </c>
      <c r="M23" s="228">
        <v>0.97750000000000004</v>
      </c>
      <c r="N23" s="194">
        <v>2025</v>
      </c>
      <c r="O23" s="242">
        <f t="shared" si="10"/>
        <v>18303.892234293809</v>
      </c>
      <c r="P23" s="242">
        <v>2380.4156164383562</v>
      </c>
      <c r="Q23" s="242">
        <v>92.356164383561648</v>
      </c>
      <c r="R23" s="242">
        <f t="shared" si="11"/>
        <v>15923.476617855455</v>
      </c>
      <c r="S23" s="243">
        <f t="shared" si="12"/>
        <v>0.13004969576790104</v>
      </c>
      <c r="T23" s="245">
        <f t="shared" si="9"/>
        <v>2.3018796150918481</v>
      </c>
      <c r="U23" s="243">
        <f t="shared" si="13"/>
        <v>8.2299999999999998E-2</v>
      </c>
      <c r="V23" s="194">
        <v>8000</v>
      </c>
      <c r="W23" s="213">
        <v>5000</v>
      </c>
      <c r="AC23" s="232">
        <f t="shared" si="1"/>
        <v>-600</v>
      </c>
      <c r="AD23" s="233">
        <f t="shared" si="2"/>
        <v>1220000</v>
      </c>
      <c r="AE23" s="234">
        <f t="shared" si="3"/>
        <v>5000</v>
      </c>
      <c r="AF23" s="224">
        <f t="shared" si="4"/>
        <v>11.862500000000001</v>
      </c>
      <c r="AG23" s="225">
        <f t="shared" si="5"/>
        <v>11.862500000000001</v>
      </c>
      <c r="AH23" s="186">
        <f t="shared" si="6"/>
        <v>-0.32980225988700557</v>
      </c>
    </row>
    <row r="24" spans="3:34" x14ac:dyDescent="0.25">
      <c r="C24" t="s">
        <v>502</v>
      </c>
      <c r="E24" s="194">
        <v>8.8000000000000007</v>
      </c>
      <c r="F24" s="194">
        <v>2.82</v>
      </c>
      <c r="G24">
        <f>+E24*94.66%</f>
        <v>8.3300800000000006</v>
      </c>
      <c r="H24">
        <f t="shared" si="0"/>
        <v>0.46992000000000012</v>
      </c>
      <c r="I24" s="186">
        <f t="shared" si="7"/>
        <v>0.9466</v>
      </c>
      <c r="J24" s="186">
        <f t="shared" si="8"/>
        <v>5.340000000000001E-2</v>
      </c>
      <c r="M24" s="228">
        <v>0.7712</v>
      </c>
      <c r="N24" s="194">
        <v>2039</v>
      </c>
      <c r="O24" s="242">
        <f t="shared" si="10"/>
        <v>3090.1880736891835</v>
      </c>
      <c r="P24" s="242">
        <v>2982.4176438356171</v>
      </c>
      <c r="Q24" s="242">
        <v>0.62506849315068491</v>
      </c>
      <c r="R24" s="242">
        <f t="shared" si="11"/>
        <v>107.77042985356636</v>
      </c>
      <c r="S24" s="243">
        <f t="shared" si="12"/>
        <v>0.96512496091381716</v>
      </c>
      <c r="T24" s="245">
        <f t="shared" si="9"/>
        <v>8.4930996560415917</v>
      </c>
      <c r="U24" s="243">
        <f t="shared" si="13"/>
        <v>0.9466</v>
      </c>
      <c r="V24" s="194">
        <v>3000</v>
      </c>
      <c r="W24" s="213">
        <v>2000</v>
      </c>
      <c r="X24" s="194">
        <v>1100</v>
      </c>
      <c r="Y24" s="194">
        <v>800</v>
      </c>
      <c r="AC24" s="232">
        <f t="shared" si="1"/>
        <v>-150</v>
      </c>
      <c r="AD24" s="233">
        <f t="shared" si="2"/>
        <v>305850</v>
      </c>
      <c r="AE24" s="234">
        <f t="shared" si="3"/>
        <v>0</v>
      </c>
      <c r="AF24" s="224">
        <f t="shared" si="4"/>
        <v>10.4025</v>
      </c>
      <c r="AG24" s="225">
        <f t="shared" si="5"/>
        <v>9.8823749999999997</v>
      </c>
      <c r="AH24" s="186">
        <f t="shared" si="6"/>
        <v>0.12299715909090897</v>
      </c>
    </row>
    <row r="25" spans="3:34" x14ac:dyDescent="0.25">
      <c r="C25" t="s">
        <v>503</v>
      </c>
      <c r="E25" s="194">
        <v>1.1399999999999999</v>
      </c>
      <c r="F25" s="194">
        <v>0.47</v>
      </c>
      <c r="G25">
        <f>+E25*93.12%</f>
        <v>1.0615679999999998</v>
      </c>
      <c r="H25">
        <f t="shared" si="0"/>
        <v>7.8432000000000057E-2</v>
      </c>
      <c r="I25" s="186">
        <f t="shared" si="7"/>
        <v>0.93119999999999992</v>
      </c>
      <c r="J25" s="186">
        <f t="shared" si="8"/>
        <v>6.8800000000000056E-2</v>
      </c>
      <c r="M25" s="228">
        <v>0.73509999999999998</v>
      </c>
      <c r="N25" s="194">
        <v>2033</v>
      </c>
      <c r="O25" s="242">
        <f t="shared" si="10"/>
        <v>1290.1837175247995</v>
      </c>
      <c r="P25" s="242">
        <v>1266.3858904109591</v>
      </c>
      <c r="Q25" s="242">
        <v>0.13802739726027391</v>
      </c>
      <c r="R25" s="242">
        <f t="shared" si="11"/>
        <v>23.797827113840331</v>
      </c>
      <c r="S25" s="243">
        <f t="shared" si="12"/>
        <v>0.98155469892342451</v>
      </c>
      <c r="T25" s="245">
        <f t="shared" si="9"/>
        <v>1.1189723567727039</v>
      </c>
      <c r="U25" s="243">
        <f t="shared" si="13"/>
        <v>0.93119999999999992</v>
      </c>
      <c r="V25" s="205">
        <v>1000</v>
      </c>
      <c r="W25" s="213">
        <v>300</v>
      </c>
      <c r="X25" s="194">
        <v>100</v>
      </c>
      <c r="AC25" s="232">
        <f t="shared" si="1"/>
        <v>-90</v>
      </c>
      <c r="AD25" s="233">
        <f t="shared" si="2"/>
        <v>182716.66666666666</v>
      </c>
      <c r="AE25" s="234">
        <f t="shared" si="3"/>
        <v>-253.33333333334303</v>
      </c>
      <c r="AF25" s="224">
        <f t="shared" si="4"/>
        <v>1.7714666666666437</v>
      </c>
      <c r="AG25" s="225">
        <f t="shared" si="5"/>
        <v>1.5737583333405851</v>
      </c>
      <c r="AH25" s="186">
        <f t="shared" si="6"/>
        <v>0.38048976608823271</v>
      </c>
    </row>
    <row r="26" spans="3:34" x14ac:dyDescent="0.25">
      <c r="C26" t="s">
        <v>504</v>
      </c>
      <c r="E26" s="194">
        <v>1.31</v>
      </c>
      <c r="F26" s="194">
        <v>0.37</v>
      </c>
      <c r="G26">
        <f>+E26*95.34%</f>
        <v>1.2489540000000001</v>
      </c>
      <c r="H26">
        <f t="shared" si="0"/>
        <v>6.1045999999999934E-2</v>
      </c>
      <c r="I26" s="186">
        <f t="shared" si="7"/>
        <v>0.95340000000000003</v>
      </c>
      <c r="J26" s="186">
        <f t="shared" si="8"/>
        <v>4.6599999999999947E-2</v>
      </c>
      <c r="M26" s="228">
        <v>0.34710000000000002</v>
      </c>
      <c r="N26" s="194">
        <v>2053</v>
      </c>
      <c r="O26" s="242">
        <f t="shared" si="10"/>
        <v>483.05330278696272</v>
      </c>
      <c r="P26" s="242">
        <v>435.87805479452061</v>
      </c>
      <c r="Q26" s="242">
        <v>0.27361643835616434</v>
      </c>
      <c r="R26" s="242">
        <f t="shared" si="11"/>
        <v>47.175247992442124</v>
      </c>
      <c r="S26" s="243">
        <f t="shared" si="12"/>
        <v>0.90233945670122573</v>
      </c>
      <c r="T26" s="245">
        <f t="shared" si="9"/>
        <v>1.1820646882786057</v>
      </c>
      <c r="U26" s="243">
        <f t="shared" si="13"/>
        <v>0.95340000000000003</v>
      </c>
      <c r="V26" s="205">
        <v>480</v>
      </c>
      <c r="W26" s="205">
        <v>280</v>
      </c>
      <c r="X26" s="194">
        <v>125</v>
      </c>
      <c r="Y26">
        <v>90</v>
      </c>
      <c r="Z26">
        <v>50</v>
      </c>
      <c r="AA26">
        <v>30</v>
      </c>
      <c r="AB26">
        <v>25</v>
      </c>
      <c r="AC26" s="232">
        <f t="shared" si="1"/>
        <v>-13.857142857142858</v>
      </c>
      <c r="AD26" s="233">
        <f t="shared" si="2"/>
        <v>28353.571428571428</v>
      </c>
      <c r="AE26" s="234">
        <f t="shared" si="3"/>
        <v>-95.142857142858702</v>
      </c>
      <c r="AF26" s="224">
        <f t="shared" si="4"/>
        <v>2.3178021428571336</v>
      </c>
      <c r="AG26" s="225">
        <f t="shared" si="5"/>
        <v>1.6080075</v>
      </c>
      <c r="AH26" s="186">
        <f t="shared" si="6"/>
        <v>0.22748664122137402</v>
      </c>
    </row>
    <row r="27" spans="3:34" x14ac:dyDescent="0.25">
      <c r="C27" t="s">
        <v>505</v>
      </c>
      <c r="E27" s="194">
        <v>4.72</v>
      </c>
      <c r="F27" s="194">
        <v>7.45</v>
      </c>
      <c r="G27">
        <f>+E27*73.7%</f>
        <v>3.47864</v>
      </c>
      <c r="H27">
        <f t="shared" si="0"/>
        <v>1.2413599999999998</v>
      </c>
      <c r="I27" s="186">
        <f t="shared" si="7"/>
        <v>0.73699999999999999</v>
      </c>
      <c r="J27" s="186">
        <f t="shared" si="8"/>
        <v>0.26299999999999996</v>
      </c>
      <c r="M27" s="228">
        <v>0.91449999999999998</v>
      </c>
      <c r="N27" s="194">
        <v>2030</v>
      </c>
      <c r="O27" s="242">
        <f t="shared" si="10"/>
        <v>4583.6177808219181</v>
      </c>
      <c r="P27" s="242">
        <v>4583.6177808219181</v>
      </c>
      <c r="Q27" s="242">
        <v>0</v>
      </c>
      <c r="R27" s="242">
        <f t="shared" si="11"/>
        <v>0</v>
      </c>
      <c r="S27" s="243">
        <f t="shared" si="12"/>
        <v>1</v>
      </c>
      <c r="T27" s="245">
        <f t="shared" si="9"/>
        <v>4.72</v>
      </c>
      <c r="U27" s="243">
        <f t="shared" si="13"/>
        <v>0.73699999999999999</v>
      </c>
      <c r="V27" s="205">
        <v>3750</v>
      </c>
      <c r="W27" s="205">
        <v>1750</v>
      </c>
      <c r="X27" s="194">
        <v>750</v>
      </c>
      <c r="AC27" s="232">
        <f t="shared" si="1"/>
        <v>-300</v>
      </c>
      <c r="AD27" s="233">
        <f t="shared" si="2"/>
        <v>609583.33333333337</v>
      </c>
      <c r="AE27" s="234">
        <f t="shared" si="3"/>
        <v>583.33333333337214</v>
      </c>
      <c r="AF27" s="224">
        <f t="shared" si="4"/>
        <v>7.9083333333334034</v>
      </c>
      <c r="AG27" s="225">
        <f t="shared" si="5"/>
        <v>7.6041666666376591</v>
      </c>
      <c r="AH27" s="186">
        <f t="shared" si="6"/>
        <v>0.61105225988086009</v>
      </c>
    </row>
    <row r="28" spans="3:34" x14ac:dyDescent="0.25">
      <c r="C28" t="s">
        <v>506</v>
      </c>
      <c r="E28" s="194">
        <v>11.27</v>
      </c>
      <c r="F28" s="194">
        <v>0</v>
      </c>
      <c r="G28">
        <v>11.27</v>
      </c>
      <c r="H28">
        <f t="shared" si="0"/>
        <v>0</v>
      </c>
      <c r="I28" s="186">
        <f t="shared" si="7"/>
        <v>1</v>
      </c>
      <c r="J28" s="186">
        <f t="shared" si="8"/>
        <v>0</v>
      </c>
      <c r="M28" s="228">
        <v>0.4148</v>
      </c>
      <c r="N28" s="194">
        <v>2067</v>
      </c>
      <c r="O28" s="242">
        <f t="shared" si="10"/>
        <v>0</v>
      </c>
      <c r="P28" s="242"/>
      <c r="Q28" s="242"/>
      <c r="R28" s="242">
        <f t="shared" si="11"/>
        <v>0</v>
      </c>
      <c r="S28" s="243" t="e">
        <f t="shared" si="12"/>
        <v>#DIV/0!</v>
      </c>
      <c r="T28" s="245"/>
      <c r="U28" s="243">
        <f t="shared" si="13"/>
        <v>1</v>
      </c>
      <c r="V28" s="205">
        <v>2500</v>
      </c>
      <c r="W28" s="214">
        <v>1750</v>
      </c>
      <c r="X28" s="194">
        <v>1250</v>
      </c>
      <c r="Y28">
        <v>800</v>
      </c>
      <c r="Z28">
        <v>600</v>
      </c>
      <c r="AA28">
        <v>400</v>
      </c>
      <c r="AB28">
        <v>300</v>
      </c>
      <c r="AC28" s="232">
        <f t="shared" si="1"/>
        <v>-71.071428571428569</v>
      </c>
      <c r="AD28" s="233">
        <f t="shared" si="2"/>
        <v>145716.07142857142</v>
      </c>
      <c r="AE28" s="234">
        <f t="shared" si="3"/>
        <v>-1188.5714285714203</v>
      </c>
      <c r="AF28" s="224">
        <f t="shared" si="4"/>
        <v>11.248778571428643</v>
      </c>
      <c r="AG28" s="225">
        <f t="shared" si="5"/>
        <v>8.2619705357080697</v>
      </c>
      <c r="AH28" s="186">
        <f t="shared" si="6"/>
        <v>-0.2669058974527001</v>
      </c>
    </row>
    <row r="29" spans="3:34" x14ac:dyDescent="0.25">
      <c r="C29" t="s">
        <v>318</v>
      </c>
      <c r="E29" s="194">
        <v>3.84</v>
      </c>
      <c r="F29" s="194">
        <v>23.03</v>
      </c>
      <c r="H29">
        <f t="shared" si="0"/>
        <v>3.84</v>
      </c>
      <c r="I29" s="186">
        <f t="shared" si="7"/>
        <v>0</v>
      </c>
      <c r="J29" s="186">
        <f t="shared" si="8"/>
        <v>1</v>
      </c>
      <c r="M29" s="228">
        <v>0.84079999999999999</v>
      </c>
      <c r="N29" s="194">
        <v>2028</v>
      </c>
      <c r="O29" s="242">
        <f t="shared" si="10"/>
        <v>5516.7123287671238</v>
      </c>
      <c r="P29" s="242">
        <v>0</v>
      </c>
      <c r="Q29" s="242">
        <v>31.996931506849318</v>
      </c>
      <c r="R29" s="242">
        <f t="shared" si="11"/>
        <v>5516.7123287671238</v>
      </c>
      <c r="S29" s="243">
        <f t="shared" si="12"/>
        <v>0</v>
      </c>
      <c r="T29" s="245">
        <f t="shared" si="9"/>
        <v>0</v>
      </c>
      <c r="U29" s="243">
        <f t="shared" si="13"/>
        <v>0</v>
      </c>
      <c r="V29" s="205">
        <v>5300</v>
      </c>
      <c r="W29" s="205">
        <v>1250</v>
      </c>
      <c r="AC29" s="232">
        <f t="shared" si="1"/>
        <v>-810</v>
      </c>
      <c r="AD29" s="233">
        <f t="shared" si="2"/>
        <v>1641500</v>
      </c>
      <c r="AE29" s="234">
        <f t="shared" si="3"/>
        <v>-1180</v>
      </c>
      <c r="AF29" s="224">
        <f t="shared" si="4"/>
        <v>6.0152000000000001</v>
      </c>
      <c r="AG29" s="225">
        <f t="shared" si="5"/>
        <v>6.0152000000000001</v>
      </c>
      <c r="AH29" s="186">
        <f t="shared" si="6"/>
        <v>0.5664583333333334</v>
      </c>
    </row>
    <row r="30" spans="3:34" x14ac:dyDescent="0.25">
      <c r="C30" t="s">
        <v>508</v>
      </c>
      <c r="E30" s="194">
        <v>14.92</v>
      </c>
      <c r="F30">
        <v>0.24</v>
      </c>
      <c r="G30">
        <f>+E30*99.74%</f>
        <v>14.881207999999999</v>
      </c>
      <c r="H30">
        <f t="shared" si="0"/>
        <v>3.8792000000000826E-2</v>
      </c>
      <c r="I30" s="186">
        <f t="shared" si="7"/>
        <v>0.99739999999999995</v>
      </c>
      <c r="J30" s="186">
        <f t="shared" si="8"/>
        <v>2.6000000000000554E-3</v>
      </c>
      <c r="M30" s="228">
        <v>0.75690000000000002</v>
      </c>
      <c r="N30" s="194">
        <v>2043</v>
      </c>
      <c r="O30" s="242">
        <f t="shared" si="10"/>
        <v>12434.820158715165</v>
      </c>
      <c r="P30" s="242">
        <v>12274.754027397263</v>
      </c>
      <c r="Q30" s="242">
        <v>0.92838356164383562</v>
      </c>
      <c r="R30" s="242">
        <f t="shared" si="11"/>
        <v>160.06613131790269</v>
      </c>
      <c r="S30" s="243">
        <f t="shared" si="12"/>
        <v>0.98712758775158338</v>
      </c>
      <c r="T30" s="245">
        <f t="shared" si="9"/>
        <v>14.727943609253623</v>
      </c>
      <c r="U30" s="243">
        <f t="shared" si="13"/>
        <v>0.99739999999999995</v>
      </c>
      <c r="V30" s="205">
        <v>10000</v>
      </c>
      <c r="W30" s="205">
        <v>4000</v>
      </c>
      <c r="X30" s="194">
        <v>1000</v>
      </c>
      <c r="Y30">
        <v>500</v>
      </c>
      <c r="Z30">
        <v>400</v>
      </c>
      <c r="AC30" s="232">
        <f t="shared" si="1"/>
        <v>-454</v>
      </c>
      <c r="AD30" s="233">
        <f t="shared" si="2"/>
        <v>924800</v>
      </c>
      <c r="AE30" s="234">
        <f t="shared" si="3"/>
        <v>-2722</v>
      </c>
      <c r="AF30" s="224">
        <f t="shared" si="4"/>
        <v>30.549405</v>
      </c>
      <c r="AG30" s="225">
        <f t="shared" si="5"/>
        <v>20.979105000000001</v>
      </c>
      <c r="AH30" s="186">
        <f t="shared" si="6"/>
        <v>0.40610623324396788</v>
      </c>
    </row>
    <row r="31" spans="3:34" x14ac:dyDescent="0.25">
      <c r="C31" t="s">
        <v>80</v>
      </c>
      <c r="E31" s="194">
        <v>43.42</v>
      </c>
      <c r="F31" s="194">
        <v>16.96</v>
      </c>
      <c r="G31">
        <f>+E31*93.49%</f>
        <v>40.593358000000002</v>
      </c>
      <c r="H31">
        <f t="shared" si="0"/>
        <v>2.8266419999999997</v>
      </c>
      <c r="I31" s="186">
        <f t="shared" si="7"/>
        <v>0.93490000000000006</v>
      </c>
      <c r="J31" s="186">
        <f t="shared" si="8"/>
        <v>6.5099999999999991E-2</v>
      </c>
      <c r="M31" s="228">
        <v>0.76190000000000002</v>
      </c>
      <c r="N31" s="194">
        <v>2042</v>
      </c>
      <c r="O31" s="242">
        <f t="shared" si="10"/>
        <v>30543.691030703827</v>
      </c>
      <c r="P31" s="242">
        <v>30059.642849315071</v>
      </c>
      <c r="Q31" s="242">
        <v>2.8074794520547948</v>
      </c>
      <c r="R31" s="242">
        <f t="shared" si="11"/>
        <v>484.04818138875771</v>
      </c>
      <c r="S31" s="243">
        <f t="shared" si="12"/>
        <v>0.98415226958319579</v>
      </c>
      <c r="T31" s="245">
        <f t="shared" si="9"/>
        <v>42.731891545302361</v>
      </c>
      <c r="U31" s="243">
        <f t="shared" si="13"/>
        <v>0.93490000000000006</v>
      </c>
      <c r="V31" s="205">
        <v>25000</v>
      </c>
      <c r="W31" s="205">
        <v>12500</v>
      </c>
      <c r="X31" s="194">
        <v>4500</v>
      </c>
      <c r="Y31">
        <v>2500</v>
      </c>
      <c r="Z31">
        <v>1000</v>
      </c>
      <c r="AC31" s="232">
        <f t="shared" si="1"/>
        <v>-1160</v>
      </c>
      <c r="AD31" s="233">
        <f t="shared" si="2"/>
        <v>2363900</v>
      </c>
      <c r="AE31" s="234">
        <f t="shared" si="3"/>
        <v>-4820</v>
      </c>
      <c r="AF31" s="224">
        <f t="shared" si="4"/>
        <v>81.0227</v>
      </c>
      <c r="AG31" s="225">
        <f t="shared" si="5"/>
        <v>63.758200000000002</v>
      </c>
      <c r="AH31" s="186">
        <f t="shared" si="6"/>
        <v>0.46840626439428834</v>
      </c>
    </row>
    <row r="32" spans="3:34" x14ac:dyDescent="0.25">
      <c r="C32" t="s">
        <v>449</v>
      </c>
      <c r="E32" s="194">
        <v>7.3</v>
      </c>
      <c r="F32" s="194">
        <v>4.54</v>
      </c>
      <c r="G32">
        <f>+E32*89.64%</f>
        <v>6.5437199999999995</v>
      </c>
      <c r="H32">
        <f t="shared" si="0"/>
        <v>0.75628000000000029</v>
      </c>
      <c r="I32" s="186">
        <f t="shared" si="7"/>
        <v>0.89639999999999997</v>
      </c>
      <c r="J32" s="186">
        <f t="shared" si="8"/>
        <v>0.10360000000000004</v>
      </c>
      <c r="M32" s="228">
        <v>0.77580000000000005</v>
      </c>
      <c r="N32" s="194">
        <v>2044</v>
      </c>
      <c r="O32" s="242">
        <f t="shared" si="10"/>
        <v>1962.0646849315069</v>
      </c>
      <c r="P32" s="242">
        <v>1962.0646849315069</v>
      </c>
      <c r="Q32" s="242">
        <v>0</v>
      </c>
      <c r="R32" s="242">
        <f t="shared" si="11"/>
        <v>0</v>
      </c>
      <c r="S32" s="243">
        <f t="shared" si="12"/>
        <v>1</v>
      </c>
      <c r="T32" s="245">
        <f t="shared" si="9"/>
        <v>7.3</v>
      </c>
      <c r="U32" s="243">
        <f t="shared" si="13"/>
        <v>0.89639999999999997</v>
      </c>
      <c r="V32" s="205">
        <v>2000</v>
      </c>
      <c r="W32" s="205">
        <v>1250</v>
      </c>
      <c r="X32" s="194">
        <v>900</v>
      </c>
      <c r="Y32">
        <v>600</v>
      </c>
      <c r="Z32">
        <v>400</v>
      </c>
      <c r="AC32" s="232">
        <f t="shared" si="1"/>
        <v>-77</v>
      </c>
      <c r="AD32" s="233">
        <f t="shared" si="2"/>
        <v>157340</v>
      </c>
      <c r="AE32" s="234">
        <f t="shared" si="3"/>
        <v>-48</v>
      </c>
      <c r="AF32" s="224">
        <f t="shared" si="4"/>
        <v>8.5497599999999991</v>
      </c>
      <c r="AG32" s="225">
        <f t="shared" si="5"/>
        <v>7.6737599999999997</v>
      </c>
      <c r="AH32" s="186">
        <f t="shared" si="6"/>
        <v>5.1199999999999982E-2</v>
      </c>
    </row>
    <row r="33" spans="3:34" x14ac:dyDescent="0.25">
      <c r="C33" t="s">
        <v>509</v>
      </c>
      <c r="E33" s="194">
        <v>0.57999999999999996</v>
      </c>
      <c r="F33" s="194">
        <v>0</v>
      </c>
      <c r="G33">
        <f>+E33</f>
        <v>0.57999999999999996</v>
      </c>
      <c r="H33">
        <f t="shared" si="0"/>
        <v>0</v>
      </c>
      <c r="I33" s="186">
        <f t="shared" si="7"/>
        <v>1</v>
      </c>
      <c r="J33" s="186">
        <f t="shared" si="8"/>
        <v>0</v>
      </c>
      <c r="M33" s="228">
        <v>0.91830000000000001</v>
      </c>
      <c r="N33" s="194">
        <v>2031</v>
      </c>
      <c r="O33" s="242">
        <f t="shared" si="10"/>
        <v>60862.479471894199</v>
      </c>
      <c r="P33" s="242">
        <v>26403.53284931507</v>
      </c>
      <c r="Q33" s="242">
        <v>199.86189041095895</v>
      </c>
      <c r="R33" s="242">
        <f t="shared" si="11"/>
        <v>34458.946622579126</v>
      </c>
      <c r="S33" s="243">
        <f t="shared" si="12"/>
        <v>0.43382282612242257</v>
      </c>
      <c r="T33" s="245">
        <f t="shared" si="9"/>
        <v>0.25161723915100509</v>
      </c>
      <c r="U33" s="243">
        <f t="shared" si="13"/>
        <v>1</v>
      </c>
      <c r="V33" s="205">
        <v>500</v>
      </c>
      <c r="W33" s="205">
        <v>200</v>
      </c>
      <c r="X33" s="194">
        <v>80</v>
      </c>
      <c r="AC33" s="232">
        <f t="shared" si="1"/>
        <v>-42</v>
      </c>
      <c r="AD33" s="233">
        <f t="shared" si="2"/>
        <v>85310</v>
      </c>
      <c r="AE33" s="234">
        <f t="shared" si="3"/>
        <v>8</v>
      </c>
      <c r="AF33" s="224">
        <f t="shared" si="4"/>
        <v>1.0198100000000001</v>
      </c>
      <c r="AG33" s="225">
        <f t="shared" si="5"/>
        <v>0.95958500000000002</v>
      </c>
      <c r="AH33" s="186">
        <f t="shared" si="6"/>
        <v>0.65445689655172434</v>
      </c>
    </row>
    <row r="34" spans="3:34" x14ac:dyDescent="0.25">
      <c r="C34" t="s">
        <v>510</v>
      </c>
      <c r="E34" s="194">
        <v>130.22</v>
      </c>
      <c r="F34" s="194">
        <v>284</v>
      </c>
      <c r="G34">
        <f>+E34*63.65%</f>
        <v>82.88503</v>
      </c>
      <c r="H34">
        <f t="shared" si="0"/>
        <v>47.334969999999998</v>
      </c>
      <c r="I34" s="186">
        <f t="shared" si="7"/>
        <v>0.63649999999999995</v>
      </c>
      <c r="J34" s="186">
        <f t="shared" si="8"/>
        <v>0.36349999999999999</v>
      </c>
      <c r="M34" s="228">
        <v>0.63759999999999994</v>
      </c>
      <c r="N34" s="194">
        <v>2018</v>
      </c>
      <c r="O34" s="242">
        <f t="shared" si="10"/>
        <v>604.87506849315071</v>
      </c>
      <c r="P34" s="242">
        <v>604.87506849315071</v>
      </c>
      <c r="Q34" s="242">
        <v>0</v>
      </c>
      <c r="R34" s="242">
        <f t="shared" si="11"/>
        <v>0</v>
      </c>
      <c r="S34" s="243">
        <f t="shared" si="12"/>
        <v>1</v>
      </c>
      <c r="T34" s="245">
        <f t="shared" si="9"/>
        <v>130.22</v>
      </c>
      <c r="U34" s="243">
        <f t="shared" si="13"/>
        <v>0.63649999999999995</v>
      </c>
      <c r="V34" s="205">
        <v>55000</v>
      </c>
      <c r="W34" s="205">
        <v>31000</v>
      </c>
      <c r="X34" s="194">
        <v>15000</v>
      </c>
      <c r="Y34">
        <v>8000</v>
      </c>
      <c r="AC34" s="232">
        <f t="shared" si="1"/>
        <v>-3140</v>
      </c>
      <c r="AD34" s="233">
        <f t="shared" si="2"/>
        <v>6393600</v>
      </c>
      <c r="AE34" s="234">
        <f t="shared" si="3"/>
        <v>57080</v>
      </c>
      <c r="AF34" s="224">
        <f t="shared" si="4"/>
        <v>-40.909199999999998</v>
      </c>
      <c r="AG34" s="225">
        <f t="shared" si="5"/>
        <v>-39.376199999999997</v>
      </c>
      <c r="AH34" s="186">
        <f t="shared" si="6"/>
        <v>-1.3023821225618186</v>
      </c>
    </row>
    <row r="35" spans="3:34" x14ac:dyDescent="0.25">
      <c r="C35" t="s">
        <v>344</v>
      </c>
      <c r="E35" s="194">
        <v>24.09</v>
      </c>
      <c r="F35" s="194">
        <v>0</v>
      </c>
      <c r="G35">
        <f>+E35</f>
        <v>24.09</v>
      </c>
      <c r="H35">
        <f t="shared" si="0"/>
        <v>0</v>
      </c>
      <c r="I35" s="186">
        <f t="shared" si="7"/>
        <v>1</v>
      </c>
      <c r="J35" s="186">
        <f t="shared" si="8"/>
        <v>0</v>
      </c>
      <c r="M35" s="228">
        <v>0.73740000000000006</v>
      </c>
      <c r="N35" s="194">
        <v>2064</v>
      </c>
      <c r="O35" s="242">
        <f t="shared" si="10"/>
        <v>4233.3403013698626</v>
      </c>
      <c r="P35" s="242">
        <v>4233.3403013698626</v>
      </c>
      <c r="Q35" s="242">
        <v>0</v>
      </c>
      <c r="R35" s="242">
        <f t="shared" si="11"/>
        <v>0</v>
      </c>
      <c r="S35" s="243">
        <f t="shared" si="12"/>
        <v>1</v>
      </c>
      <c r="T35" s="245">
        <f t="shared" si="9"/>
        <v>24.09</v>
      </c>
      <c r="U35" s="243">
        <f t="shared" si="13"/>
        <v>1</v>
      </c>
      <c r="V35" s="205">
        <v>4000</v>
      </c>
      <c r="W35" s="205">
        <v>3500</v>
      </c>
      <c r="X35" s="194">
        <v>2500</v>
      </c>
      <c r="Y35">
        <v>2000</v>
      </c>
      <c r="Z35">
        <v>1500</v>
      </c>
      <c r="AA35">
        <v>1250</v>
      </c>
      <c r="AB35">
        <v>1000</v>
      </c>
      <c r="AC35" s="232">
        <f t="shared" si="1"/>
        <v>-103.57142857142857</v>
      </c>
      <c r="AD35" s="233">
        <f t="shared" si="2"/>
        <v>213017.85714285713</v>
      </c>
      <c r="AE35" s="234">
        <f t="shared" si="3"/>
        <v>-753.57142857144936</v>
      </c>
      <c r="AF35" s="224">
        <f t="shared" si="4"/>
        <v>26.068821428571262</v>
      </c>
      <c r="AG35" s="225">
        <f t="shared" si="5"/>
        <v>24.491499999999998</v>
      </c>
      <c r="AH35" s="186">
        <f t="shared" si="6"/>
        <v>1.6666666666666611E-2</v>
      </c>
    </row>
    <row r="36" spans="3:34" x14ac:dyDescent="0.25">
      <c r="C36" t="s">
        <v>511</v>
      </c>
      <c r="E36" s="194">
        <v>5.59</v>
      </c>
      <c r="F36" s="194">
        <v>0</v>
      </c>
      <c r="G36">
        <f>+E36</f>
        <v>5.59</v>
      </c>
      <c r="H36">
        <f t="shared" si="0"/>
        <v>0</v>
      </c>
      <c r="I36" s="186">
        <f t="shared" si="7"/>
        <v>1</v>
      </c>
      <c r="J36" s="186">
        <f t="shared" si="8"/>
        <v>0</v>
      </c>
      <c r="M36" s="228">
        <v>0.69210000000000005</v>
      </c>
      <c r="N36" s="194">
        <v>2047</v>
      </c>
      <c r="O36" s="242">
        <f t="shared" si="10"/>
        <v>1476.5236986301368</v>
      </c>
      <c r="P36" s="242">
        <v>1476.5236986301368</v>
      </c>
      <c r="Q36" s="242">
        <v>0</v>
      </c>
      <c r="R36" s="242">
        <f t="shared" si="11"/>
        <v>0</v>
      </c>
      <c r="S36" s="243">
        <f t="shared" si="12"/>
        <v>1</v>
      </c>
      <c r="T36" s="245">
        <f t="shared" si="9"/>
        <v>5.59</v>
      </c>
      <c r="U36" s="243">
        <f t="shared" si="13"/>
        <v>1</v>
      </c>
      <c r="V36" s="205">
        <v>1400</v>
      </c>
      <c r="W36" s="205">
        <v>1250</v>
      </c>
      <c r="X36" s="194">
        <v>750</v>
      </c>
      <c r="Y36">
        <v>450</v>
      </c>
      <c r="Z36">
        <v>250</v>
      </c>
      <c r="AC36" s="232">
        <f t="shared" si="1"/>
        <v>-62</v>
      </c>
      <c r="AD36" s="233">
        <f t="shared" si="2"/>
        <v>126680</v>
      </c>
      <c r="AE36" s="234">
        <f t="shared" si="3"/>
        <v>-234</v>
      </c>
      <c r="AF36" s="224">
        <f t="shared" si="4"/>
        <v>5.7454650000000003</v>
      </c>
      <c r="AG36" s="225">
        <f t="shared" si="5"/>
        <v>5.9425650000000001</v>
      </c>
      <c r="AH36" s="186">
        <f t="shared" si="6"/>
        <v>6.307066189624333E-2</v>
      </c>
    </row>
    <row r="37" spans="3:34" x14ac:dyDescent="0.25">
      <c r="C37" t="s">
        <v>345</v>
      </c>
      <c r="E37" s="194">
        <v>16.52</v>
      </c>
      <c r="F37" s="194">
        <v>1.91</v>
      </c>
      <c r="G37">
        <f>+E37*98.07%</f>
        <v>16.201163999999999</v>
      </c>
      <c r="H37">
        <f t="shared" si="0"/>
        <v>0.31883600000000101</v>
      </c>
      <c r="I37" s="186">
        <f t="shared" si="7"/>
        <v>0.98069999999999991</v>
      </c>
      <c r="J37" s="186">
        <f t="shared" si="8"/>
        <v>1.930000000000006E-2</v>
      </c>
      <c r="M37" s="228">
        <v>0.73629999999999995</v>
      </c>
      <c r="N37" s="194">
        <v>2060</v>
      </c>
      <c r="O37" s="242">
        <f t="shared" si="10"/>
        <v>4154.1152328767121</v>
      </c>
      <c r="P37" s="242">
        <v>4154.1152328767121</v>
      </c>
      <c r="Q37" s="242">
        <v>0</v>
      </c>
      <c r="R37" s="242">
        <f t="shared" si="11"/>
        <v>0</v>
      </c>
      <c r="S37" s="243">
        <f t="shared" si="12"/>
        <v>1</v>
      </c>
      <c r="T37" s="245">
        <f t="shared" si="9"/>
        <v>16.52</v>
      </c>
      <c r="U37" s="243">
        <f t="shared" si="13"/>
        <v>0.98069999999999991</v>
      </c>
      <c r="V37" s="205">
        <v>4000</v>
      </c>
      <c r="W37" s="205">
        <v>3000</v>
      </c>
      <c r="X37" s="194">
        <v>1800</v>
      </c>
      <c r="Y37">
        <v>1250</v>
      </c>
      <c r="Z37">
        <v>1000</v>
      </c>
      <c r="AA37">
        <v>750</v>
      </c>
      <c r="AC37" s="232">
        <f t="shared" si="1"/>
        <v>-130.28571428571428</v>
      </c>
      <c r="AD37" s="233">
        <f t="shared" si="2"/>
        <v>266772.38095238095</v>
      </c>
      <c r="AE37" s="234">
        <f t="shared" si="3"/>
        <v>-1616.1904761904734</v>
      </c>
      <c r="AF37" s="224">
        <f t="shared" si="4"/>
        <v>17.401809523809543</v>
      </c>
      <c r="AG37" s="225">
        <f t="shared" si="5"/>
        <v>14.447047619026899</v>
      </c>
      <c r="AH37" s="186">
        <f t="shared" si="6"/>
        <v>-0.12548137899352912</v>
      </c>
    </row>
    <row r="38" spans="3:34" x14ac:dyDescent="0.25">
      <c r="C38" t="s">
        <v>512</v>
      </c>
      <c r="E38" s="194">
        <v>90.73</v>
      </c>
      <c r="F38" s="194">
        <v>10.09</v>
      </c>
      <c r="G38">
        <f>+E38*98.15%</f>
        <v>89.051495000000003</v>
      </c>
      <c r="H38">
        <f t="shared" si="0"/>
        <v>1.6785050000000012</v>
      </c>
      <c r="I38" s="186">
        <f t="shared" si="7"/>
        <v>0.98150000000000004</v>
      </c>
      <c r="J38" s="186">
        <f t="shared" si="8"/>
        <v>1.8500000000000013E-2</v>
      </c>
      <c r="M38" s="228">
        <v>0.50829999999999997</v>
      </c>
      <c r="N38" s="194">
        <v>2061</v>
      </c>
      <c r="O38" s="242">
        <f t="shared" si="10"/>
        <v>18271.22222390175</v>
      </c>
      <c r="P38" s="242">
        <v>17849.99879452055</v>
      </c>
      <c r="Q38" s="242">
        <v>2.4430958904109596</v>
      </c>
      <c r="R38" s="242">
        <f t="shared" si="11"/>
        <v>421.22342938119994</v>
      </c>
      <c r="S38" s="243">
        <f t="shared" si="12"/>
        <v>0.97694607266994049</v>
      </c>
      <c r="T38" s="245">
        <f t="shared" si="9"/>
        <v>88.638317173343708</v>
      </c>
      <c r="U38" s="243">
        <f t="shared" si="13"/>
        <v>0.98150000000000004</v>
      </c>
      <c r="V38" s="205">
        <v>19000</v>
      </c>
      <c r="W38" s="205">
        <v>16000</v>
      </c>
      <c r="X38" s="194">
        <v>10000</v>
      </c>
      <c r="Y38">
        <v>7000</v>
      </c>
      <c r="Z38">
        <v>4500</v>
      </c>
      <c r="AA38">
        <v>3000</v>
      </c>
      <c r="AB38">
        <v>2000</v>
      </c>
    </row>
    <row r="39" spans="3:34" x14ac:dyDescent="0.25">
      <c r="H39">
        <f t="shared" si="0"/>
        <v>0</v>
      </c>
      <c r="I39" s="186"/>
      <c r="J39" s="186"/>
    </row>
    <row r="40" spans="3:34" x14ac:dyDescent="0.25">
      <c r="C40" t="s">
        <v>519</v>
      </c>
      <c r="E40" s="194" t="s">
        <v>527</v>
      </c>
      <c r="F40" s="194">
        <v>23.75</v>
      </c>
      <c r="G40" t="e">
        <f>+E40*0.74%</f>
        <v>#VALUE!</v>
      </c>
      <c r="H40" t="e">
        <f t="shared" si="0"/>
        <v>#VALUE!</v>
      </c>
      <c r="I40" s="186" t="e">
        <f t="shared" si="7"/>
        <v>#VALUE!</v>
      </c>
      <c r="J40" s="186" t="e">
        <f t="shared" si="8"/>
        <v>#VALUE!</v>
      </c>
      <c r="M40" s="228">
        <v>0.30909999999999999</v>
      </c>
      <c r="N40" s="194">
        <v>2049</v>
      </c>
      <c r="O40" s="194"/>
      <c r="P40" s="194"/>
      <c r="Q40" s="194"/>
      <c r="R40" s="194"/>
      <c r="S40" s="194"/>
      <c r="T40" s="194"/>
      <c r="U40" s="194"/>
    </row>
    <row r="41" spans="3:34" x14ac:dyDescent="0.25">
      <c r="C41" t="s">
        <v>520</v>
      </c>
      <c r="E41" s="194">
        <v>6.24</v>
      </c>
      <c r="F41" s="194">
        <v>11.14</v>
      </c>
      <c r="G41">
        <f>+E41*70.26%</f>
        <v>4.3842240000000006</v>
      </c>
      <c r="H41">
        <f t="shared" si="0"/>
        <v>1.8557759999999996</v>
      </c>
      <c r="I41" s="186">
        <f t="shared" si="7"/>
        <v>0.70260000000000011</v>
      </c>
      <c r="J41" s="186">
        <f t="shared" si="8"/>
        <v>0.29739999999999994</v>
      </c>
      <c r="M41" s="228">
        <v>0.77259999999999995</v>
      </c>
      <c r="N41" s="194">
        <v>2041</v>
      </c>
      <c r="O41" s="194"/>
      <c r="P41" s="194"/>
      <c r="Q41" s="194"/>
      <c r="R41" s="194"/>
      <c r="S41" s="194"/>
      <c r="T41" s="194"/>
      <c r="U41" s="194"/>
      <c r="V41" s="205">
        <v>3700</v>
      </c>
    </row>
    <row r="42" spans="3:34" x14ac:dyDescent="0.25">
      <c r="C42" t="s">
        <v>521</v>
      </c>
      <c r="E42" s="194">
        <v>18.809999999999999</v>
      </c>
      <c r="F42" s="194">
        <v>112.29</v>
      </c>
      <c r="G42">
        <f>+E42*0.49%</f>
        <v>9.2168999999999987E-2</v>
      </c>
      <c r="H42">
        <f t="shared" si="0"/>
        <v>18.717831</v>
      </c>
      <c r="I42" s="186">
        <f t="shared" si="7"/>
        <v>4.8999999999999998E-3</v>
      </c>
      <c r="J42" s="186">
        <f t="shared" si="8"/>
        <v>0.9951000000000001</v>
      </c>
      <c r="M42" s="228">
        <v>0.29599999999999999</v>
      </c>
      <c r="N42" s="194">
        <v>2042</v>
      </c>
      <c r="O42" s="194"/>
      <c r="P42" s="194"/>
      <c r="Q42" s="194"/>
      <c r="R42" s="194"/>
      <c r="S42" s="194"/>
      <c r="T42" s="194"/>
      <c r="U42" s="194"/>
      <c r="V42" s="205">
        <v>4500</v>
      </c>
    </row>
    <row r="43" spans="3:34" x14ac:dyDescent="0.25">
      <c r="C43" t="s">
        <v>522</v>
      </c>
      <c r="E43" s="194">
        <v>9.35</v>
      </c>
      <c r="F43" s="194">
        <v>4.1900000000000004</v>
      </c>
      <c r="G43">
        <f>+E43*92.53%</f>
        <v>8.6515550000000001</v>
      </c>
      <c r="H43">
        <f t="shared" si="0"/>
        <v>0.69844499999999954</v>
      </c>
      <c r="I43" s="186">
        <f t="shared" si="7"/>
        <v>0.92530000000000001</v>
      </c>
      <c r="J43" s="186">
        <f t="shared" si="8"/>
        <v>7.4699999999999947E-2</v>
      </c>
      <c r="M43" s="228">
        <v>0.51980000000000004</v>
      </c>
      <c r="N43" s="194">
        <v>2068</v>
      </c>
      <c r="O43" s="194"/>
      <c r="P43" s="194"/>
      <c r="Q43" s="194"/>
      <c r="R43" s="194"/>
      <c r="S43" s="194"/>
      <c r="T43" s="194"/>
      <c r="U43" s="194"/>
      <c r="V43" s="194">
        <v>1800</v>
      </c>
    </row>
    <row r="45" spans="3:34" x14ac:dyDescent="0.25">
      <c r="V45">
        <f>+SUM(V6:V43)</f>
        <v>529280</v>
      </c>
      <c r="W45" t="s">
        <v>528</v>
      </c>
    </row>
    <row r="46" spans="3:34" x14ac:dyDescent="0.25">
      <c r="V46">
        <f>+V45*365</f>
        <v>193187200</v>
      </c>
      <c r="W46" t="s">
        <v>528</v>
      </c>
    </row>
    <row r="47" spans="3:34" x14ac:dyDescent="0.25">
      <c r="C47" t="s">
        <v>513</v>
      </c>
      <c r="E47" s="212">
        <f>+SUM(E5:E38)+E42</f>
        <v>1984.8899999999996</v>
      </c>
      <c r="F47" t="s">
        <v>488</v>
      </c>
      <c r="V47" s="229">
        <f>+V46/1000000</f>
        <v>193.18719999999999</v>
      </c>
      <c r="W47" t="s">
        <v>529</v>
      </c>
    </row>
    <row r="48" spans="3:34" x14ac:dyDescent="0.25">
      <c r="C48" t="s">
        <v>514</v>
      </c>
      <c r="E48">
        <f>+SUM(G5:G38)+G42</f>
        <v>1725.2950059999996</v>
      </c>
      <c r="F48" t="s">
        <v>488</v>
      </c>
      <c r="G48" s="186">
        <f>+E48/E47</f>
        <v>0.86921441792744181</v>
      </c>
      <c r="H48" s="186"/>
      <c r="I48" s="186"/>
      <c r="J48" s="186"/>
      <c r="K48" s="186"/>
      <c r="L48" s="186"/>
      <c r="M48" s="212"/>
      <c r="V48" s="219" t="s">
        <v>530</v>
      </c>
      <c r="W48" s="219" t="s">
        <v>531</v>
      </c>
    </row>
    <row r="49" spans="3:23" x14ac:dyDescent="0.25">
      <c r="C49" t="s">
        <v>517</v>
      </c>
      <c r="E49" s="212">
        <f>+E47-E48</f>
        <v>259.59499400000004</v>
      </c>
      <c r="F49" t="s">
        <v>488</v>
      </c>
      <c r="G49" s="186">
        <f>+E49/E47</f>
        <v>0.13078558207255822</v>
      </c>
      <c r="H49" s="186"/>
      <c r="I49" s="186"/>
      <c r="J49" s="186"/>
      <c r="K49" s="186"/>
      <c r="L49" s="186"/>
      <c r="V49" s="236">
        <f>+V47*V54</f>
        <v>25.114335999999998</v>
      </c>
      <c r="W49" s="237">
        <f>+V47*(100%-V54)</f>
        <v>168.07286399999998</v>
      </c>
    </row>
    <row r="50" spans="3:23" x14ac:dyDescent="0.25">
      <c r="C50" t="s">
        <v>515</v>
      </c>
      <c r="E50" s="212">
        <f>+SUM(F5:F38)</f>
        <v>1635.0453439999999</v>
      </c>
      <c r="F50" t="s">
        <v>516</v>
      </c>
      <c r="V50" s="246">
        <f>+E49/V49</f>
        <v>10.33652627726252</v>
      </c>
    </row>
    <row r="51" spans="3:23" x14ac:dyDescent="0.25">
      <c r="E51" s="212">
        <f>+E50*(1000000000)</f>
        <v>1635045344000</v>
      </c>
      <c r="F51" t="s">
        <v>526</v>
      </c>
    </row>
    <row r="52" spans="3:23" x14ac:dyDescent="0.25">
      <c r="E52" s="212">
        <f>+(E51/G1)/1000000</f>
        <v>272.62588454016498</v>
      </c>
      <c r="N52" t="s">
        <v>518</v>
      </c>
      <c r="V52" t="s">
        <v>532</v>
      </c>
    </row>
    <row r="53" spans="3:23" x14ac:dyDescent="0.25">
      <c r="N53">
        <v>71</v>
      </c>
      <c r="V53" s="235">
        <v>0.87</v>
      </c>
    </row>
    <row r="54" spans="3:23" x14ac:dyDescent="0.25">
      <c r="E54">
        <f>+E50*1000</f>
        <v>1635045.3439999998</v>
      </c>
      <c r="F54" t="s">
        <v>523</v>
      </c>
      <c r="N54">
        <v>29</v>
      </c>
      <c r="V54" s="235">
        <v>0.13</v>
      </c>
    </row>
    <row r="55" spans="3:23" x14ac:dyDescent="0.25">
      <c r="E55">
        <f>+E54/11</f>
        <v>148640.4858181818</v>
      </c>
      <c r="F55" t="s">
        <v>523</v>
      </c>
      <c r="Q55" t="s">
        <v>540</v>
      </c>
      <c r="R55" s="212">
        <f>+E47</f>
        <v>1984.8899999999996</v>
      </c>
      <c r="S55" t="s">
        <v>488</v>
      </c>
    </row>
    <row r="56" spans="3:23" x14ac:dyDescent="0.25">
      <c r="E56">
        <f>+E55/365</f>
        <v>407.234207721046</v>
      </c>
      <c r="F56" t="s">
        <v>523</v>
      </c>
      <c r="Q56" t="s">
        <v>541</v>
      </c>
      <c r="R56" s="245">
        <f>+SUM(T6:T38)</f>
        <v>1737.7836457184026</v>
      </c>
    </row>
    <row r="58" spans="3:23" x14ac:dyDescent="0.25">
      <c r="E58">
        <v>1000</v>
      </c>
      <c r="F58" t="s">
        <v>523</v>
      </c>
    </row>
    <row r="59" spans="3:23" x14ac:dyDescent="0.25">
      <c r="E59">
        <f>+E58*365</f>
        <v>365000</v>
      </c>
    </row>
    <row r="60" spans="3:23" x14ac:dyDescent="0.25">
      <c r="E60" s="229">
        <f>+E54/E59</f>
        <v>4.4795762849315066</v>
      </c>
      <c r="F60" t="s">
        <v>524</v>
      </c>
    </row>
    <row r="61" spans="3:23" x14ac:dyDescent="0.25">
      <c r="E61" s="223"/>
    </row>
  </sheetData>
  <mergeCells count="1">
    <mergeCell ref="AF3:AG3"/>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825AB-0F37-47F2-B729-BE4992C6F666}">
  <dimension ref="C1:Y61"/>
  <sheetViews>
    <sheetView showGridLines="0" topLeftCell="B14" zoomScale="115" zoomScaleNormal="115" workbookViewId="0">
      <selection activeCell="F4" sqref="F4:F43"/>
    </sheetView>
  </sheetViews>
  <sheetFormatPr baseColWidth="10" defaultRowHeight="15" x14ac:dyDescent="0.25"/>
  <cols>
    <col min="3" max="4" width="17.5703125" customWidth="1"/>
    <col min="5" max="5" width="21.42578125" customWidth="1"/>
    <col min="6" max="6" width="13.42578125" bestFit="1" customWidth="1"/>
    <col min="14" max="14" width="14.140625" customWidth="1"/>
    <col min="21" max="21" width="14.140625" customWidth="1"/>
    <col min="22" max="22" width="21.28515625" customWidth="1"/>
    <col min="23" max="23" width="18.85546875" customWidth="1"/>
    <col min="24" max="24" width="20.28515625" customWidth="1"/>
  </cols>
  <sheetData>
    <row r="1" spans="3:25" x14ac:dyDescent="0.25">
      <c r="F1" t="s">
        <v>507</v>
      </c>
      <c r="G1" s="229">
        <f>+F29*1000/E29</f>
        <v>5997.3958333333339</v>
      </c>
      <c r="H1" s="229" t="s">
        <v>525</v>
      </c>
      <c r="I1" s="229"/>
      <c r="J1" s="229"/>
      <c r="N1">
        <v>1</v>
      </c>
      <c r="O1" t="s">
        <v>484</v>
      </c>
      <c r="P1">
        <v>5800</v>
      </c>
      <c r="Q1" t="s">
        <v>485</v>
      </c>
    </row>
    <row r="3" spans="3:25" x14ac:dyDescent="0.25">
      <c r="M3" s="207" t="s">
        <v>479</v>
      </c>
      <c r="N3" s="208"/>
      <c r="O3" s="208"/>
      <c r="P3" s="208"/>
      <c r="Q3" s="208"/>
      <c r="R3" s="208"/>
      <c r="S3" s="209"/>
      <c r="W3" s="272" t="s">
        <v>488</v>
      </c>
      <c r="X3" s="272"/>
    </row>
    <row r="4" spans="3:25" x14ac:dyDescent="0.25">
      <c r="E4" s="216" t="s">
        <v>475</v>
      </c>
      <c r="F4" s="217" t="s">
        <v>478</v>
      </c>
      <c r="G4" s="218" t="s">
        <v>477</v>
      </c>
      <c r="H4" s="218" t="s">
        <v>476</v>
      </c>
      <c r="I4" s="218"/>
      <c r="J4" s="218"/>
      <c r="K4" s="219" t="s">
        <v>480</v>
      </c>
      <c r="L4" s="216" t="s">
        <v>481</v>
      </c>
      <c r="M4" s="216">
        <v>2020</v>
      </c>
      <c r="N4" s="217">
        <v>2025</v>
      </c>
      <c r="O4" s="217">
        <v>2030</v>
      </c>
      <c r="P4" s="217">
        <v>2035</v>
      </c>
      <c r="Q4" s="217">
        <v>2040</v>
      </c>
      <c r="R4" s="217">
        <v>2045</v>
      </c>
      <c r="S4" s="218">
        <v>2050</v>
      </c>
      <c r="T4" s="220" t="s">
        <v>483</v>
      </c>
      <c r="U4" s="221" t="s">
        <v>482</v>
      </c>
      <c r="V4" s="222" t="s">
        <v>486</v>
      </c>
      <c r="W4" s="220" t="s">
        <v>487</v>
      </c>
      <c r="X4" s="221" t="s">
        <v>489</v>
      </c>
      <c r="Y4" s="183" t="s">
        <v>490</v>
      </c>
    </row>
    <row r="5" spans="3:25" x14ac:dyDescent="0.25">
      <c r="C5" t="s">
        <v>301</v>
      </c>
      <c r="E5" s="197">
        <v>28.68</v>
      </c>
      <c r="F5" s="198">
        <v>172.07</v>
      </c>
      <c r="G5" s="199">
        <v>0</v>
      </c>
      <c r="H5">
        <f t="shared" ref="H5:H43" si="0">+E5-G5</f>
        <v>28.68</v>
      </c>
      <c r="I5" s="186">
        <f>+G5/E5</f>
        <v>0</v>
      </c>
      <c r="J5" s="186">
        <f>+H5/E5</f>
        <v>1</v>
      </c>
      <c r="K5" s="200">
        <v>0.96079999999999999</v>
      </c>
      <c r="L5" s="201">
        <v>2027</v>
      </c>
      <c r="M5" s="202">
        <v>20000</v>
      </c>
      <c r="N5" s="203">
        <v>12500</v>
      </c>
      <c r="O5" s="206"/>
      <c r="P5" s="206"/>
      <c r="Q5" s="206"/>
      <c r="R5" s="206"/>
      <c r="S5" s="199"/>
      <c r="T5" s="210">
        <f t="shared" ref="T5:T20" si="1">+SLOPE(M5:S5,$M$4:$S$4)</f>
        <v>-1500</v>
      </c>
      <c r="U5" s="204">
        <f t="shared" ref="U5:U20" si="2">+INTERCEPT(M5:S5,$M$4:$S$4)</f>
        <v>3050000</v>
      </c>
      <c r="V5" s="211">
        <f t="shared" ref="V5:V20" si="3">+T5*L5+U5</f>
        <v>9500</v>
      </c>
      <c r="W5" s="224">
        <f t="shared" ref="W5:W20" si="4">+((L5-$M$4)*V5+((L5-$M$4)*(M5-V5))/2)*365/1000000</f>
        <v>37.686250000000001</v>
      </c>
      <c r="X5" s="225">
        <f t="shared" ref="X5:X20" si="5">+((T5*L5*L5/2)+(U5*L5)-(T5*$M$4*$M$4/2)-(U5*$M$4))*365/1000000</f>
        <v>37.686250000000001</v>
      </c>
      <c r="Y5" s="186">
        <f t="shared" ref="Y5:Y37" si="6">+(X5-E5)/E5</f>
        <v>0.31402545327754539</v>
      </c>
    </row>
    <row r="6" spans="3:25" x14ac:dyDescent="0.25">
      <c r="C6" t="s">
        <v>342</v>
      </c>
      <c r="E6" s="194">
        <v>89.87</v>
      </c>
      <c r="F6" s="194">
        <v>0</v>
      </c>
      <c r="G6" s="194">
        <f>+E6</f>
        <v>89.87</v>
      </c>
      <c r="H6">
        <f t="shared" si="0"/>
        <v>0</v>
      </c>
      <c r="I6" s="186">
        <f t="shared" ref="I6:I43" si="7">+G6/E6</f>
        <v>1</v>
      </c>
      <c r="J6" s="186">
        <f t="shared" ref="J6:J43" si="8">+H6/E6</f>
        <v>0</v>
      </c>
      <c r="K6" s="196">
        <v>0.24629999999999999</v>
      </c>
      <c r="L6" s="194">
        <v>2048</v>
      </c>
      <c r="M6" s="194">
        <v>10000</v>
      </c>
      <c r="N6" s="194">
        <v>16000</v>
      </c>
      <c r="O6" s="194">
        <v>11000</v>
      </c>
      <c r="P6" s="194">
        <v>7500</v>
      </c>
      <c r="Q6" s="194">
        <v>5500</v>
      </c>
      <c r="R6" s="194">
        <v>4000</v>
      </c>
      <c r="S6" s="194"/>
      <c r="T6" s="210">
        <f t="shared" si="1"/>
        <v>-371.42857142857144</v>
      </c>
      <c r="U6" s="204">
        <f t="shared" si="2"/>
        <v>763928.57142857148</v>
      </c>
      <c r="V6" s="211">
        <f t="shared" si="3"/>
        <v>3242.8571428571595</v>
      </c>
      <c r="W6" s="226">
        <f t="shared" si="4"/>
        <v>67.671000000000092</v>
      </c>
      <c r="X6" s="227">
        <f t="shared" si="5"/>
        <v>86.286000000000001</v>
      </c>
      <c r="Y6" s="186">
        <f t="shared" si="6"/>
        <v>-3.9879826415934162E-2</v>
      </c>
    </row>
    <row r="7" spans="3:25" x14ac:dyDescent="0.25">
      <c r="C7" t="s">
        <v>491</v>
      </c>
      <c r="E7" s="194">
        <v>1.37</v>
      </c>
      <c r="F7" s="230">
        <f>+E7*1.12%</f>
        <v>1.5344000000000003E-2</v>
      </c>
      <c r="G7" s="195">
        <f>+E7*98.88%</f>
        <v>1.3546559999999999</v>
      </c>
      <c r="H7">
        <f t="shared" si="0"/>
        <v>1.5344000000000246E-2</v>
      </c>
      <c r="I7" s="186">
        <f t="shared" si="7"/>
        <v>0.98879999999999979</v>
      </c>
      <c r="J7" s="186">
        <f t="shared" si="8"/>
        <v>1.1200000000000179E-2</v>
      </c>
      <c r="K7" s="196">
        <v>0.62780000000000002</v>
      </c>
      <c r="L7" s="194">
        <v>2041</v>
      </c>
      <c r="M7" s="194">
        <v>400</v>
      </c>
      <c r="N7" s="194">
        <v>280</v>
      </c>
      <c r="O7" s="194">
        <v>200</v>
      </c>
      <c r="P7" s="194">
        <v>120</v>
      </c>
      <c r="Q7" s="194">
        <v>80</v>
      </c>
      <c r="R7" s="194"/>
      <c r="S7" s="194"/>
      <c r="T7" s="210">
        <f t="shared" si="1"/>
        <v>-16</v>
      </c>
      <c r="U7" s="204">
        <f t="shared" si="2"/>
        <v>32696</v>
      </c>
      <c r="V7" s="211">
        <f t="shared" si="3"/>
        <v>40</v>
      </c>
      <c r="W7" s="226">
        <f t="shared" si="4"/>
        <v>1.6862999999999999</v>
      </c>
      <c r="X7" s="227">
        <f t="shared" si="5"/>
        <v>1.59432</v>
      </c>
      <c r="Y7" s="186">
        <f t="shared" si="6"/>
        <v>0.16373722627737214</v>
      </c>
    </row>
    <row r="8" spans="3:25" x14ac:dyDescent="0.25">
      <c r="C8" t="s">
        <v>346</v>
      </c>
      <c r="E8" s="194">
        <v>2.5</v>
      </c>
      <c r="F8" s="194">
        <v>7.0000000000000007E-2</v>
      </c>
      <c r="G8" s="194">
        <f>+E8*99.53%</f>
        <v>2.4882499999999999</v>
      </c>
      <c r="H8">
        <f t="shared" si="0"/>
        <v>1.1750000000000149E-2</v>
      </c>
      <c r="I8" s="186">
        <f t="shared" si="7"/>
        <v>0.99529999999999996</v>
      </c>
      <c r="J8" s="186">
        <f t="shared" si="8"/>
        <v>4.70000000000006E-3</v>
      </c>
      <c r="K8" s="196">
        <v>0.93179999999999996</v>
      </c>
      <c r="L8" s="194">
        <v>2029</v>
      </c>
      <c r="M8" s="194">
        <v>2950</v>
      </c>
      <c r="N8" s="194">
        <v>750</v>
      </c>
      <c r="O8" s="194"/>
      <c r="P8" s="194"/>
      <c r="Q8" s="194"/>
      <c r="R8" s="194"/>
      <c r="S8" s="194"/>
      <c r="T8" s="210">
        <f t="shared" si="1"/>
        <v>-440</v>
      </c>
      <c r="U8" s="204">
        <f t="shared" si="2"/>
        <v>891750</v>
      </c>
      <c r="V8" s="211">
        <f t="shared" si="3"/>
        <v>-1010</v>
      </c>
      <c r="W8" s="226">
        <f t="shared" si="4"/>
        <v>3.1864499999999998</v>
      </c>
      <c r="X8" s="227">
        <f t="shared" si="5"/>
        <v>3.1864499999999998</v>
      </c>
      <c r="Y8" s="186">
        <f t="shared" si="6"/>
        <v>0.27457999999999994</v>
      </c>
    </row>
    <row r="9" spans="3:25" x14ac:dyDescent="0.25">
      <c r="C9" t="s">
        <v>311</v>
      </c>
      <c r="E9" s="194">
        <v>14.92</v>
      </c>
      <c r="F9" s="194">
        <v>89.54</v>
      </c>
      <c r="G9" s="194">
        <v>0</v>
      </c>
      <c r="H9">
        <f t="shared" si="0"/>
        <v>14.92</v>
      </c>
      <c r="I9" s="186">
        <f t="shared" si="7"/>
        <v>0</v>
      </c>
      <c r="J9" s="186">
        <f t="shared" si="8"/>
        <v>1</v>
      </c>
      <c r="K9" s="196">
        <v>0.69059999999999999</v>
      </c>
      <c r="L9" s="194">
        <v>2039</v>
      </c>
      <c r="M9" s="194">
        <v>2500</v>
      </c>
      <c r="N9" s="213">
        <v>3000</v>
      </c>
      <c r="O9" s="194">
        <v>2100</v>
      </c>
      <c r="P9" s="194">
        <v>1800</v>
      </c>
      <c r="Q9" s="194"/>
      <c r="R9" s="194"/>
      <c r="S9" s="194"/>
      <c r="T9" s="210">
        <f t="shared" si="1"/>
        <v>-60</v>
      </c>
      <c r="U9" s="204">
        <f t="shared" si="2"/>
        <v>124000</v>
      </c>
      <c r="V9" s="211">
        <f t="shared" si="3"/>
        <v>1660</v>
      </c>
      <c r="W9" s="226">
        <f t="shared" si="4"/>
        <v>14.424799999999999</v>
      </c>
      <c r="X9" s="227">
        <f t="shared" si="5"/>
        <v>15.46505</v>
      </c>
      <c r="Y9" s="186">
        <f t="shared" si="6"/>
        <v>3.653150134048256E-2</v>
      </c>
    </row>
    <row r="10" spans="3:25" x14ac:dyDescent="0.25">
      <c r="C10" t="s">
        <v>492</v>
      </c>
      <c r="E10" s="194">
        <v>153.29</v>
      </c>
      <c r="F10" s="194">
        <v>0</v>
      </c>
      <c r="G10" s="194">
        <v>153.29</v>
      </c>
      <c r="H10">
        <f t="shared" si="0"/>
        <v>0</v>
      </c>
      <c r="I10" s="186">
        <f t="shared" si="7"/>
        <v>1</v>
      </c>
      <c r="J10" s="186">
        <f t="shared" si="8"/>
        <v>0</v>
      </c>
      <c r="K10" s="196">
        <v>0.70950000000000002</v>
      </c>
      <c r="L10" s="194">
        <v>2036</v>
      </c>
      <c r="M10" s="194">
        <v>65000</v>
      </c>
      <c r="N10" s="213">
        <v>37500</v>
      </c>
      <c r="O10" s="194">
        <v>22500</v>
      </c>
      <c r="P10" s="194">
        <v>12500</v>
      </c>
      <c r="Q10" s="194"/>
      <c r="R10" s="194"/>
      <c r="S10" s="194"/>
      <c r="T10" s="232">
        <f t="shared" si="1"/>
        <v>-3450</v>
      </c>
      <c r="U10" s="233">
        <f t="shared" si="2"/>
        <v>7029250</v>
      </c>
      <c r="V10" s="234">
        <f t="shared" si="3"/>
        <v>5050</v>
      </c>
      <c r="W10" s="224">
        <f t="shared" si="4"/>
        <v>204.54599999999999</v>
      </c>
      <c r="X10" s="225">
        <f t="shared" si="5"/>
        <v>190.67599999999999</v>
      </c>
      <c r="Y10" s="186">
        <f t="shared" si="6"/>
        <v>0.24389066475308238</v>
      </c>
    </row>
    <row r="11" spans="3:25" x14ac:dyDescent="0.25">
      <c r="C11" t="s">
        <v>493</v>
      </c>
      <c r="E11" s="194">
        <v>0.88</v>
      </c>
      <c r="F11" s="194">
        <v>0</v>
      </c>
      <c r="G11" s="194">
        <v>0.88</v>
      </c>
      <c r="H11">
        <f t="shared" si="0"/>
        <v>0</v>
      </c>
      <c r="I11" s="186">
        <f t="shared" si="7"/>
        <v>1</v>
      </c>
      <c r="J11" s="186">
        <f t="shared" si="8"/>
        <v>0</v>
      </c>
      <c r="K11" s="196">
        <v>0.69830000000000003</v>
      </c>
      <c r="L11" s="194">
        <v>2042</v>
      </c>
      <c r="M11" s="194">
        <v>150</v>
      </c>
      <c r="N11" s="231">
        <v>180</v>
      </c>
      <c r="O11" s="194">
        <v>105</v>
      </c>
      <c r="P11" s="194">
        <v>90</v>
      </c>
      <c r="Q11" s="194">
        <v>60</v>
      </c>
      <c r="R11" s="194"/>
      <c r="S11" s="194"/>
      <c r="T11" s="232">
        <f t="shared" si="1"/>
        <v>-5.4</v>
      </c>
      <c r="U11" s="233">
        <f t="shared" si="2"/>
        <v>11079</v>
      </c>
      <c r="V11" s="234">
        <f t="shared" si="3"/>
        <v>52.199999999998909</v>
      </c>
      <c r="W11" s="224">
        <f t="shared" si="4"/>
        <v>0.81183299999999559</v>
      </c>
      <c r="X11" s="225">
        <f t="shared" si="5"/>
        <v>0.89614799999972805</v>
      </c>
      <c r="Y11" s="186">
        <f t="shared" si="6"/>
        <v>1.8349999999690961E-2</v>
      </c>
    </row>
    <row r="12" spans="3:25" x14ac:dyDescent="0.25">
      <c r="C12" t="s">
        <v>494</v>
      </c>
      <c r="E12" s="194">
        <v>543.79</v>
      </c>
      <c r="F12" s="194">
        <v>0</v>
      </c>
      <c r="G12" s="194">
        <f>+E12</f>
        <v>543.79</v>
      </c>
      <c r="H12">
        <f t="shared" si="0"/>
        <v>0</v>
      </c>
      <c r="I12" s="186">
        <f t="shared" si="7"/>
        <v>1</v>
      </c>
      <c r="J12" s="186">
        <f t="shared" si="8"/>
        <v>0</v>
      </c>
      <c r="K12" s="196">
        <v>0.31709999999999999</v>
      </c>
      <c r="L12" s="194">
        <v>2099</v>
      </c>
      <c r="M12" s="194">
        <v>40000</v>
      </c>
      <c r="N12" s="194"/>
      <c r="O12" s="194">
        <v>32500</v>
      </c>
      <c r="Q12" s="194">
        <v>27500</v>
      </c>
      <c r="R12" s="194"/>
      <c r="S12" s="194">
        <v>22500</v>
      </c>
      <c r="T12" s="232">
        <f t="shared" si="1"/>
        <v>-575</v>
      </c>
      <c r="U12" s="233">
        <f t="shared" si="2"/>
        <v>1200750</v>
      </c>
      <c r="V12" s="234">
        <f t="shared" si="3"/>
        <v>-6175</v>
      </c>
      <c r="W12" s="224">
        <f t="shared" si="4"/>
        <v>487.67193750000001</v>
      </c>
      <c r="X12" s="225">
        <f t="shared" si="5"/>
        <v>476.8588125</v>
      </c>
      <c r="Y12" s="186">
        <f t="shared" si="6"/>
        <v>-0.1230827847146876</v>
      </c>
    </row>
    <row r="13" spans="3:25" x14ac:dyDescent="0.25">
      <c r="C13" t="s">
        <v>29</v>
      </c>
      <c r="E13" s="194">
        <v>272.89999999999998</v>
      </c>
      <c r="F13" s="194">
        <v>0</v>
      </c>
      <c r="G13" s="194">
        <v>272.29000000000002</v>
      </c>
      <c r="H13">
        <f t="shared" si="0"/>
        <v>0.6099999999999568</v>
      </c>
      <c r="I13" s="186">
        <f t="shared" si="7"/>
        <v>0.99776474899230505</v>
      </c>
      <c r="J13" s="186">
        <f t="shared" si="8"/>
        <v>2.2352510076949681E-3</v>
      </c>
      <c r="K13" s="228">
        <v>0.71530000000000005</v>
      </c>
      <c r="L13" s="194">
        <v>2036</v>
      </c>
      <c r="M13" s="205">
        <v>105000</v>
      </c>
      <c r="N13" s="214">
        <v>75000</v>
      </c>
      <c r="O13" s="194">
        <v>40000</v>
      </c>
      <c r="P13" s="194">
        <v>25000</v>
      </c>
      <c r="T13" s="232">
        <f t="shared" si="1"/>
        <v>-5500</v>
      </c>
      <c r="U13" s="233">
        <f t="shared" si="2"/>
        <v>11212500</v>
      </c>
      <c r="V13" s="234">
        <f t="shared" si="3"/>
        <v>14500</v>
      </c>
      <c r="W13" s="224">
        <f t="shared" si="4"/>
        <v>348.94</v>
      </c>
      <c r="X13" s="225">
        <f t="shared" si="5"/>
        <v>341.64</v>
      </c>
      <c r="Y13" s="186">
        <f t="shared" si="6"/>
        <v>0.25188713814584102</v>
      </c>
    </row>
    <row r="14" spans="3:25" x14ac:dyDescent="0.25">
      <c r="C14" t="s">
        <v>345</v>
      </c>
      <c r="E14" s="194">
        <v>16.52</v>
      </c>
      <c r="F14" s="194">
        <v>1.61</v>
      </c>
      <c r="G14">
        <f>+E14*98.07%</f>
        <v>16.201163999999999</v>
      </c>
      <c r="H14">
        <f t="shared" si="0"/>
        <v>0.31883600000000101</v>
      </c>
      <c r="I14" s="186">
        <f t="shared" si="7"/>
        <v>0.98069999999999991</v>
      </c>
      <c r="J14" s="186">
        <f t="shared" si="8"/>
        <v>1.930000000000006E-2</v>
      </c>
      <c r="K14" s="228">
        <v>0.73629999999999995</v>
      </c>
      <c r="L14" s="194">
        <v>2060</v>
      </c>
      <c r="M14" s="194">
        <v>4000</v>
      </c>
      <c r="N14" s="194">
        <v>3000</v>
      </c>
      <c r="O14" s="194">
        <v>1800</v>
      </c>
      <c r="P14" s="194">
        <v>1000</v>
      </c>
      <c r="Q14" s="194">
        <v>900</v>
      </c>
      <c r="R14" s="194">
        <v>700</v>
      </c>
      <c r="S14" s="194">
        <v>500</v>
      </c>
      <c r="T14" s="232">
        <f t="shared" si="1"/>
        <v>-114.28571428571429</v>
      </c>
      <c r="U14" s="233">
        <f t="shared" si="2"/>
        <v>234271.42857142858</v>
      </c>
      <c r="V14" s="234">
        <f t="shared" si="3"/>
        <v>-1157.1428571428696</v>
      </c>
      <c r="W14" s="224">
        <f t="shared" si="4"/>
        <v>20.752857142857053</v>
      </c>
      <c r="X14" s="225">
        <f t="shared" si="5"/>
        <v>16.47714285712421</v>
      </c>
      <c r="Y14" s="186">
        <f t="shared" si="6"/>
        <v>-2.5942580433286396E-3</v>
      </c>
    </row>
    <row r="15" spans="3:25" x14ac:dyDescent="0.25">
      <c r="C15" t="s">
        <v>140</v>
      </c>
      <c r="E15" s="194">
        <v>21.91</v>
      </c>
      <c r="F15" s="194">
        <v>0</v>
      </c>
      <c r="G15">
        <f>+E15</f>
        <v>21.91</v>
      </c>
      <c r="H15">
        <f t="shared" si="0"/>
        <v>0</v>
      </c>
      <c r="I15" s="186">
        <f t="shared" si="7"/>
        <v>1</v>
      </c>
      <c r="J15" s="186">
        <f t="shared" si="8"/>
        <v>0</v>
      </c>
      <c r="K15" s="228">
        <v>0.78649999999999998</v>
      </c>
      <c r="L15" s="194">
        <v>2035</v>
      </c>
      <c r="M15" s="205">
        <v>10500</v>
      </c>
      <c r="N15" s="215">
        <v>6000</v>
      </c>
      <c r="O15" s="194">
        <v>2300</v>
      </c>
      <c r="P15" s="194">
        <v>1800</v>
      </c>
      <c r="T15" s="232">
        <f t="shared" si="1"/>
        <v>-596</v>
      </c>
      <c r="U15" s="233">
        <f t="shared" si="2"/>
        <v>1213540</v>
      </c>
      <c r="V15" s="234">
        <f t="shared" si="3"/>
        <v>680</v>
      </c>
      <c r="W15" s="224">
        <f t="shared" si="4"/>
        <v>30.605250000000002</v>
      </c>
      <c r="X15" s="225">
        <f t="shared" si="5"/>
        <v>28.196249999999999</v>
      </c>
      <c r="Y15" s="186">
        <f t="shared" si="6"/>
        <v>0.28691236878137832</v>
      </c>
    </row>
    <row r="16" spans="3:25" x14ac:dyDescent="0.25">
      <c r="C16" t="s">
        <v>495</v>
      </c>
      <c r="E16" s="194">
        <v>8.85</v>
      </c>
      <c r="F16" s="194">
        <v>0</v>
      </c>
      <c r="G16">
        <f>+E16</f>
        <v>8.85</v>
      </c>
      <c r="H16">
        <f t="shared" si="0"/>
        <v>0</v>
      </c>
      <c r="I16" s="186">
        <f t="shared" si="7"/>
        <v>1</v>
      </c>
      <c r="J16" s="186">
        <f t="shared" si="8"/>
        <v>0</v>
      </c>
      <c r="K16" s="228">
        <v>0.55530000000000002</v>
      </c>
      <c r="L16" s="194">
        <v>2052</v>
      </c>
      <c r="M16" s="205">
        <v>1600</v>
      </c>
      <c r="N16" s="205">
        <v>1500</v>
      </c>
      <c r="O16" s="194">
        <v>1100</v>
      </c>
      <c r="P16" s="194">
        <v>750</v>
      </c>
      <c r="Q16" s="194">
        <v>500</v>
      </c>
      <c r="R16" s="194">
        <v>250</v>
      </c>
      <c r="S16" s="194">
        <v>200</v>
      </c>
      <c r="T16" s="232">
        <f t="shared" si="1"/>
        <v>-52.142857142857146</v>
      </c>
      <c r="U16" s="233">
        <f t="shared" si="2"/>
        <v>106953.57142857143</v>
      </c>
      <c r="V16" s="234">
        <f t="shared" si="3"/>
        <v>-43.571428571434808</v>
      </c>
      <c r="W16" s="224">
        <f t="shared" si="4"/>
        <v>9.0895428571428205</v>
      </c>
      <c r="X16" s="225">
        <f t="shared" si="5"/>
        <v>9.2355428571459655</v>
      </c>
      <c r="Y16" s="186">
        <f t="shared" si="6"/>
        <v>4.3564164649261675E-2</v>
      </c>
    </row>
    <row r="17" spans="3:25" x14ac:dyDescent="0.25">
      <c r="C17" t="s">
        <v>61</v>
      </c>
      <c r="E17" s="194">
        <v>146.25</v>
      </c>
      <c r="F17" s="194">
        <v>0</v>
      </c>
      <c r="G17">
        <v>146.25</v>
      </c>
      <c r="H17">
        <f t="shared" si="0"/>
        <v>0</v>
      </c>
      <c r="I17" s="186">
        <f t="shared" si="7"/>
        <v>1</v>
      </c>
      <c r="J17" s="186">
        <f t="shared" si="8"/>
        <v>0</v>
      </c>
      <c r="K17" s="228">
        <v>0.58260000000000001</v>
      </c>
      <c r="L17" s="194">
        <v>2039</v>
      </c>
      <c r="M17" s="205">
        <v>50000</v>
      </c>
      <c r="N17" s="205">
        <v>35000</v>
      </c>
      <c r="O17" s="194">
        <v>20000</v>
      </c>
      <c r="P17" s="194">
        <v>12500</v>
      </c>
      <c r="T17" s="232">
        <f t="shared" si="1"/>
        <v>-2550</v>
      </c>
      <c r="U17" s="233">
        <f t="shared" si="2"/>
        <v>5199500</v>
      </c>
      <c r="V17" s="234">
        <f t="shared" si="3"/>
        <v>50</v>
      </c>
      <c r="W17" s="224">
        <f t="shared" si="4"/>
        <v>173.54837499999999</v>
      </c>
      <c r="X17" s="225">
        <f t="shared" si="5"/>
        <v>168.34712500000001</v>
      </c>
      <c r="Y17" s="186">
        <f t="shared" si="6"/>
        <v>0.15109145299145302</v>
      </c>
    </row>
    <row r="18" spans="3:25" x14ac:dyDescent="0.25">
      <c r="C18" t="s">
        <v>496</v>
      </c>
      <c r="E18" s="194">
        <v>89.99</v>
      </c>
      <c r="F18" s="194">
        <v>0</v>
      </c>
      <c r="G18">
        <f>+E18</f>
        <v>89.99</v>
      </c>
      <c r="H18">
        <f t="shared" si="0"/>
        <v>0</v>
      </c>
      <c r="I18" s="186">
        <f t="shared" si="7"/>
        <v>1</v>
      </c>
      <c r="J18" s="186">
        <f t="shared" si="8"/>
        <v>0</v>
      </c>
      <c r="K18" s="228">
        <v>0.42830000000000001</v>
      </c>
      <c r="L18" s="194">
        <v>2044</v>
      </c>
      <c r="M18" s="205">
        <v>20000</v>
      </c>
      <c r="N18" s="205">
        <v>17500</v>
      </c>
      <c r="O18" s="194">
        <v>12500</v>
      </c>
      <c r="P18" s="194">
        <v>7600</v>
      </c>
      <c r="Q18" s="194">
        <v>6000</v>
      </c>
      <c r="T18" s="232">
        <f t="shared" si="1"/>
        <v>-758</v>
      </c>
      <c r="U18" s="233">
        <f t="shared" si="2"/>
        <v>1551460</v>
      </c>
      <c r="V18" s="234">
        <f t="shared" si="3"/>
        <v>2108</v>
      </c>
      <c r="W18" s="224">
        <f t="shared" si="4"/>
        <v>96.833039999999997</v>
      </c>
      <c r="X18" s="225">
        <f t="shared" si="5"/>
        <v>98.147040000000004</v>
      </c>
      <c r="Y18" s="186">
        <f t="shared" si="6"/>
        <v>9.0643849316590835E-2</v>
      </c>
    </row>
    <row r="19" spans="3:25" x14ac:dyDescent="0.25">
      <c r="C19" t="s">
        <v>497</v>
      </c>
      <c r="E19" s="194">
        <v>86.96</v>
      </c>
      <c r="F19" s="194">
        <v>357.74</v>
      </c>
      <c r="G19">
        <f>+E19*68.57%</f>
        <v>59.628471999999995</v>
      </c>
      <c r="H19">
        <f t="shared" si="0"/>
        <v>27.331527999999999</v>
      </c>
      <c r="I19" s="186">
        <f t="shared" si="7"/>
        <v>0.68569999999999998</v>
      </c>
      <c r="J19" s="186">
        <f t="shared" si="8"/>
        <v>0.31430000000000002</v>
      </c>
      <c r="K19" s="228">
        <v>0.87790000000000001</v>
      </c>
      <c r="L19" s="194">
        <v>2035</v>
      </c>
      <c r="M19" s="205">
        <v>42000</v>
      </c>
      <c r="N19" s="205">
        <v>22000</v>
      </c>
      <c r="O19" s="194">
        <v>16000</v>
      </c>
      <c r="P19" s="194">
        <v>8000</v>
      </c>
      <c r="T19" s="232">
        <f t="shared" si="1"/>
        <v>-2160</v>
      </c>
      <c r="U19" s="233">
        <f t="shared" si="2"/>
        <v>4401400</v>
      </c>
      <c r="V19" s="234">
        <f t="shared" si="3"/>
        <v>5800</v>
      </c>
      <c r="W19" s="224">
        <f t="shared" si="4"/>
        <v>130.85249999999999</v>
      </c>
      <c r="X19" s="225">
        <f t="shared" si="5"/>
        <v>120.45</v>
      </c>
      <c r="Y19" s="186">
        <f t="shared" si="6"/>
        <v>0.38511959521619149</v>
      </c>
    </row>
    <row r="20" spans="3:25" x14ac:dyDescent="0.25">
      <c r="C20" t="s">
        <v>498</v>
      </c>
      <c r="E20" s="194">
        <v>5.73</v>
      </c>
      <c r="F20" s="194">
        <v>0</v>
      </c>
      <c r="G20">
        <f>+E20</f>
        <v>5.73</v>
      </c>
      <c r="H20">
        <f t="shared" si="0"/>
        <v>0</v>
      </c>
      <c r="I20" s="186">
        <f t="shared" si="7"/>
        <v>1</v>
      </c>
      <c r="J20" s="186">
        <f t="shared" si="8"/>
        <v>0</v>
      </c>
      <c r="K20" s="228">
        <v>0.61819999999999997</v>
      </c>
      <c r="L20" s="194">
        <v>2050</v>
      </c>
      <c r="M20" s="205">
        <v>2250</v>
      </c>
      <c r="N20" s="205">
        <v>1250</v>
      </c>
      <c r="O20" s="194">
        <v>600</v>
      </c>
      <c r="P20" s="194">
        <v>400</v>
      </c>
      <c r="Q20" s="194">
        <v>200</v>
      </c>
      <c r="R20" s="194">
        <v>150</v>
      </c>
      <c r="S20" s="194">
        <v>100</v>
      </c>
      <c r="T20" s="232">
        <f t="shared" si="1"/>
        <v>-64.642857142857139</v>
      </c>
      <c r="U20" s="233">
        <f t="shared" si="2"/>
        <v>132255.35714285716</v>
      </c>
      <c r="V20" s="234">
        <f t="shared" si="3"/>
        <v>-262.4999999999709</v>
      </c>
      <c r="W20" s="224">
        <f t="shared" si="4"/>
        <v>10.881562500000161</v>
      </c>
      <c r="X20" s="225">
        <f t="shared" si="5"/>
        <v>7.7432142857189472</v>
      </c>
      <c r="Y20" s="186">
        <f t="shared" si="6"/>
        <v>0.35134629768218961</v>
      </c>
    </row>
    <row r="21" spans="3:25" x14ac:dyDescent="0.25">
      <c r="C21" t="s">
        <v>499</v>
      </c>
      <c r="E21" s="194">
        <v>89.27</v>
      </c>
      <c r="F21" s="194">
        <v>504.38</v>
      </c>
      <c r="G21">
        <f>+E21*5.84%</f>
        <v>5.213368</v>
      </c>
      <c r="H21">
        <f t="shared" si="0"/>
        <v>84.056631999999993</v>
      </c>
      <c r="I21" s="186">
        <f t="shared" si="7"/>
        <v>5.8400000000000001E-2</v>
      </c>
      <c r="J21" s="186">
        <f t="shared" si="8"/>
        <v>0.94159999999999999</v>
      </c>
      <c r="K21" s="228">
        <v>0.24510000000000001</v>
      </c>
      <c r="L21" s="194">
        <v>2059</v>
      </c>
      <c r="M21" s="205">
        <v>10000</v>
      </c>
      <c r="N21" s="205">
        <v>18500</v>
      </c>
      <c r="O21" s="194">
        <v>10000</v>
      </c>
      <c r="P21" s="194">
        <v>7000</v>
      </c>
      <c r="Q21" s="194">
        <v>5000</v>
      </c>
      <c r="R21" s="194">
        <v>3500</v>
      </c>
      <c r="S21" s="194">
        <v>2100</v>
      </c>
      <c r="T21" s="232">
        <f t="shared" ref="T21:T24" si="9">+SLOPE(M21:S21,$M$4:$S$4)</f>
        <v>-419.28571428571439</v>
      </c>
      <c r="U21" s="233">
        <f t="shared" ref="U21:U24" si="10">+INTERCEPT(M21:S21,$M$4:$S$4)</f>
        <v>861260.71428571444</v>
      </c>
      <c r="V21" s="234">
        <f t="shared" ref="V21:V24" si="11">+T21*L21+U21</f>
        <v>-2048.5714285714785</v>
      </c>
      <c r="W21" s="224">
        <f t="shared" ref="W21:W24" si="12">+((L21-$M$4)*V21+((L21-$M$4)*(M21-V21))/2)*365/1000000</f>
        <v>56.594292857142499</v>
      </c>
      <c r="X21" s="225">
        <f t="shared" ref="X21:X24" si="13">+((T21*L21*L21/2)+(U21*L21)-(T21*$M$4*$M$4/2)-(U21*$M$4))*365/1000000</f>
        <v>87.224962500087017</v>
      </c>
      <c r="Y21" s="186">
        <f t="shared" si="6"/>
        <v>-2.2908451886557404E-2</v>
      </c>
    </row>
    <row r="22" spans="3:25" x14ac:dyDescent="0.25">
      <c r="C22" t="s">
        <v>500</v>
      </c>
      <c r="E22" s="194">
        <v>10.25</v>
      </c>
      <c r="F22" s="194">
        <v>60.26</v>
      </c>
      <c r="G22">
        <f>+E22*2%</f>
        <v>0.20500000000000002</v>
      </c>
      <c r="H22">
        <f t="shared" si="0"/>
        <v>10.045</v>
      </c>
      <c r="I22" s="186">
        <f t="shared" si="7"/>
        <v>0.02</v>
      </c>
      <c r="J22" s="186">
        <f t="shared" si="8"/>
        <v>0.98</v>
      </c>
      <c r="K22" s="228">
        <v>0.98270000000000002</v>
      </c>
      <c r="L22" s="194">
        <v>2025</v>
      </c>
      <c r="M22" s="205">
        <v>8000</v>
      </c>
      <c r="N22" s="205">
        <v>5000</v>
      </c>
      <c r="T22" s="232">
        <f t="shared" si="9"/>
        <v>-600</v>
      </c>
      <c r="U22" s="233">
        <f t="shared" si="10"/>
        <v>1220000</v>
      </c>
      <c r="V22" s="234">
        <f t="shared" si="11"/>
        <v>5000</v>
      </c>
      <c r="W22" s="224">
        <f t="shared" si="12"/>
        <v>11.862500000000001</v>
      </c>
      <c r="X22" s="225">
        <f t="shared" si="13"/>
        <v>11.862500000000001</v>
      </c>
      <c r="Y22" s="186">
        <f t="shared" si="6"/>
        <v>0.15731707317073176</v>
      </c>
    </row>
    <row r="23" spans="3:25" x14ac:dyDescent="0.25">
      <c r="C23" t="s">
        <v>501</v>
      </c>
      <c r="E23" s="194">
        <v>17.7</v>
      </c>
      <c r="F23" s="194">
        <v>97.48</v>
      </c>
      <c r="G23">
        <f>+E23*8.23%</f>
        <v>1.4567099999999999</v>
      </c>
      <c r="H23">
        <f t="shared" si="0"/>
        <v>16.243289999999998</v>
      </c>
      <c r="I23" s="186">
        <f t="shared" si="7"/>
        <v>8.2299999999999998E-2</v>
      </c>
      <c r="J23" s="186">
        <f t="shared" si="8"/>
        <v>0.91769999999999996</v>
      </c>
      <c r="K23" s="228">
        <v>0.97750000000000004</v>
      </c>
      <c r="L23" s="194">
        <v>2025</v>
      </c>
      <c r="M23" s="194">
        <v>8000</v>
      </c>
      <c r="N23" s="213">
        <v>5000</v>
      </c>
      <c r="T23" s="232">
        <f t="shared" si="9"/>
        <v>-600</v>
      </c>
      <c r="U23" s="233">
        <f t="shared" si="10"/>
        <v>1220000</v>
      </c>
      <c r="V23" s="234">
        <f t="shared" si="11"/>
        <v>5000</v>
      </c>
      <c r="W23" s="224">
        <f t="shared" si="12"/>
        <v>11.862500000000001</v>
      </c>
      <c r="X23" s="225">
        <f t="shared" si="13"/>
        <v>11.862500000000001</v>
      </c>
      <c r="Y23" s="186">
        <f t="shared" si="6"/>
        <v>-0.32980225988700557</v>
      </c>
    </row>
    <row r="24" spans="3:25" x14ac:dyDescent="0.25">
      <c r="C24" t="s">
        <v>502</v>
      </c>
      <c r="E24" s="194">
        <v>8.8000000000000007</v>
      </c>
      <c r="F24" s="194">
        <v>2.82</v>
      </c>
      <c r="G24">
        <f>+E24*94.66%</f>
        <v>8.3300800000000006</v>
      </c>
      <c r="H24">
        <f t="shared" si="0"/>
        <v>0.46992000000000012</v>
      </c>
      <c r="I24" s="186">
        <f t="shared" si="7"/>
        <v>0.9466</v>
      </c>
      <c r="J24" s="186">
        <f t="shared" si="8"/>
        <v>5.340000000000001E-2</v>
      </c>
      <c r="K24" s="228">
        <v>0.7712</v>
      </c>
      <c r="L24" s="194">
        <v>2039</v>
      </c>
      <c r="M24" s="194">
        <v>3000</v>
      </c>
      <c r="N24" s="213">
        <v>2000</v>
      </c>
      <c r="O24" s="194">
        <v>1100</v>
      </c>
      <c r="P24" s="194">
        <v>800</v>
      </c>
      <c r="T24" s="232">
        <f t="shared" si="9"/>
        <v>-150</v>
      </c>
      <c r="U24" s="233">
        <f t="shared" si="10"/>
        <v>305850</v>
      </c>
      <c r="V24" s="234">
        <f t="shared" si="11"/>
        <v>0</v>
      </c>
      <c r="W24" s="224">
        <f t="shared" si="12"/>
        <v>10.4025</v>
      </c>
      <c r="X24" s="225">
        <f t="shared" si="13"/>
        <v>9.8823749999999997</v>
      </c>
      <c r="Y24" s="186">
        <f t="shared" si="6"/>
        <v>0.12299715909090897</v>
      </c>
    </row>
    <row r="25" spans="3:25" x14ac:dyDescent="0.25">
      <c r="C25" t="s">
        <v>503</v>
      </c>
      <c r="E25" s="194">
        <v>1.1399999999999999</v>
      </c>
      <c r="F25" s="194">
        <v>0.47</v>
      </c>
      <c r="G25">
        <f>+E25*93.12%</f>
        <v>1.0615679999999998</v>
      </c>
      <c r="H25">
        <f t="shared" si="0"/>
        <v>7.8432000000000057E-2</v>
      </c>
      <c r="I25" s="186">
        <f t="shared" si="7"/>
        <v>0.93119999999999992</v>
      </c>
      <c r="J25" s="186">
        <f t="shared" si="8"/>
        <v>6.8800000000000056E-2</v>
      </c>
      <c r="K25" s="228">
        <v>0.73509999999999998</v>
      </c>
      <c r="L25" s="194">
        <v>2033</v>
      </c>
      <c r="M25" s="205">
        <v>1000</v>
      </c>
      <c r="N25" s="213">
        <v>300</v>
      </c>
      <c r="O25" s="194">
        <v>100</v>
      </c>
      <c r="T25" s="232">
        <f t="shared" ref="T25:T26" si="14">+SLOPE(M25:S25,$M$4:$S$4)</f>
        <v>-90</v>
      </c>
      <c r="U25" s="233">
        <f t="shared" ref="U25:U26" si="15">+INTERCEPT(M25:S25,$M$4:$S$4)</f>
        <v>182716.66666666666</v>
      </c>
      <c r="V25" s="234">
        <f t="shared" ref="V25:V26" si="16">+T25*L25+U25</f>
        <v>-253.33333333334303</v>
      </c>
      <c r="W25" s="224">
        <f t="shared" ref="W25:W26" si="17">+((L25-$M$4)*V25+((L25-$M$4)*(M25-V25))/2)*365/1000000</f>
        <v>1.7714666666666437</v>
      </c>
      <c r="X25" s="225">
        <f t="shared" ref="X25:X26" si="18">+((T25*L25*L25/2)+(U25*L25)-(T25*$M$4*$M$4/2)-(U25*$M$4))*365/1000000</f>
        <v>1.5737583333405851</v>
      </c>
      <c r="Y25" s="186">
        <f t="shared" si="6"/>
        <v>0.38048976608823271</v>
      </c>
    </row>
    <row r="26" spans="3:25" x14ac:dyDescent="0.25">
      <c r="C26" t="s">
        <v>504</v>
      </c>
      <c r="E26" s="194">
        <v>1.31</v>
      </c>
      <c r="F26" s="194">
        <v>0.37</v>
      </c>
      <c r="G26">
        <f>+E26*95.34%</f>
        <v>1.2489540000000001</v>
      </c>
      <c r="H26">
        <f t="shared" si="0"/>
        <v>6.1045999999999934E-2</v>
      </c>
      <c r="I26" s="186">
        <f t="shared" si="7"/>
        <v>0.95340000000000003</v>
      </c>
      <c r="J26" s="186">
        <f t="shared" si="8"/>
        <v>4.6599999999999947E-2</v>
      </c>
      <c r="K26" s="228">
        <v>0.34710000000000002</v>
      </c>
      <c r="L26" s="194">
        <v>2053</v>
      </c>
      <c r="M26" s="205">
        <v>480</v>
      </c>
      <c r="N26" s="205">
        <v>280</v>
      </c>
      <c r="O26" s="194">
        <v>125</v>
      </c>
      <c r="P26">
        <v>90</v>
      </c>
      <c r="Q26">
        <v>50</v>
      </c>
      <c r="R26">
        <v>30</v>
      </c>
      <c r="S26">
        <v>25</v>
      </c>
      <c r="T26" s="232">
        <f t="shared" si="14"/>
        <v>-13.857142857142858</v>
      </c>
      <c r="U26" s="233">
        <f t="shared" si="15"/>
        <v>28353.571428571428</v>
      </c>
      <c r="V26" s="234">
        <f t="shared" si="16"/>
        <v>-95.142857142858702</v>
      </c>
      <c r="W26" s="224">
        <f t="shared" si="17"/>
        <v>2.3178021428571336</v>
      </c>
      <c r="X26" s="225">
        <f t="shared" si="18"/>
        <v>1.6080075</v>
      </c>
      <c r="Y26" s="186">
        <f t="shared" si="6"/>
        <v>0.22748664122137402</v>
      </c>
    </row>
    <row r="27" spans="3:25" x14ac:dyDescent="0.25">
      <c r="C27" t="s">
        <v>505</v>
      </c>
      <c r="E27" s="194">
        <v>4.72</v>
      </c>
      <c r="F27" s="194">
        <v>7.45</v>
      </c>
      <c r="G27">
        <f>+E27*73.7%</f>
        <v>3.47864</v>
      </c>
      <c r="H27">
        <f t="shared" si="0"/>
        <v>1.2413599999999998</v>
      </c>
      <c r="I27" s="186">
        <f t="shared" si="7"/>
        <v>0.73699999999999999</v>
      </c>
      <c r="J27" s="186">
        <f t="shared" si="8"/>
        <v>0.26299999999999996</v>
      </c>
      <c r="K27" s="228">
        <v>0.91449999999999998</v>
      </c>
      <c r="L27" s="194">
        <v>2030</v>
      </c>
      <c r="M27" s="205">
        <v>3750</v>
      </c>
      <c r="N27" s="205">
        <v>1750</v>
      </c>
      <c r="O27" s="194">
        <v>750</v>
      </c>
      <c r="T27" s="232">
        <f t="shared" ref="T27:T28" si="19">+SLOPE(M27:S27,$M$4:$S$4)</f>
        <v>-300</v>
      </c>
      <c r="U27" s="233">
        <f t="shared" ref="U27:U28" si="20">+INTERCEPT(M27:S27,$M$4:$S$4)</f>
        <v>609583.33333333337</v>
      </c>
      <c r="V27" s="234">
        <f t="shared" ref="V27:V28" si="21">+T27*L27+U27</f>
        <v>583.33333333337214</v>
      </c>
      <c r="W27" s="224">
        <f t="shared" ref="W27:W28" si="22">+((L27-$M$4)*V27+((L27-$M$4)*(M27-V27))/2)*365/1000000</f>
        <v>7.9083333333334034</v>
      </c>
      <c r="X27" s="225">
        <f t="shared" ref="X27:X28" si="23">+((T27*L27*L27/2)+(U27*L27)-(T27*$M$4*$M$4/2)-(U27*$M$4))*365/1000000</f>
        <v>7.6041666666376591</v>
      </c>
      <c r="Y27" s="186">
        <f t="shared" si="6"/>
        <v>0.61105225988086009</v>
      </c>
    </row>
    <row r="28" spans="3:25" x14ac:dyDescent="0.25">
      <c r="C28" t="s">
        <v>506</v>
      </c>
      <c r="E28" s="194">
        <v>11.27</v>
      </c>
      <c r="F28" s="194">
        <v>0</v>
      </c>
      <c r="G28">
        <v>11.27</v>
      </c>
      <c r="H28">
        <f t="shared" si="0"/>
        <v>0</v>
      </c>
      <c r="I28" s="186">
        <f t="shared" si="7"/>
        <v>1</v>
      </c>
      <c r="J28" s="186">
        <f t="shared" si="8"/>
        <v>0</v>
      </c>
      <c r="K28" s="228">
        <v>0.4148</v>
      </c>
      <c r="L28" s="194">
        <v>2067</v>
      </c>
      <c r="M28" s="205">
        <v>2500</v>
      </c>
      <c r="N28" s="214">
        <v>1750</v>
      </c>
      <c r="O28" s="194">
        <v>1250</v>
      </c>
      <c r="P28">
        <v>800</v>
      </c>
      <c r="Q28">
        <v>600</v>
      </c>
      <c r="R28">
        <v>400</v>
      </c>
      <c r="S28">
        <v>300</v>
      </c>
      <c r="T28" s="232">
        <f t="shared" si="19"/>
        <v>-71.071428571428569</v>
      </c>
      <c r="U28" s="233">
        <f t="shared" si="20"/>
        <v>145716.07142857142</v>
      </c>
      <c r="V28" s="234">
        <f t="shared" si="21"/>
        <v>-1188.5714285714203</v>
      </c>
      <c r="W28" s="224">
        <f t="shared" si="22"/>
        <v>11.248778571428643</v>
      </c>
      <c r="X28" s="225">
        <f t="shared" si="23"/>
        <v>8.2619705357080697</v>
      </c>
      <c r="Y28" s="186">
        <f t="shared" si="6"/>
        <v>-0.2669058974527001</v>
      </c>
    </row>
    <row r="29" spans="3:25" x14ac:dyDescent="0.25">
      <c r="C29" t="s">
        <v>318</v>
      </c>
      <c r="E29" s="194">
        <v>3.84</v>
      </c>
      <c r="F29" s="194">
        <v>23.03</v>
      </c>
      <c r="H29">
        <f t="shared" si="0"/>
        <v>3.84</v>
      </c>
      <c r="I29" s="186">
        <f t="shared" si="7"/>
        <v>0</v>
      </c>
      <c r="J29" s="186">
        <f t="shared" si="8"/>
        <v>1</v>
      </c>
      <c r="K29" s="228">
        <v>0.84079999999999999</v>
      </c>
      <c r="L29" s="194">
        <v>2028</v>
      </c>
      <c r="M29" s="205">
        <v>5300</v>
      </c>
      <c r="N29" s="205">
        <v>1250</v>
      </c>
      <c r="T29" s="232">
        <f t="shared" ref="T29:T32" si="24">+SLOPE(M29:S29,$M$4:$S$4)</f>
        <v>-810</v>
      </c>
      <c r="U29" s="233">
        <f t="shared" ref="U29:U32" si="25">+INTERCEPT(M29:S29,$M$4:$S$4)</f>
        <v>1641500</v>
      </c>
      <c r="V29" s="234">
        <f t="shared" ref="V29:V32" si="26">+T29*L29+U29</f>
        <v>-1180</v>
      </c>
      <c r="W29" s="224">
        <f t="shared" ref="W29:W32" si="27">+((L29-$M$4)*V29+((L29-$M$4)*(M29-V29))/2)*365/1000000</f>
        <v>6.0152000000000001</v>
      </c>
      <c r="X29" s="225">
        <f t="shared" ref="X29:X32" si="28">+((T29*L29*L29/2)+(U29*L29)-(T29*$M$4*$M$4/2)-(U29*$M$4))*365/1000000</f>
        <v>6.0152000000000001</v>
      </c>
      <c r="Y29" s="186">
        <f t="shared" si="6"/>
        <v>0.5664583333333334</v>
      </c>
    </row>
    <row r="30" spans="3:25" x14ac:dyDescent="0.25">
      <c r="C30" t="s">
        <v>508</v>
      </c>
      <c r="E30" s="194">
        <v>14.92</v>
      </c>
      <c r="F30">
        <v>0.24</v>
      </c>
      <c r="G30">
        <f>+E30*99.74%</f>
        <v>14.881207999999999</v>
      </c>
      <c r="H30">
        <f t="shared" si="0"/>
        <v>3.8792000000000826E-2</v>
      </c>
      <c r="I30" s="186">
        <f t="shared" si="7"/>
        <v>0.99739999999999995</v>
      </c>
      <c r="J30" s="186">
        <f t="shared" si="8"/>
        <v>2.6000000000000554E-3</v>
      </c>
      <c r="K30" s="228">
        <v>0.75690000000000002</v>
      </c>
      <c r="L30" s="194">
        <v>2043</v>
      </c>
      <c r="M30" s="205">
        <v>10000</v>
      </c>
      <c r="N30" s="205">
        <v>4000</v>
      </c>
      <c r="O30" s="194">
        <v>1000</v>
      </c>
      <c r="P30">
        <v>500</v>
      </c>
      <c r="Q30">
        <v>400</v>
      </c>
      <c r="T30" s="232">
        <f t="shared" si="24"/>
        <v>-454</v>
      </c>
      <c r="U30" s="233">
        <f t="shared" si="25"/>
        <v>924800</v>
      </c>
      <c r="V30" s="234">
        <f t="shared" si="26"/>
        <v>-2722</v>
      </c>
      <c r="W30" s="224">
        <f t="shared" si="27"/>
        <v>30.549405</v>
      </c>
      <c r="X30" s="225">
        <f t="shared" si="28"/>
        <v>20.979105000000001</v>
      </c>
      <c r="Y30" s="186">
        <f t="shared" si="6"/>
        <v>0.40610623324396788</v>
      </c>
    </row>
    <row r="31" spans="3:25" x14ac:dyDescent="0.25">
      <c r="C31" t="s">
        <v>80</v>
      </c>
      <c r="E31" s="194">
        <v>43.42</v>
      </c>
      <c r="F31" s="194">
        <v>16.96</v>
      </c>
      <c r="G31">
        <f>+E31*93.49%</f>
        <v>40.593358000000002</v>
      </c>
      <c r="H31">
        <f t="shared" si="0"/>
        <v>2.8266419999999997</v>
      </c>
      <c r="I31" s="186">
        <f t="shared" si="7"/>
        <v>0.93490000000000006</v>
      </c>
      <c r="J31" s="186">
        <f t="shared" si="8"/>
        <v>6.5099999999999991E-2</v>
      </c>
      <c r="K31" s="228">
        <v>0.76190000000000002</v>
      </c>
      <c r="L31" s="194">
        <v>2042</v>
      </c>
      <c r="M31" s="205">
        <v>25000</v>
      </c>
      <c r="N31" s="205">
        <v>12500</v>
      </c>
      <c r="O31" s="194">
        <v>4500</v>
      </c>
      <c r="P31">
        <v>2500</v>
      </c>
      <c r="Q31">
        <v>1000</v>
      </c>
      <c r="T31" s="232">
        <f t="shared" si="24"/>
        <v>-1160</v>
      </c>
      <c r="U31" s="233">
        <f t="shared" si="25"/>
        <v>2363900</v>
      </c>
      <c r="V31" s="234">
        <f t="shared" si="26"/>
        <v>-4820</v>
      </c>
      <c r="W31" s="224">
        <f t="shared" si="27"/>
        <v>81.0227</v>
      </c>
      <c r="X31" s="225">
        <f t="shared" si="28"/>
        <v>63.758200000000002</v>
      </c>
      <c r="Y31" s="186">
        <f t="shared" si="6"/>
        <v>0.46840626439428834</v>
      </c>
    </row>
    <row r="32" spans="3:25" x14ac:dyDescent="0.25">
      <c r="C32" t="s">
        <v>449</v>
      </c>
      <c r="E32" s="194">
        <v>7.3</v>
      </c>
      <c r="F32" s="194">
        <v>4.54</v>
      </c>
      <c r="G32">
        <f>+E32*89.64%</f>
        <v>6.5437199999999995</v>
      </c>
      <c r="H32">
        <f t="shared" si="0"/>
        <v>0.75628000000000029</v>
      </c>
      <c r="I32" s="186">
        <f t="shared" si="7"/>
        <v>0.89639999999999997</v>
      </c>
      <c r="J32" s="186">
        <f t="shared" si="8"/>
        <v>0.10360000000000004</v>
      </c>
      <c r="K32" s="228">
        <v>0.77580000000000005</v>
      </c>
      <c r="L32" s="194">
        <v>2044</v>
      </c>
      <c r="M32" s="205">
        <v>2000</v>
      </c>
      <c r="N32" s="205">
        <v>1250</v>
      </c>
      <c r="O32" s="194">
        <v>900</v>
      </c>
      <c r="P32">
        <v>600</v>
      </c>
      <c r="Q32">
        <v>400</v>
      </c>
      <c r="T32" s="232">
        <f t="shared" si="24"/>
        <v>-77</v>
      </c>
      <c r="U32" s="233">
        <f t="shared" si="25"/>
        <v>157340</v>
      </c>
      <c r="V32" s="234">
        <f t="shared" si="26"/>
        <v>-48</v>
      </c>
      <c r="W32" s="224">
        <f t="shared" si="27"/>
        <v>8.5497599999999991</v>
      </c>
      <c r="X32" s="225">
        <f t="shared" si="28"/>
        <v>7.6737599999999997</v>
      </c>
      <c r="Y32" s="186">
        <f t="shared" si="6"/>
        <v>5.1199999999999982E-2</v>
      </c>
    </row>
    <row r="33" spans="3:25" x14ac:dyDescent="0.25">
      <c r="C33" t="s">
        <v>509</v>
      </c>
      <c r="E33" s="194">
        <v>0.57999999999999996</v>
      </c>
      <c r="F33" s="194">
        <v>0</v>
      </c>
      <c r="G33">
        <f>+E33</f>
        <v>0.57999999999999996</v>
      </c>
      <c r="H33">
        <f t="shared" si="0"/>
        <v>0</v>
      </c>
      <c r="I33" s="186">
        <f t="shared" si="7"/>
        <v>1</v>
      </c>
      <c r="J33" s="186">
        <f t="shared" si="8"/>
        <v>0</v>
      </c>
      <c r="K33" s="228">
        <v>0.91830000000000001</v>
      </c>
      <c r="L33" s="194">
        <v>2031</v>
      </c>
      <c r="M33" s="205">
        <v>500</v>
      </c>
      <c r="N33" s="205">
        <v>200</v>
      </c>
      <c r="O33" s="194">
        <v>80</v>
      </c>
      <c r="T33" s="232">
        <f t="shared" ref="T33:T37" si="29">+SLOPE(M33:S33,$M$4:$S$4)</f>
        <v>-42</v>
      </c>
      <c r="U33" s="233">
        <f t="shared" ref="U33:U37" si="30">+INTERCEPT(M33:S33,$M$4:$S$4)</f>
        <v>85310</v>
      </c>
      <c r="V33" s="234">
        <f t="shared" ref="V33:V37" si="31">+T33*L33+U33</f>
        <v>8</v>
      </c>
      <c r="W33" s="224">
        <f t="shared" ref="W33:W37" si="32">+((L33-$M$4)*V33+((L33-$M$4)*(M33-V33))/2)*365/1000000</f>
        <v>1.0198100000000001</v>
      </c>
      <c r="X33" s="225">
        <f t="shared" ref="X33:X37" si="33">+((T33*L33*L33/2)+(U33*L33)-(T33*$M$4*$M$4/2)-(U33*$M$4))*365/1000000</f>
        <v>0.95958500000000002</v>
      </c>
      <c r="Y33" s="186">
        <f t="shared" si="6"/>
        <v>0.65445689655172434</v>
      </c>
    </row>
    <row r="34" spans="3:25" x14ac:dyDescent="0.25">
      <c r="C34" t="s">
        <v>510</v>
      </c>
      <c r="E34" s="194">
        <v>130.22</v>
      </c>
      <c r="F34" s="194">
        <v>284</v>
      </c>
      <c r="G34">
        <f>+E34*63.65%</f>
        <v>82.88503</v>
      </c>
      <c r="H34">
        <f t="shared" si="0"/>
        <v>47.334969999999998</v>
      </c>
      <c r="I34" s="186">
        <f t="shared" si="7"/>
        <v>0.63649999999999995</v>
      </c>
      <c r="J34" s="186">
        <f t="shared" si="8"/>
        <v>0.36349999999999999</v>
      </c>
      <c r="K34" s="228">
        <v>0.63759999999999994</v>
      </c>
      <c r="L34" s="194">
        <v>2018</v>
      </c>
      <c r="M34" s="205">
        <v>55000</v>
      </c>
      <c r="N34" s="205">
        <v>31000</v>
      </c>
      <c r="O34" s="194">
        <v>15000</v>
      </c>
      <c r="P34">
        <v>8000</v>
      </c>
      <c r="T34" s="232">
        <f t="shared" si="29"/>
        <v>-3140</v>
      </c>
      <c r="U34" s="233">
        <f t="shared" si="30"/>
        <v>6393600</v>
      </c>
      <c r="V34" s="234">
        <f t="shared" si="31"/>
        <v>57080</v>
      </c>
      <c r="W34" s="224">
        <f t="shared" si="32"/>
        <v>-40.909199999999998</v>
      </c>
      <c r="X34" s="225">
        <f t="shared" si="33"/>
        <v>-39.376199999999997</v>
      </c>
      <c r="Y34" s="186">
        <f t="shared" si="6"/>
        <v>-1.3023821225618186</v>
      </c>
    </row>
    <row r="35" spans="3:25" x14ac:dyDescent="0.25">
      <c r="C35" t="s">
        <v>344</v>
      </c>
      <c r="E35" s="194">
        <v>24.09</v>
      </c>
      <c r="F35" s="194">
        <v>0</v>
      </c>
      <c r="G35">
        <f>+E35</f>
        <v>24.09</v>
      </c>
      <c r="H35">
        <f t="shared" si="0"/>
        <v>0</v>
      </c>
      <c r="I35" s="186">
        <f t="shared" si="7"/>
        <v>1</v>
      </c>
      <c r="J35" s="186">
        <f t="shared" si="8"/>
        <v>0</v>
      </c>
      <c r="K35" s="228">
        <v>0.73740000000000006</v>
      </c>
      <c r="L35" s="194">
        <v>2064</v>
      </c>
      <c r="M35" s="205">
        <v>4000</v>
      </c>
      <c r="N35" s="205">
        <v>3500</v>
      </c>
      <c r="O35" s="194">
        <v>2500</v>
      </c>
      <c r="P35">
        <v>2000</v>
      </c>
      <c r="Q35">
        <v>1500</v>
      </c>
      <c r="R35">
        <v>1250</v>
      </c>
      <c r="S35">
        <v>1000</v>
      </c>
      <c r="T35" s="232">
        <f t="shared" si="29"/>
        <v>-103.57142857142857</v>
      </c>
      <c r="U35" s="233">
        <f t="shared" si="30"/>
        <v>213017.85714285713</v>
      </c>
      <c r="V35" s="234">
        <f t="shared" si="31"/>
        <v>-753.57142857144936</v>
      </c>
      <c r="W35" s="224">
        <f t="shared" si="32"/>
        <v>26.068821428571262</v>
      </c>
      <c r="X35" s="225">
        <f t="shared" si="33"/>
        <v>24.491499999999998</v>
      </c>
      <c r="Y35" s="186">
        <f t="shared" si="6"/>
        <v>1.6666666666666611E-2</v>
      </c>
    </row>
    <row r="36" spans="3:25" x14ac:dyDescent="0.25">
      <c r="C36" t="s">
        <v>511</v>
      </c>
      <c r="E36" s="194">
        <v>5.59</v>
      </c>
      <c r="F36" s="194">
        <v>0</v>
      </c>
      <c r="G36">
        <f>+E36</f>
        <v>5.59</v>
      </c>
      <c r="H36">
        <f t="shared" si="0"/>
        <v>0</v>
      </c>
      <c r="I36" s="186">
        <f t="shared" si="7"/>
        <v>1</v>
      </c>
      <c r="J36" s="186">
        <f t="shared" si="8"/>
        <v>0</v>
      </c>
      <c r="K36" s="228">
        <v>0.69210000000000005</v>
      </c>
      <c r="L36" s="194">
        <v>2047</v>
      </c>
      <c r="M36" s="205">
        <v>1400</v>
      </c>
      <c r="N36" s="205">
        <v>1250</v>
      </c>
      <c r="O36" s="194">
        <v>750</v>
      </c>
      <c r="P36">
        <v>450</v>
      </c>
      <c r="Q36">
        <v>250</v>
      </c>
      <c r="T36" s="232">
        <f t="shared" si="29"/>
        <v>-62</v>
      </c>
      <c r="U36" s="233">
        <f t="shared" si="30"/>
        <v>126680</v>
      </c>
      <c r="V36" s="234">
        <f t="shared" si="31"/>
        <v>-234</v>
      </c>
      <c r="W36" s="224">
        <f t="shared" si="32"/>
        <v>5.7454650000000003</v>
      </c>
      <c r="X36" s="225">
        <f t="shared" si="33"/>
        <v>5.9425650000000001</v>
      </c>
      <c r="Y36" s="186">
        <f t="shared" si="6"/>
        <v>6.307066189624333E-2</v>
      </c>
    </row>
    <row r="37" spans="3:25" x14ac:dyDescent="0.25">
      <c r="C37" t="s">
        <v>345</v>
      </c>
      <c r="E37" s="194">
        <v>16.52</v>
      </c>
      <c r="F37" s="194">
        <v>1.91</v>
      </c>
      <c r="G37">
        <f>+E37*98.07%</f>
        <v>16.201163999999999</v>
      </c>
      <c r="H37">
        <f t="shared" si="0"/>
        <v>0.31883600000000101</v>
      </c>
      <c r="I37" s="186">
        <f t="shared" si="7"/>
        <v>0.98069999999999991</v>
      </c>
      <c r="J37" s="186">
        <f t="shared" si="8"/>
        <v>1.930000000000006E-2</v>
      </c>
      <c r="K37" s="228">
        <v>0.73629999999999995</v>
      </c>
      <c r="L37" s="194">
        <v>2060</v>
      </c>
      <c r="M37" s="205">
        <v>4000</v>
      </c>
      <c r="N37" s="205">
        <v>3000</v>
      </c>
      <c r="O37" s="194">
        <v>1800</v>
      </c>
      <c r="P37">
        <v>1250</v>
      </c>
      <c r="Q37">
        <v>1000</v>
      </c>
      <c r="R37">
        <v>750</v>
      </c>
      <c r="T37" s="232">
        <f t="shared" si="29"/>
        <v>-130.28571428571428</v>
      </c>
      <c r="U37" s="233">
        <f t="shared" si="30"/>
        <v>266772.38095238095</v>
      </c>
      <c r="V37" s="234">
        <f t="shared" si="31"/>
        <v>-1616.1904761904734</v>
      </c>
      <c r="W37" s="224">
        <f t="shared" si="32"/>
        <v>17.401809523809543</v>
      </c>
      <c r="X37" s="225">
        <f t="shared" si="33"/>
        <v>14.447047619026899</v>
      </c>
      <c r="Y37" s="186">
        <f t="shared" si="6"/>
        <v>-0.12548137899352912</v>
      </c>
    </row>
    <row r="38" spans="3:25" x14ac:dyDescent="0.25">
      <c r="C38" t="s">
        <v>512</v>
      </c>
      <c r="E38" s="194">
        <v>90.73</v>
      </c>
      <c r="F38" s="194">
        <v>10.09</v>
      </c>
      <c r="G38">
        <f>+E38*98.15%</f>
        <v>89.051495000000003</v>
      </c>
      <c r="H38">
        <f t="shared" si="0"/>
        <v>1.6785050000000012</v>
      </c>
      <c r="I38" s="186">
        <f t="shared" si="7"/>
        <v>0.98150000000000004</v>
      </c>
      <c r="J38" s="186">
        <f t="shared" si="8"/>
        <v>1.8500000000000013E-2</v>
      </c>
      <c r="K38" s="228">
        <v>0.50829999999999997</v>
      </c>
      <c r="L38" s="194">
        <v>2061</v>
      </c>
      <c r="M38" s="205">
        <v>19000</v>
      </c>
      <c r="N38" s="205">
        <v>16000</v>
      </c>
      <c r="O38" s="194">
        <v>10000</v>
      </c>
      <c r="P38">
        <v>7000</v>
      </c>
      <c r="Q38">
        <v>4500</v>
      </c>
      <c r="R38">
        <v>3000</v>
      </c>
      <c r="S38">
        <v>2000</v>
      </c>
    </row>
    <row r="39" spans="3:25" x14ac:dyDescent="0.25">
      <c r="H39">
        <f t="shared" si="0"/>
        <v>0</v>
      </c>
      <c r="I39" s="186"/>
      <c r="J39" s="186"/>
    </row>
    <row r="40" spans="3:25" x14ac:dyDescent="0.25">
      <c r="C40" t="s">
        <v>519</v>
      </c>
      <c r="E40" s="194" t="s">
        <v>527</v>
      </c>
      <c r="F40" s="194">
        <v>23.75</v>
      </c>
      <c r="G40" t="e">
        <f>+E40*0.74%</f>
        <v>#VALUE!</v>
      </c>
      <c r="H40" t="e">
        <f t="shared" si="0"/>
        <v>#VALUE!</v>
      </c>
      <c r="I40" s="186" t="e">
        <f t="shared" si="7"/>
        <v>#VALUE!</v>
      </c>
      <c r="J40" s="186" t="e">
        <f t="shared" si="8"/>
        <v>#VALUE!</v>
      </c>
      <c r="K40" s="228">
        <v>0.30909999999999999</v>
      </c>
      <c r="L40" s="194">
        <v>2049</v>
      </c>
    </row>
    <row r="41" spans="3:25" x14ac:dyDescent="0.25">
      <c r="C41" t="s">
        <v>520</v>
      </c>
      <c r="E41" s="194">
        <v>6.24</v>
      </c>
      <c r="F41" s="194">
        <v>11.14</v>
      </c>
      <c r="G41">
        <f>+E41*70.26%</f>
        <v>4.3842240000000006</v>
      </c>
      <c r="H41">
        <f t="shared" si="0"/>
        <v>1.8557759999999996</v>
      </c>
      <c r="I41" s="186">
        <f t="shared" si="7"/>
        <v>0.70260000000000011</v>
      </c>
      <c r="J41" s="186">
        <f t="shared" si="8"/>
        <v>0.29739999999999994</v>
      </c>
      <c r="K41" s="228">
        <v>0.77259999999999995</v>
      </c>
      <c r="L41" s="194">
        <v>2041</v>
      </c>
      <c r="M41" s="205">
        <v>3700</v>
      </c>
    </row>
    <row r="42" spans="3:25" x14ac:dyDescent="0.25">
      <c r="C42" t="s">
        <v>521</v>
      </c>
      <c r="E42" s="194">
        <v>18.809999999999999</v>
      </c>
      <c r="F42" s="194">
        <v>112.29</v>
      </c>
      <c r="G42">
        <f>+E42*0.49%</f>
        <v>9.2168999999999987E-2</v>
      </c>
      <c r="H42">
        <f t="shared" si="0"/>
        <v>18.717831</v>
      </c>
      <c r="I42" s="186">
        <f t="shared" si="7"/>
        <v>4.8999999999999998E-3</v>
      </c>
      <c r="J42" s="186">
        <f t="shared" si="8"/>
        <v>0.9951000000000001</v>
      </c>
      <c r="K42" s="228">
        <v>0.29599999999999999</v>
      </c>
      <c r="L42" s="194">
        <v>2042</v>
      </c>
      <c r="M42" s="205">
        <v>4500</v>
      </c>
    </row>
    <row r="43" spans="3:25" x14ac:dyDescent="0.25">
      <c r="C43" t="s">
        <v>522</v>
      </c>
      <c r="E43" s="194">
        <v>9.35</v>
      </c>
      <c r="F43" s="194">
        <v>4.1900000000000004</v>
      </c>
      <c r="G43">
        <f>+E43*92.53%</f>
        <v>8.6515550000000001</v>
      </c>
      <c r="H43">
        <f t="shared" si="0"/>
        <v>0.69844499999999954</v>
      </c>
      <c r="I43" s="186">
        <f t="shared" si="7"/>
        <v>0.92530000000000001</v>
      </c>
      <c r="J43" s="186">
        <f t="shared" si="8"/>
        <v>7.4699999999999947E-2</v>
      </c>
      <c r="K43" s="228">
        <v>0.51980000000000004</v>
      </c>
      <c r="L43" s="194">
        <v>2068</v>
      </c>
      <c r="M43" s="194">
        <v>1800</v>
      </c>
    </row>
    <row r="45" spans="3:25" x14ac:dyDescent="0.25">
      <c r="M45">
        <f>+SUM(M6:M43)</f>
        <v>529280</v>
      </c>
      <c r="N45" t="s">
        <v>528</v>
      </c>
    </row>
    <row r="46" spans="3:25" x14ac:dyDescent="0.25">
      <c r="M46">
        <f>+M45*365</f>
        <v>193187200</v>
      </c>
      <c r="N46" t="s">
        <v>528</v>
      </c>
    </row>
    <row r="47" spans="3:25" x14ac:dyDescent="0.25">
      <c r="C47" t="s">
        <v>513</v>
      </c>
      <c r="E47" s="212">
        <f>+SUM(E5:E38)+E42</f>
        <v>1984.8899999999996</v>
      </c>
      <c r="F47" t="s">
        <v>488</v>
      </c>
      <c r="M47" s="229">
        <f>+M46/1000000</f>
        <v>193.18719999999999</v>
      </c>
      <c r="N47" t="s">
        <v>529</v>
      </c>
    </row>
    <row r="48" spans="3:25" x14ac:dyDescent="0.25">
      <c r="C48" t="s">
        <v>514</v>
      </c>
      <c r="E48">
        <f>+SUM(G5:G38)+G42</f>
        <v>1725.2950059999996</v>
      </c>
      <c r="F48" t="s">
        <v>488</v>
      </c>
      <c r="G48" s="186">
        <f>+E48/E47</f>
        <v>0.86921441792744181</v>
      </c>
      <c r="H48" s="186"/>
      <c r="I48" s="186"/>
      <c r="J48" s="186"/>
      <c r="K48" s="212"/>
      <c r="M48" s="219" t="s">
        <v>530</v>
      </c>
      <c r="N48" s="219" t="s">
        <v>531</v>
      </c>
    </row>
    <row r="49" spans="3:14" x14ac:dyDescent="0.25">
      <c r="C49" t="s">
        <v>517</v>
      </c>
      <c r="E49" s="212">
        <f>+E47-E48</f>
        <v>259.59499400000004</v>
      </c>
      <c r="F49" t="s">
        <v>488</v>
      </c>
      <c r="G49" s="186">
        <f>+E49/E47</f>
        <v>0.13078558207255822</v>
      </c>
      <c r="H49" s="186"/>
      <c r="I49" s="186"/>
      <c r="J49" s="186"/>
      <c r="M49" s="236">
        <f>+M47*M54</f>
        <v>25.114335999999998</v>
      </c>
      <c r="N49" s="237">
        <f>+M47*(100%-M54)</f>
        <v>168.07286399999998</v>
      </c>
    </row>
    <row r="50" spans="3:14" x14ac:dyDescent="0.25">
      <c r="C50" t="s">
        <v>515</v>
      </c>
      <c r="E50" s="212">
        <f>+SUM(F5:F38)</f>
        <v>1635.0453439999999</v>
      </c>
      <c r="F50" t="s">
        <v>516</v>
      </c>
    </row>
    <row r="51" spans="3:14" x14ac:dyDescent="0.25">
      <c r="E51" s="212">
        <f>+E50*(1000000000)</f>
        <v>1635045344000</v>
      </c>
      <c r="F51" t="s">
        <v>526</v>
      </c>
    </row>
    <row r="52" spans="3:14" x14ac:dyDescent="0.25">
      <c r="E52" s="212">
        <f>+(E51/G1)/1000000</f>
        <v>272.62588454016498</v>
      </c>
      <c r="L52" t="s">
        <v>518</v>
      </c>
      <c r="M52" t="s">
        <v>532</v>
      </c>
    </row>
    <row r="53" spans="3:14" x14ac:dyDescent="0.25">
      <c r="L53">
        <v>71</v>
      </c>
      <c r="M53" s="235">
        <v>0.87</v>
      </c>
    </row>
    <row r="54" spans="3:14" x14ac:dyDescent="0.25">
      <c r="E54">
        <f>+E50*1000</f>
        <v>1635045.3439999998</v>
      </c>
      <c r="F54" t="s">
        <v>523</v>
      </c>
      <c r="L54">
        <v>29</v>
      </c>
      <c r="M54" s="235">
        <v>0.13</v>
      </c>
    </row>
    <row r="55" spans="3:14" x14ac:dyDescent="0.25">
      <c r="E55">
        <f>+E54/11</f>
        <v>148640.4858181818</v>
      </c>
      <c r="F55" t="s">
        <v>523</v>
      </c>
    </row>
    <row r="56" spans="3:14" x14ac:dyDescent="0.25">
      <c r="E56">
        <f>+E55/365</f>
        <v>407.234207721046</v>
      </c>
      <c r="F56" t="s">
        <v>523</v>
      </c>
    </row>
    <row r="58" spans="3:14" x14ac:dyDescent="0.25">
      <c r="E58">
        <v>1000</v>
      </c>
      <c r="F58" t="s">
        <v>523</v>
      </c>
    </row>
    <row r="59" spans="3:14" x14ac:dyDescent="0.25">
      <c r="E59">
        <f>+E58*365</f>
        <v>365000</v>
      </c>
    </row>
    <row r="60" spans="3:14" x14ac:dyDescent="0.25">
      <c r="E60" s="229">
        <f>+E54/E59</f>
        <v>4.4795762849315066</v>
      </c>
      <c r="F60" t="s">
        <v>524</v>
      </c>
    </row>
    <row r="61" spans="3:14" x14ac:dyDescent="0.25">
      <c r="E61" s="223"/>
    </row>
  </sheetData>
  <mergeCells count="1">
    <mergeCell ref="W3:X3"/>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72A72-AF19-4504-9414-6F61CF25CDA8}">
  <dimension ref="B1:U47"/>
  <sheetViews>
    <sheetView showGridLines="0" workbookViewId="0">
      <selection activeCell="N4" sqref="N4:N37"/>
    </sheetView>
  </sheetViews>
  <sheetFormatPr baseColWidth="10" defaultRowHeight="15" x14ac:dyDescent="0.25"/>
  <cols>
    <col min="2" max="2" width="30.28515625" customWidth="1"/>
    <col min="4" max="5" width="11.42578125" style="194"/>
    <col min="20" max="20" width="12" bestFit="1" customWidth="1"/>
  </cols>
  <sheetData>
    <row r="1" spans="2:21" x14ac:dyDescent="0.25">
      <c r="D1" s="250">
        <v>6.0871741676095334</v>
      </c>
      <c r="E1" s="194" t="s">
        <v>545</v>
      </c>
      <c r="L1">
        <v>1.01</v>
      </c>
      <c r="M1" t="s">
        <v>548</v>
      </c>
      <c r="N1">
        <f>+L1/1000</f>
        <v>1.01E-3</v>
      </c>
      <c r="O1" t="s">
        <v>549</v>
      </c>
      <c r="T1">
        <f>6.1178632*1000000000</f>
        <v>6117863200</v>
      </c>
      <c r="U1" t="s">
        <v>550</v>
      </c>
    </row>
    <row r="2" spans="2:21" x14ac:dyDescent="0.25">
      <c r="C2" s="194"/>
      <c r="T2">
        <f>+T1/(1000000000000000)</f>
        <v>6.1178631999999998E-6</v>
      </c>
      <c r="U2" t="s">
        <v>551</v>
      </c>
    </row>
    <row r="3" spans="2:21" x14ac:dyDescent="0.25">
      <c r="C3" s="247" t="s">
        <v>475</v>
      </c>
      <c r="E3" s="247" t="s">
        <v>542</v>
      </c>
      <c r="F3" s="194" t="s">
        <v>543</v>
      </c>
      <c r="G3" s="247" t="s">
        <v>478</v>
      </c>
      <c r="L3" s="251" t="s">
        <v>544</v>
      </c>
      <c r="M3" s="205" t="s">
        <v>547</v>
      </c>
      <c r="N3" t="s">
        <v>554</v>
      </c>
      <c r="P3" s="205" t="s">
        <v>552</v>
      </c>
      <c r="Q3" t="s">
        <v>552</v>
      </c>
      <c r="R3" t="s">
        <v>553</v>
      </c>
    </row>
    <row r="4" spans="2:21" x14ac:dyDescent="0.25">
      <c r="B4" t="s">
        <v>301</v>
      </c>
      <c r="C4" s="254">
        <v>28.68</v>
      </c>
      <c r="E4" s="255">
        <v>0</v>
      </c>
      <c r="F4" s="249">
        <f>+C4-E4</f>
        <v>28.68</v>
      </c>
      <c r="G4" s="183">
        <v>172.07</v>
      </c>
      <c r="I4">
        <f>+F4/G4</f>
        <v>0.16667635264717848</v>
      </c>
      <c r="L4" s="252">
        <f>+E4*1000*$D$1/1000</f>
        <v>0</v>
      </c>
      <c r="M4" s="248">
        <f>+G4*1000*$N$1</f>
        <v>173.79070000000002</v>
      </c>
      <c r="N4" s="253">
        <f>+IF(L4=0,0,M4/L4)</f>
        <v>0</v>
      </c>
      <c r="P4" s="248">
        <f>+M4+L4</f>
        <v>173.79070000000002</v>
      </c>
      <c r="Q4" s="229">
        <f>+C4*1000000*$T$2</f>
        <v>175.460316576</v>
      </c>
      <c r="R4" s="186">
        <f>+(P4-Q4)/P4</f>
        <v>-9.6070536340551096E-3</v>
      </c>
    </row>
    <row r="5" spans="2:21" x14ac:dyDescent="0.25">
      <c r="B5" t="s">
        <v>342</v>
      </c>
      <c r="C5" s="247">
        <v>89.87</v>
      </c>
      <c r="E5" s="255">
        <f>+C5</f>
        <v>89.87</v>
      </c>
      <c r="F5" s="249">
        <f t="shared" ref="F5:F37" si="0">+C5-E5</f>
        <v>0</v>
      </c>
      <c r="G5" s="183">
        <v>0</v>
      </c>
      <c r="I5" t="e">
        <f t="shared" ref="I5:I37" si="1">+F5/G5</f>
        <v>#DIV/0!</v>
      </c>
      <c r="L5" s="252">
        <f t="shared" ref="L5:L37" si="2">+E5*1000*$D$1/1000</f>
        <v>547.05434244306878</v>
      </c>
      <c r="M5" s="248">
        <f t="shared" ref="M5:M37" si="3">+G5*1000*$N$1</f>
        <v>0</v>
      </c>
      <c r="N5" s="253">
        <f t="shared" ref="N5:N37" si="4">+IF(L5=0,0,M5/L5)</f>
        <v>0</v>
      </c>
      <c r="P5" s="248">
        <f t="shared" ref="P5:P36" si="5">+M5+L5</f>
        <v>547.05434244306878</v>
      </c>
      <c r="Q5" s="229">
        <f t="shared" ref="Q5:Q37" si="6">+C5*1000000*$T$2</f>
        <v>549.81236578400001</v>
      </c>
      <c r="R5" s="186">
        <f t="shared" ref="R5:R37" si="7">+(P5-Q5)/P5</f>
        <v>-5.0415893393959401E-3</v>
      </c>
    </row>
    <row r="6" spans="2:21" x14ac:dyDescent="0.25">
      <c r="B6" t="s">
        <v>491</v>
      </c>
      <c r="C6" s="247">
        <v>1.37</v>
      </c>
      <c r="E6" s="256">
        <f>+C6*98.88%</f>
        <v>1.3546559999999999</v>
      </c>
      <c r="F6" s="249">
        <f t="shared" si="0"/>
        <v>1.5344000000000246E-2</v>
      </c>
      <c r="G6" s="183">
        <v>1.5344000000000003E-2</v>
      </c>
      <c r="I6">
        <f t="shared" si="1"/>
        <v>1.0000000000000158</v>
      </c>
      <c r="L6" s="252">
        <f t="shared" si="2"/>
        <v>8.2460270091972596</v>
      </c>
      <c r="M6" s="248">
        <f t="shared" si="3"/>
        <v>1.5497440000000003E-2</v>
      </c>
      <c r="N6" s="253">
        <f t="shared" si="4"/>
        <v>1.8793826387804495E-3</v>
      </c>
      <c r="P6" s="248">
        <f t="shared" si="5"/>
        <v>8.2615244491972604</v>
      </c>
      <c r="Q6" s="229">
        <f t="shared" si="6"/>
        <v>8.3814725839999991</v>
      </c>
      <c r="R6" s="186">
        <f t="shared" si="7"/>
        <v>-1.4518886379909409E-2</v>
      </c>
    </row>
    <row r="7" spans="2:21" x14ac:dyDescent="0.25">
      <c r="B7" t="s">
        <v>346</v>
      </c>
      <c r="C7" s="247">
        <v>2.5</v>
      </c>
      <c r="E7" s="255">
        <f>+C7*99.53%</f>
        <v>2.4882499999999999</v>
      </c>
      <c r="F7" s="249">
        <f t="shared" si="0"/>
        <v>1.1750000000000149E-2</v>
      </c>
      <c r="G7" s="183">
        <v>7.0000000000000007E-2</v>
      </c>
      <c r="I7">
        <f t="shared" si="1"/>
        <v>0.16785714285714498</v>
      </c>
      <c r="L7" s="252">
        <f t="shared" si="2"/>
        <v>15.146411122554422</v>
      </c>
      <c r="M7" s="248">
        <f t="shared" si="3"/>
        <v>7.0699999999999999E-2</v>
      </c>
      <c r="N7" s="253">
        <f t="shared" si="4"/>
        <v>4.6677724134082882E-3</v>
      </c>
      <c r="P7" s="248">
        <f t="shared" si="5"/>
        <v>15.217111122554423</v>
      </c>
      <c r="Q7" s="229">
        <f t="shared" si="6"/>
        <v>15.294658</v>
      </c>
      <c r="R7" s="186">
        <f t="shared" si="7"/>
        <v>-5.0960314885681139E-3</v>
      </c>
    </row>
    <row r="8" spans="2:21" x14ac:dyDescent="0.25">
      <c r="B8" t="s">
        <v>311</v>
      </c>
      <c r="C8" s="247">
        <v>14.92</v>
      </c>
      <c r="E8" s="255">
        <v>0</v>
      </c>
      <c r="F8" s="249">
        <f t="shared" si="0"/>
        <v>14.92</v>
      </c>
      <c r="G8" s="183">
        <v>89.54</v>
      </c>
      <c r="I8">
        <f t="shared" si="1"/>
        <v>0.16662943935671207</v>
      </c>
      <c r="L8" s="252">
        <f t="shared" si="2"/>
        <v>0</v>
      </c>
      <c r="M8" s="248">
        <f t="shared" si="3"/>
        <v>90.435400000000001</v>
      </c>
      <c r="N8" s="253">
        <f t="shared" si="4"/>
        <v>0</v>
      </c>
      <c r="P8" s="248">
        <f t="shared" si="5"/>
        <v>90.435400000000001</v>
      </c>
      <c r="Q8" s="229">
        <f t="shared" si="6"/>
        <v>91.278518943999998</v>
      </c>
      <c r="R8" s="186">
        <f t="shared" si="7"/>
        <v>-9.3228862149113828E-3</v>
      </c>
    </row>
    <row r="9" spans="2:21" x14ac:dyDescent="0.25">
      <c r="B9" t="s">
        <v>492</v>
      </c>
      <c r="C9" s="247">
        <v>153.29</v>
      </c>
      <c r="E9" s="255">
        <v>153.29</v>
      </c>
      <c r="F9" s="249">
        <f t="shared" si="0"/>
        <v>0</v>
      </c>
      <c r="G9" s="183">
        <v>0</v>
      </c>
      <c r="I9" t="e">
        <f t="shared" si="1"/>
        <v>#DIV/0!</v>
      </c>
      <c r="L9" s="252">
        <f t="shared" si="2"/>
        <v>933.10292815286539</v>
      </c>
      <c r="M9" s="248">
        <f t="shared" si="3"/>
        <v>0</v>
      </c>
      <c r="N9" s="253">
        <f t="shared" si="4"/>
        <v>0</v>
      </c>
      <c r="P9" s="248">
        <f t="shared" si="5"/>
        <v>933.10292815286539</v>
      </c>
      <c r="Q9" s="229">
        <f t="shared" si="6"/>
        <v>937.80724992799992</v>
      </c>
      <c r="R9" s="186">
        <f t="shared" si="7"/>
        <v>-5.041589339395843E-3</v>
      </c>
    </row>
    <row r="10" spans="2:21" x14ac:dyDescent="0.25">
      <c r="B10" t="s">
        <v>493</v>
      </c>
      <c r="C10" s="247">
        <v>0.88</v>
      </c>
      <c r="E10" s="255">
        <v>0.88</v>
      </c>
      <c r="F10" s="249">
        <f t="shared" si="0"/>
        <v>0</v>
      </c>
      <c r="G10" s="183">
        <v>0</v>
      </c>
      <c r="I10" t="e">
        <f t="shared" si="1"/>
        <v>#DIV/0!</v>
      </c>
      <c r="L10" s="252">
        <f t="shared" si="2"/>
        <v>5.3567132674963895</v>
      </c>
      <c r="M10" s="248">
        <f t="shared" si="3"/>
        <v>0</v>
      </c>
      <c r="N10" s="253">
        <f t="shared" si="4"/>
        <v>0</v>
      </c>
      <c r="P10" s="248">
        <f t="shared" si="5"/>
        <v>5.3567132674963895</v>
      </c>
      <c r="Q10" s="229">
        <f t="shared" si="6"/>
        <v>5.3837196159999996</v>
      </c>
      <c r="R10" s="186">
        <f t="shared" si="7"/>
        <v>-5.0415893393958404E-3</v>
      </c>
    </row>
    <row r="11" spans="2:21" x14ac:dyDescent="0.25">
      <c r="B11" t="s">
        <v>494</v>
      </c>
      <c r="C11" s="247">
        <v>543.79</v>
      </c>
      <c r="E11" s="255">
        <f>+C11</f>
        <v>543.79</v>
      </c>
      <c r="F11" s="249">
        <f t="shared" si="0"/>
        <v>0</v>
      </c>
      <c r="G11" s="183">
        <v>0</v>
      </c>
      <c r="I11" t="e">
        <f t="shared" si="1"/>
        <v>#DIV/0!</v>
      </c>
      <c r="L11" s="252">
        <f t="shared" si="2"/>
        <v>3310.1444406043884</v>
      </c>
      <c r="M11" s="248">
        <f t="shared" si="3"/>
        <v>0</v>
      </c>
      <c r="N11" s="253">
        <f t="shared" si="4"/>
        <v>0</v>
      </c>
      <c r="P11" s="248">
        <f t="shared" si="5"/>
        <v>3310.1444406043884</v>
      </c>
      <c r="Q11" s="229">
        <f t="shared" si="6"/>
        <v>3326.8328295279998</v>
      </c>
      <c r="R11" s="186">
        <f t="shared" si="7"/>
        <v>-5.0415893393958291E-3</v>
      </c>
    </row>
    <row r="12" spans="2:21" x14ac:dyDescent="0.25">
      <c r="B12" t="s">
        <v>29</v>
      </c>
      <c r="C12" s="247">
        <v>272.89999999999998</v>
      </c>
      <c r="E12" s="255">
        <v>272.29000000000002</v>
      </c>
      <c r="F12" s="249">
        <f t="shared" si="0"/>
        <v>0.6099999999999568</v>
      </c>
      <c r="G12" s="183">
        <v>0</v>
      </c>
      <c r="I12" t="e">
        <f t="shared" si="1"/>
        <v>#DIV/0!</v>
      </c>
      <c r="L12" s="252">
        <f t="shared" si="2"/>
        <v>1657.4766540983999</v>
      </c>
      <c r="M12" s="248">
        <f t="shared" si="3"/>
        <v>0</v>
      </c>
      <c r="N12" s="253">
        <f t="shared" si="4"/>
        <v>0</v>
      </c>
      <c r="P12" s="248">
        <f t="shared" si="5"/>
        <v>1657.4766540983999</v>
      </c>
      <c r="Q12" s="229">
        <f t="shared" si="6"/>
        <v>1669.56486728</v>
      </c>
      <c r="R12" s="186">
        <f t="shared" si="7"/>
        <v>-7.2931423508801486E-3</v>
      </c>
    </row>
    <row r="13" spans="2:21" x14ac:dyDescent="0.25">
      <c r="B13" t="s">
        <v>345</v>
      </c>
      <c r="C13" s="247">
        <v>16.52</v>
      </c>
      <c r="E13" s="255">
        <f>+C13*98.07%</f>
        <v>16.201163999999999</v>
      </c>
      <c r="F13" s="249">
        <f t="shared" si="0"/>
        <v>0.31883600000000101</v>
      </c>
      <c r="G13" s="183">
        <v>1.61</v>
      </c>
      <c r="I13">
        <f t="shared" si="1"/>
        <v>0.19803478260869625</v>
      </c>
      <c r="L13" s="252">
        <f t="shared" si="2"/>
        <v>98.619306986005526</v>
      </c>
      <c r="M13" s="248">
        <f t="shared" si="3"/>
        <v>1.6261000000000001</v>
      </c>
      <c r="N13" s="253">
        <f t="shared" si="4"/>
        <v>1.6488657745594888E-2</v>
      </c>
      <c r="P13" s="248">
        <f t="shared" si="5"/>
        <v>100.24540698600552</v>
      </c>
      <c r="Q13" s="229">
        <f t="shared" si="6"/>
        <v>101.067100064</v>
      </c>
      <c r="R13" s="186">
        <f t="shared" si="7"/>
        <v>-8.1968152227582056E-3</v>
      </c>
    </row>
    <row r="14" spans="2:21" x14ac:dyDescent="0.25">
      <c r="B14" t="s">
        <v>140</v>
      </c>
      <c r="C14" s="247">
        <v>21.91</v>
      </c>
      <c r="E14" s="255">
        <f>+C14</f>
        <v>21.91</v>
      </c>
      <c r="F14" s="249">
        <f t="shared" si="0"/>
        <v>0</v>
      </c>
      <c r="G14" s="183">
        <v>0</v>
      </c>
      <c r="I14" t="e">
        <f t="shared" si="1"/>
        <v>#DIV/0!</v>
      </c>
      <c r="L14" s="252">
        <f t="shared" si="2"/>
        <v>133.36998601232486</v>
      </c>
      <c r="M14" s="248">
        <f t="shared" si="3"/>
        <v>0</v>
      </c>
      <c r="N14" s="253">
        <f t="shared" si="4"/>
        <v>0</v>
      </c>
      <c r="P14" s="248">
        <f t="shared" si="5"/>
        <v>133.36998601232486</v>
      </c>
      <c r="Q14" s="229">
        <f t="shared" si="6"/>
        <v>134.04238271200001</v>
      </c>
      <c r="R14" s="186">
        <f t="shared" si="7"/>
        <v>-5.041589339396124E-3</v>
      </c>
    </row>
    <row r="15" spans="2:21" x14ac:dyDescent="0.25">
      <c r="B15" t="s">
        <v>495</v>
      </c>
      <c r="C15" s="247">
        <v>8.85</v>
      </c>
      <c r="E15" s="255">
        <f>+C15</f>
        <v>8.85</v>
      </c>
      <c r="F15" s="249">
        <f t="shared" si="0"/>
        <v>0</v>
      </c>
      <c r="G15" s="183">
        <v>0</v>
      </c>
      <c r="I15" t="e">
        <f t="shared" si="1"/>
        <v>#DIV/0!</v>
      </c>
      <c r="L15" s="252">
        <f t="shared" si="2"/>
        <v>53.87149138334437</v>
      </c>
      <c r="M15" s="248">
        <f t="shared" si="3"/>
        <v>0</v>
      </c>
      <c r="N15" s="253">
        <f t="shared" si="4"/>
        <v>0</v>
      </c>
      <c r="P15" s="248">
        <f t="shared" si="5"/>
        <v>53.87149138334437</v>
      </c>
      <c r="Q15" s="229">
        <f t="shared" si="6"/>
        <v>54.143089320000001</v>
      </c>
      <c r="R15" s="186">
        <f t="shared" si="7"/>
        <v>-5.0415893393959757E-3</v>
      </c>
    </row>
    <row r="16" spans="2:21" x14ac:dyDescent="0.25">
      <c r="B16" t="s">
        <v>61</v>
      </c>
      <c r="C16" s="247">
        <v>146.25</v>
      </c>
      <c r="E16" s="255">
        <v>146.25</v>
      </c>
      <c r="F16" s="249">
        <f t="shared" si="0"/>
        <v>0</v>
      </c>
      <c r="G16" s="183">
        <v>0</v>
      </c>
      <c r="I16" t="e">
        <f t="shared" si="1"/>
        <v>#DIV/0!</v>
      </c>
      <c r="L16" s="252">
        <f t="shared" si="2"/>
        <v>890.24922201289428</v>
      </c>
      <c r="M16" s="248">
        <f t="shared" si="3"/>
        <v>0</v>
      </c>
      <c r="N16" s="253">
        <f t="shared" si="4"/>
        <v>0</v>
      </c>
      <c r="P16" s="248">
        <f t="shared" si="5"/>
        <v>890.24922201289428</v>
      </c>
      <c r="Q16" s="229">
        <f t="shared" si="6"/>
        <v>894.73749299999997</v>
      </c>
      <c r="R16" s="186">
        <f t="shared" si="7"/>
        <v>-5.0415893393958907E-3</v>
      </c>
    </row>
    <row r="17" spans="2:18" x14ac:dyDescent="0.25">
      <c r="B17" t="s">
        <v>496</v>
      </c>
      <c r="C17" s="247">
        <v>89.99</v>
      </c>
      <c r="E17" s="255">
        <f>+C17</f>
        <v>89.99</v>
      </c>
      <c r="F17" s="249">
        <f t="shared" si="0"/>
        <v>0</v>
      </c>
      <c r="G17" s="183">
        <v>0</v>
      </c>
      <c r="I17" t="e">
        <f t="shared" si="1"/>
        <v>#DIV/0!</v>
      </c>
      <c r="L17" s="252">
        <f t="shared" si="2"/>
        <v>547.78480334318192</v>
      </c>
      <c r="M17" s="248">
        <f t="shared" si="3"/>
        <v>0</v>
      </c>
      <c r="N17" s="253">
        <f t="shared" si="4"/>
        <v>0</v>
      </c>
      <c r="P17" s="248">
        <f t="shared" si="5"/>
        <v>547.78480334318192</v>
      </c>
      <c r="Q17" s="229">
        <f t="shared" si="6"/>
        <v>550.54650936799999</v>
      </c>
      <c r="R17" s="186">
        <f t="shared" si="7"/>
        <v>-5.0415893393959046E-3</v>
      </c>
    </row>
    <row r="18" spans="2:18" x14ac:dyDescent="0.25">
      <c r="B18" t="s">
        <v>497</v>
      </c>
      <c r="C18" s="247">
        <v>86.96</v>
      </c>
      <c r="E18" s="255">
        <f>+C18*68.57%</f>
        <v>59.628471999999995</v>
      </c>
      <c r="F18" s="249">
        <f t="shared" si="0"/>
        <v>27.331527999999999</v>
      </c>
      <c r="G18" s="183">
        <v>357.74</v>
      </c>
      <c r="I18">
        <f t="shared" si="1"/>
        <v>7.6400536702633193E-2</v>
      </c>
      <c r="L18" s="252">
        <f t="shared" si="2"/>
        <v>362.96889441242831</v>
      </c>
      <c r="M18" s="248">
        <f t="shared" si="3"/>
        <v>361.31740000000002</v>
      </c>
      <c r="N18" s="253">
        <f t="shared" si="4"/>
        <v>0.995450038728245</v>
      </c>
      <c r="P18" s="248">
        <f t="shared" si="5"/>
        <v>724.28629441242833</v>
      </c>
      <c r="Q18" s="229">
        <f t="shared" si="6"/>
        <v>532.00938387199994</v>
      </c>
      <c r="R18" s="186">
        <f t="shared" si="7"/>
        <v>0.26547086700903483</v>
      </c>
    </row>
    <row r="19" spans="2:18" x14ac:dyDescent="0.25">
      <c r="B19" t="s">
        <v>498</v>
      </c>
      <c r="C19" s="247">
        <v>5.73</v>
      </c>
      <c r="E19" s="255">
        <f>+C19</f>
        <v>5.73</v>
      </c>
      <c r="F19" s="249">
        <f t="shared" si="0"/>
        <v>0</v>
      </c>
      <c r="G19" s="183">
        <v>0</v>
      </c>
      <c r="I19" t="e">
        <f t="shared" si="1"/>
        <v>#DIV/0!</v>
      </c>
      <c r="L19" s="252">
        <f t="shared" si="2"/>
        <v>34.879507980402622</v>
      </c>
      <c r="M19" s="248">
        <f t="shared" si="3"/>
        <v>0</v>
      </c>
      <c r="N19" s="253">
        <f t="shared" si="4"/>
        <v>0</v>
      </c>
      <c r="P19" s="248">
        <f t="shared" si="5"/>
        <v>34.879507980402622</v>
      </c>
      <c r="Q19" s="229">
        <f t="shared" si="6"/>
        <v>35.055356136</v>
      </c>
      <c r="R19" s="186">
        <f t="shared" si="7"/>
        <v>-5.0415893393960919E-3</v>
      </c>
    </row>
    <row r="20" spans="2:18" x14ac:dyDescent="0.25">
      <c r="B20" t="s">
        <v>499</v>
      </c>
      <c r="C20" s="247">
        <v>89.27</v>
      </c>
      <c r="E20" s="255">
        <f>+C20*5.84%</f>
        <v>5.213368</v>
      </c>
      <c r="F20" s="249">
        <f t="shared" si="0"/>
        <v>84.056631999999993</v>
      </c>
      <c r="G20" s="183">
        <v>504.38</v>
      </c>
      <c r="I20">
        <f t="shared" si="1"/>
        <v>0.16665338038780284</v>
      </c>
      <c r="L20" s="252">
        <f t="shared" si="2"/>
        <v>31.734679015842179</v>
      </c>
      <c r="M20" s="248">
        <f t="shared" si="3"/>
        <v>509.42380000000003</v>
      </c>
      <c r="N20" s="253">
        <f t="shared" si="4"/>
        <v>16.052590282879244</v>
      </c>
      <c r="P20" s="248">
        <f t="shared" si="5"/>
        <v>541.1584790158422</v>
      </c>
      <c r="Q20" s="229">
        <f t="shared" si="6"/>
        <v>546.14164786399999</v>
      </c>
      <c r="R20" s="186">
        <f t="shared" si="7"/>
        <v>-9.2083355271828024E-3</v>
      </c>
    </row>
    <row r="21" spans="2:18" x14ac:dyDescent="0.25">
      <c r="B21" t="s">
        <v>500</v>
      </c>
      <c r="C21" s="247">
        <v>10.25</v>
      </c>
      <c r="E21" s="255">
        <f>+C21*2%</f>
        <v>0.20500000000000002</v>
      </c>
      <c r="F21" s="249">
        <f t="shared" si="0"/>
        <v>10.045</v>
      </c>
      <c r="G21" s="183">
        <v>60.26</v>
      </c>
      <c r="I21">
        <f t="shared" si="1"/>
        <v>0.16669432459342848</v>
      </c>
      <c r="L21" s="252">
        <f t="shared" si="2"/>
        <v>1.2478707043599546</v>
      </c>
      <c r="M21" s="248">
        <f t="shared" si="3"/>
        <v>60.8626</v>
      </c>
      <c r="N21" s="253">
        <f t="shared" si="4"/>
        <v>48.773161984932592</v>
      </c>
      <c r="P21" s="248">
        <f t="shared" si="5"/>
        <v>62.110470704359955</v>
      </c>
      <c r="Q21" s="229">
        <f t="shared" si="6"/>
        <v>62.708097799999997</v>
      </c>
      <c r="R21" s="186">
        <f t="shared" si="7"/>
        <v>-9.6220023590658631E-3</v>
      </c>
    </row>
    <row r="22" spans="2:18" x14ac:dyDescent="0.25">
      <c r="B22" t="s">
        <v>501</v>
      </c>
      <c r="C22" s="247">
        <v>17.7</v>
      </c>
      <c r="E22" s="255">
        <f>+C22*8.23%</f>
        <v>1.4567099999999999</v>
      </c>
      <c r="F22" s="249">
        <f t="shared" si="0"/>
        <v>16.243289999999998</v>
      </c>
      <c r="G22" s="183">
        <v>97.48</v>
      </c>
      <c r="I22">
        <f t="shared" si="1"/>
        <v>0.16663202708247843</v>
      </c>
      <c r="L22" s="252">
        <f t="shared" si="2"/>
        <v>8.8672474816984828</v>
      </c>
      <c r="M22" s="248">
        <f t="shared" si="3"/>
        <v>98.454800000000006</v>
      </c>
      <c r="N22" s="253">
        <f t="shared" si="4"/>
        <v>11.103197492029558</v>
      </c>
      <c r="P22" s="248">
        <f t="shared" si="5"/>
        <v>107.32204748169849</v>
      </c>
      <c r="Q22" s="229">
        <f t="shared" si="6"/>
        <v>108.28617864</v>
      </c>
      <c r="R22" s="186">
        <f t="shared" si="7"/>
        <v>-8.9835330290910127E-3</v>
      </c>
    </row>
    <row r="23" spans="2:18" x14ac:dyDescent="0.25">
      <c r="B23" t="s">
        <v>502</v>
      </c>
      <c r="C23" s="247">
        <v>8.8000000000000007</v>
      </c>
      <c r="E23" s="255">
        <f>+C23*94.66%</f>
        <v>8.3300800000000006</v>
      </c>
      <c r="F23" s="249">
        <f t="shared" si="0"/>
        <v>0.46992000000000012</v>
      </c>
      <c r="G23" s="183">
        <v>2.82</v>
      </c>
      <c r="I23">
        <f t="shared" si="1"/>
        <v>0.16663829787234047</v>
      </c>
      <c r="L23" s="252">
        <f t="shared" si="2"/>
        <v>50.706647790120819</v>
      </c>
      <c r="M23" s="248">
        <f t="shared" si="3"/>
        <v>2.8482000000000003</v>
      </c>
      <c r="N23" s="253">
        <f t="shared" si="4"/>
        <v>5.6170149756082186E-2</v>
      </c>
      <c r="P23" s="248">
        <f t="shared" si="5"/>
        <v>53.554847790120817</v>
      </c>
      <c r="Q23" s="229">
        <f t="shared" si="6"/>
        <v>53.837196159999998</v>
      </c>
      <c r="R23" s="186">
        <f t="shared" si="7"/>
        <v>-5.2721346718357176E-3</v>
      </c>
    </row>
    <row r="24" spans="2:18" x14ac:dyDescent="0.25">
      <c r="B24" t="s">
        <v>503</v>
      </c>
      <c r="C24" s="247">
        <v>1.1399999999999999</v>
      </c>
      <c r="E24" s="255">
        <f>+C24*93.12%</f>
        <v>1.0615679999999998</v>
      </c>
      <c r="F24" s="249">
        <f t="shared" si="0"/>
        <v>7.8432000000000057E-2</v>
      </c>
      <c r="G24" s="183">
        <v>0.47</v>
      </c>
      <c r="I24">
        <f t="shared" si="1"/>
        <v>0.16687659574468097</v>
      </c>
      <c r="L24" s="252">
        <f t="shared" si="2"/>
        <v>6.4619493067609159</v>
      </c>
      <c r="M24" s="248">
        <f t="shared" si="3"/>
        <v>0.47470000000000001</v>
      </c>
      <c r="N24" s="253">
        <f t="shared" si="4"/>
        <v>7.3460805318193642E-2</v>
      </c>
      <c r="P24" s="248">
        <f t="shared" si="5"/>
        <v>6.9366493067609163</v>
      </c>
      <c r="Q24" s="229">
        <f t="shared" si="6"/>
        <v>6.974364048</v>
      </c>
      <c r="R24" s="186">
        <f t="shared" si="7"/>
        <v>-5.4370257989436507E-3</v>
      </c>
    </row>
    <row r="25" spans="2:18" x14ac:dyDescent="0.25">
      <c r="B25" t="s">
        <v>504</v>
      </c>
      <c r="C25" s="247">
        <v>1.31</v>
      </c>
      <c r="E25" s="255">
        <f>+C25*95.34%</f>
        <v>1.2489540000000001</v>
      </c>
      <c r="F25" s="249">
        <f t="shared" si="0"/>
        <v>6.1045999999999934E-2</v>
      </c>
      <c r="G25" s="183">
        <v>0.37</v>
      </c>
      <c r="I25">
        <f t="shared" si="1"/>
        <v>0.16498918918918901</v>
      </c>
      <c r="L25" s="252">
        <f t="shared" si="2"/>
        <v>7.6026005253325986</v>
      </c>
      <c r="M25" s="248">
        <f t="shared" si="3"/>
        <v>0.37370000000000003</v>
      </c>
      <c r="N25" s="253">
        <f t="shared" si="4"/>
        <v>4.9154233311982598E-2</v>
      </c>
      <c r="P25" s="248">
        <f t="shared" si="5"/>
        <v>7.9763005253325989</v>
      </c>
      <c r="Q25" s="229">
        <f t="shared" si="6"/>
        <v>8.014400792</v>
      </c>
      <c r="R25" s="186">
        <f t="shared" si="7"/>
        <v>-4.7766839459465263E-3</v>
      </c>
    </row>
    <row r="26" spans="2:18" x14ac:dyDescent="0.25">
      <c r="B26" t="s">
        <v>505</v>
      </c>
      <c r="C26" s="247">
        <v>4.72</v>
      </c>
      <c r="E26" s="255">
        <f>+C26*73.7%</f>
        <v>3.47864</v>
      </c>
      <c r="F26" s="249">
        <f t="shared" si="0"/>
        <v>1.2413599999999998</v>
      </c>
      <c r="G26" s="183">
        <v>7.45</v>
      </c>
      <c r="I26">
        <f t="shared" si="1"/>
        <v>0.16662550335570467</v>
      </c>
      <c r="L26" s="252">
        <f t="shared" si="2"/>
        <v>21.175087546413227</v>
      </c>
      <c r="M26" s="248">
        <f t="shared" si="3"/>
        <v>7.5245000000000006</v>
      </c>
      <c r="N26" s="253">
        <f t="shared" si="4"/>
        <v>0.35534681892139564</v>
      </c>
      <c r="P26" s="248">
        <f t="shared" si="5"/>
        <v>28.699587546413227</v>
      </c>
      <c r="Q26" s="229">
        <f t="shared" si="6"/>
        <v>28.876314303999997</v>
      </c>
      <c r="R26" s="186">
        <f t="shared" si="7"/>
        <v>-6.1578152404095183E-3</v>
      </c>
    </row>
    <row r="27" spans="2:18" x14ac:dyDescent="0.25">
      <c r="B27" t="s">
        <v>506</v>
      </c>
      <c r="C27" s="247">
        <v>11.27</v>
      </c>
      <c r="E27" s="255">
        <v>11.27</v>
      </c>
      <c r="F27" s="249">
        <f t="shared" si="0"/>
        <v>0</v>
      </c>
      <c r="G27" s="183">
        <v>0</v>
      </c>
      <c r="I27" t="e">
        <f t="shared" si="1"/>
        <v>#DIV/0!</v>
      </c>
      <c r="L27" s="252">
        <f t="shared" si="2"/>
        <v>68.602452868959446</v>
      </c>
      <c r="M27" s="248">
        <f t="shared" si="3"/>
        <v>0</v>
      </c>
      <c r="N27" s="253">
        <f t="shared" si="4"/>
        <v>0</v>
      </c>
      <c r="P27" s="248">
        <f t="shared" si="5"/>
        <v>68.602452868959446</v>
      </c>
      <c r="Q27" s="229">
        <f t="shared" si="6"/>
        <v>68.948318263999994</v>
      </c>
      <c r="R27" s="186">
        <f t="shared" si="7"/>
        <v>-5.0415893393957849E-3</v>
      </c>
    </row>
    <row r="28" spans="2:18" x14ac:dyDescent="0.25">
      <c r="B28" t="s">
        <v>318</v>
      </c>
      <c r="C28" s="247">
        <v>3.84</v>
      </c>
      <c r="E28" s="255"/>
      <c r="F28" s="249">
        <f t="shared" si="0"/>
        <v>3.84</v>
      </c>
      <c r="G28" s="183">
        <v>23.03</v>
      </c>
      <c r="I28">
        <f t="shared" si="1"/>
        <v>0.16673903603994789</v>
      </c>
      <c r="L28" s="252">
        <f t="shared" si="2"/>
        <v>0</v>
      </c>
      <c r="M28" s="248">
        <f t="shared" si="3"/>
        <v>23.260300000000001</v>
      </c>
      <c r="N28" s="253">
        <f t="shared" si="4"/>
        <v>0</v>
      </c>
      <c r="P28" s="248">
        <f t="shared" si="5"/>
        <v>23.260300000000001</v>
      </c>
      <c r="Q28" s="229">
        <f t="shared" si="6"/>
        <v>23.492594688000001</v>
      </c>
      <c r="R28" s="186">
        <f t="shared" si="7"/>
        <v>-9.9867451408623114E-3</v>
      </c>
    </row>
    <row r="29" spans="2:18" x14ac:dyDescent="0.25">
      <c r="B29" t="s">
        <v>508</v>
      </c>
      <c r="C29" s="247">
        <v>14.92</v>
      </c>
      <c r="E29" s="255">
        <f>+C29*99.74%</f>
        <v>14.881207999999999</v>
      </c>
      <c r="F29" s="249">
        <f t="shared" si="0"/>
        <v>3.8792000000000826E-2</v>
      </c>
      <c r="G29" s="183">
        <v>0.24</v>
      </c>
      <c r="I29">
        <f t="shared" si="1"/>
        <v>0.16163333333333679</v>
      </c>
      <c r="L29" s="252">
        <f t="shared" si="2"/>
        <v>90.584504920424322</v>
      </c>
      <c r="M29" s="248">
        <f t="shared" si="3"/>
        <v>0.2424</v>
      </c>
      <c r="N29" s="253">
        <f t="shared" si="4"/>
        <v>2.6759543501721503E-3</v>
      </c>
      <c r="P29" s="248">
        <f t="shared" si="5"/>
        <v>90.826904920424326</v>
      </c>
      <c r="Q29" s="229">
        <f t="shared" si="6"/>
        <v>91.278518943999998</v>
      </c>
      <c r="R29" s="186">
        <f t="shared" si="7"/>
        <v>-4.9722494008943973E-3</v>
      </c>
    </row>
    <row r="30" spans="2:18" x14ac:dyDescent="0.25">
      <c r="B30" t="s">
        <v>80</v>
      </c>
      <c r="C30" s="247">
        <v>43.42</v>
      </c>
      <c r="E30" s="255">
        <f>+C30*93.49%</f>
        <v>40.593358000000002</v>
      </c>
      <c r="F30" s="249">
        <f t="shared" si="0"/>
        <v>2.8266419999999997</v>
      </c>
      <c r="G30" s="183">
        <v>16.96</v>
      </c>
      <c r="I30">
        <f t="shared" si="1"/>
        <v>0.1666652122641509</v>
      </c>
      <c r="L30" s="252">
        <f t="shared" si="2"/>
        <v>247.09884019412581</v>
      </c>
      <c r="M30" s="248">
        <f t="shared" si="3"/>
        <v>17.1296</v>
      </c>
      <c r="N30" s="253">
        <f t="shared" si="4"/>
        <v>6.9322866859847024E-2</v>
      </c>
      <c r="P30" s="248">
        <f t="shared" si="5"/>
        <v>264.22844019412582</v>
      </c>
      <c r="Q30" s="229">
        <f t="shared" si="6"/>
        <v>265.63762014399998</v>
      </c>
      <c r="R30" s="186">
        <f t="shared" si="7"/>
        <v>-5.3331880127621707E-3</v>
      </c>
    </row>
    <row r="31" spans="2:18" x14ac:dyDescent="0.25">
      <c r="B31" t="s">
        <v>449</v>
      </c>
      <c r="C31" s="247">
        <v>7.3</v>
      </c>
      <c r="E31" s="255">
        <f>+C31*89.64%</f>
        <v>6.5437199999999995</v>
      </c>
      <c r="F31" s="249">
        <f t="shared" si="0"/>
        <v>0.75628000000000029</v>
      </c>
      <c r="G31" s="183">
        <v>4.54</v>
      </c>
      <c r="I31">
        <f t="shared" si="1"/>
        <v>0.1665814977973569</v>
      </c>
      <c r="L31" s="252">
        <f t="shared" si="2"/>
        <v>39.832763344069853</v>
      </c>
      <c r="M31" s="248">
        <f t="shared" si="3"/>
        <v>4.5853999999999999</v>
      </c>
      <c r="N31" s="253">
        <f t="shared" si="4"/>
        <v>0.11511629159121987</v>
      </c>
      <c r="P31" s="248">
        <f t="shared" si="5"/>
        <v>44.418163344069853</v>
      </c>
      <c r="Q31" s="229">
        <f t="shared" si="6"/>
        <v>44.660401360000002</v>
      </c>
      <c r="R31" s="186">
        <f t="shared" si="7"/>
        <v>-5.4535801954199619E-3</v>
      </c>
    </row>
    <row r="32" spans="2:18" x14ac:dyDescent="0.25">
      <c r="B32" t="s">
        <v>509</v>
      </c>
      <c r="C32" s="247">
        <v>0.57999999999999996</v>
      </c>
      <c r="E32" s="255">
        <f>+C32</f>
        <v>0.57999999999999996</v>
      </c>
      <c r="F32" s="249">
        <f t="shared" si="0"/>
        <v>0</v>
      </c>
      <c r="G32" s="183">
        <v>0</v>
      </c>
      <c r="I32" t="e">
        <f t="shared" si="1"/>
        <v>#DIV/0!</v>
      </c>
      <c r="L32" s="252">
        <f t="shared" si="2"/>
        <v>3.5305610172135293</v>
      </c>
      <c r="M32" s="248">
        <f t="shared" si="3"/>
        <v>0</v>
      </c>
      <c r="N32" s="253">
        <f t="shared" si="4"/>
        <v>0</v>
      </c>
      <c r="P32" s="248">
        <f t="shared" si="5"/>
        <v>3.5305610172135293</v>
      </c>
      <c r="Q32" s="229">
        <f t="shared" si="6"/>
        <v>3.5483606559999998</v>
      </c>
      <c r="R32" s="186">
        <f t="shared" si="7"/>
        <v>-5.0415893393959089E-3</v>
      </c>
    </row>
    <row r="33" spans="2:18" x14ac:dyDescent="0.25">
      <c r="B33" t="s">
        <v>510</v>
      </c>
      <c r="C33" s="247">
        <v>130.22</v>
      </c>
      <c r="E33" s="255">
        <f>+C33*63.65%</f>
        <v>82.88503</v>
      </c>
      <c r="F33" s="249">
        <f t="shared" si="0"/>
        <v>47.334969999999998</v>
      </c>
      <c r="G33" s="183">
        <v>284</v>
      </c>
      <c r="I33">
        <f t="shared" si="1"/>
        <v>0.16667242957746478</v>
      </c>
      <c r="L33" s="252">
        <f t="shared" si="2"/>
        <v>504.53561349754125</v>
      </c>
      <c r="M33" s="248">
        <f t="shared" si="3"/>
        <v>286.84000000000003</v>
      </c>
      <c r="N33" s="253">
        <f t="shared" si="4"/>
        <v>0.56852280062366278</v>
      </c>
      <c r="P33" s="248">
        <f t="shared" si="5"/>
        <v>791.37561349754128</v>
      </c>
      <c r="Q33" s="229">
        <f t="shared" si="6"/>
        <v>796.66814590399997</v>
      </c>
      <c r="R33" s="186">
        <f t="shared" si="7"/>
        <v>-6.6877628223442013E-3</v>
      </c>
    </row>
    <row r="34" spans="2:18" x14ac:dyDescent="0.25">
      <c r="B34" t="s">
        <v>344</v>
      </c>
      <c r="C34" s="247">
        <v>24.09</v>
      </c>
      <c r="E34" s="255">
        <f>+C34</f>
        <v>24.09</v>
      </c>
      <c r="F34" s="249">
        <f t="shared" si="0"/>
        <v>0</v>
      </c>
      <c r="G34" s="183">
        <v>0</v>
      </c>
      <c r="I34" t="e">
        <f t="shared" si="1"/>
        <v>#DIV/0!</v>
      </c>
      <c r="L34" s="252">
        <f t="shared" si="2"/>
        <v>146.64002569771367</v>
      </c>
      <c r="M34" s="248">
        <f t="shared" si="3"/>
        <v>0</v>
      </c>
      <c r="N34" s="253">
        <f t="shared" si="4"/>
        <v>0</v>
      </c>
      <c r="P34" s="248">
        <f t="shared" si="5"/>
        <v>146.64002569771367</v>
      </c>
      <c r="Q34" s="229">
        <f t="shared" si="6"/>
        <v>147.37932448800001</v>
      </c>
      <c r="R34" s="186">
        <f t="shared" si="7"/>
        <v>-5.0415893393959479E-3</v>
      </c>
    </row>
    <row r="35" spans="2:18" x14ac:dyDescent="0.25">
      <c r="B35" t="s">
        <v>511</v>
      </c>
      <c r="C35" s="247">
        <v>5.59</v>
      </c>
      <c r="E35" s="255">
        <f>+C35</f>
        <v>5.59</v>
      </c>
      <c r="F35" s="249">
        <f t="shared" si="0"/>
        <v>0</v>
      </c>
      <c r="G35" s="183">
        <v>0</v>
      </c>
      <c r="I35" t="e">
        <f t="shared" si="1"/>
        <v>#DIV/0!</v>
      </c>
      <c r="L35" s="252">
        <f t="shared" si="2"/>
        <v>34.027303596937294</v>
      </c>
      <c r="M35" s="248">
        <f t="shared" si="3"/>
        <v>0</v>
      </c>
      <c r="N35" s="253">
        <f t="shared" si="4"/>
        <v>0</v>
      </c>
      <c r="P35" s="248">
        <f t="shared" si="5"/>
        <v>34.027303596937294</v>
      </c>
      <c r="Q35" s="229">
        <f t="shared" si="6"/>
        <v>34.198855287999997</v>
      </c>
      <c r="R35" s="186">
        <f t="shared" si="7"/>
        <v>-5.0415893393957901E-3</v>
      </c>
    </row>
    <row r="36" spans="2:18" x14ac:dyDescent="0.25">
      <c r="B36" t="s">
        <v>345</v>
      </c>
      <c r="C36" s="247">
        <v>16.52</v>
      </c>
      <c r="E36" s="255">
        <f>+C36*98.07%</f>
        <v>16.201163999999999</v>
      </c>
      <c r="F36" s="249">
        <f t="shared" si="0"/>
        <v>0.31883600000000101</v>
      </c>
      <c r="G36" s="183">
        <v>1.91</v>
      </c>
      <c r="I36">
        <f t="shared" si="1"/>
        <v>0.16692984293193772</v>
      </c>
      <c r="L36" s="252">
        <f t="shared" si="2"/>
        <v>98.619306986005526</v>
      </c>
      <c r="M36" s="248">
        <f t="shared" si="3"/>
        <v>1.9291</v>
      </c>
      <c r="N36" s="253">
        <f t="shared" si="4"/>
        <v>1.9561078443531825E-2</v>
      </c>
      <c r="P36" s="248">
        <f t="shared" si="5"/>
        <v>100.54840698600553</v>
      </c>
      <c r="Q36" s="229">
        <f t="shared" si="6"/>
        <v>101.067100064</v>
      </c>
      <c r="R36" s="186">
        <f t="shared" si="7"/>
        <v>-5.158640435413986E-3</v>
      </c>
    </row>
    <row r="37" spans="2:18" x14ac:dyDescent="0.25">
      <c r="B37" t="s">
        <v>512</v>
      </c>
      <c r="C37" s="247">
        <v>90.73</v>
      </c>
      <c r="E37" s="255">
        <f>+C37*98.15%</f>
        <v>89.051495000000003</v>
      </c>
      <c r="F37" s="249">
        <f t="shared" si="0"/>
        <v>1.6785050000000012</v>
      </c>
      <c r="G37" s="183">
        <v>10.09</v>
      </c>
      <c r="I37">
        <f t="shared" si="1"/>
        <v>0.16635332011892975</v>
      </c>
      <c r="L37" s="252">
        <f t="shared" si="2"/>
        <v>542.0719599510096</v>
      </c>
      <c r="M37" s="248">
        <f t="shared" si="3"/>
        <v>10.190900000000001</v>
      </c>
      <c r="N37" s="253">
        <f t="shared" si="4"/>
        <v>1.879990250910786E-2</v>
      </c>
      <c r="P37" s="248">
        <f>+M37+L37</f>
        <v>552.26285995100966</v>
      </c>
      <c r="Q37" s="229">
        <f t="shared" si="6"/>
        <v>555.073728136</v>
      </c>
      <c r="R37" s="186">
        <f t="shared" si="7"/>
        <v>-5.0897288027655675E-3</v>
      </c>
    </row>
    <row r="38" spans="2:18" x14ac:dyDescent="0.25">
      <c r="C38" s="194"/>
    </row>
    <row r="39" spans="2:18" x14ac:dyDescent="0.25">
      <c r="C39" s="194"/>
      <c r="E39" s="194">
        <f>+C39*0.74%</f>
        <v>0</v>
      </c>
      <c r="G39">
        <v>23.75</v>
      </c>
    </row>
    <row r="40" spans="2:18" x14ac:dyDescent="0.25">
      <c r="E40" s="194">
        <f>+C40*70.26%</f>
        <v>0</v>
      </c>
      <c r="G40">
        <v>11.14</v>
      </c>
    </row>
    <row r="41" spans="2:18" x14ac:dyDescent="0.25">
      <c r="E41" s="194">
        <f>+C41*0.49%</f>
        <v>0</v>
      </c>
      <c r="G41">
        <v>112.29</v>
      </c>
    </row>
    <row r="42" spans="2:18" x14ac:dyDescent="0.25">
      <c r="E42" s="194">
        <f>+C42*92.53%</f>
        <v>0</v>
      </c>
      <c r="G42">
        <v>4.1900000000000004</v>
      </c>
    </row>
    <row r="47" spans="2:18" x14ac:dyDescent="0.25">
      <c r="D47" s="230">
        <f>+SUM(L4:L37)</f>
        <v>10501.610143273077</v>
      </c>
      <c r="E47" s="194" t="s">
        <v>546</v>
      </c>
    </row>
  </sheetData>
  <conditionalFormatting sqref="N4:N37">
    <cfRule type="cellIs" dxfId="0" priority="1" operator="equal">
      <formula>0</formula>
    </cfRule>
  </conditionalFormatting>
  <pageMargins left="0.7" right="0.7" top="0.75" bottom="0.75" header="0.3" footer="0.3"/>
  <pageSetup paperSize="9" orientation="portrait" r:id="rId1"/>
  <ignoredErrors>
    <ignoredError sqref="E18"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D9CF0-41E5-42A6-A8D5-CF8C8AC8C48F}">
  <dimension ref="A1:B14"/>
  <sheetViews>
    <sheetView tabSelected="1" workbookViewId="0"/>
  </sheetViews>
  <sheetFormatPr baseColWidth="10" defaultRowHeight="15" x14ac:dyDescent="0.25"/>
  <cols>
    <col min="1" max="2" width="12" bestFit="1" customWidth="1"/>
  </cols>
  <sheetData>
    <row r="1" spans="1:2" x14ac:dyDescent="0.25">
      <c r="A1" t="s">
        <v>569</v>
      </c>
      <c r="B1" t="s">
        <v>570</v>
      </c>
    </row>
    <row r="2" spans="1:2" x14ac:dyDescent="0.25">
      <c r="A2">
        <v>2018.0231850117098</v>
      </c>
      <c r="B2">
        <v>8114.7540983606559</v>
      </c>
    </row>
    <row r="3" spans="1:2" x14ac:dyDescent="0.25">
      <c r="A3">
        <v>2018.9135831381734</v>
      </c>
      <c r="B3">
        <v>19754.098360655738</v>
      </c>
    </row>
    <row r="4" spans="1:2" x14ac:dyDescent="0.25">
      <c r="A4">
        <v>2020.027400468384</v>
      </c>
      <c r="B4">
        <v>9590.163934426233</v>
      </c>
    </row>
    <row r="5" spans="1:2" x14ac:dyDescent="0.25">
      <c r="A5">
        <v>2021.0482435597191</v>
      </c>
      <c r="B5">
        <v>16885.245901639348</v>
      </c>
    </row>
    <row r="6" spans="1:2" x14ac:dyDescent="0.25">
      <c r="A6">
        <v>2022.0573770491803</v>
      </c>
      <c r="B6">
        <v>20081.967213114756</v>
      </c>
    </row>
    <row r="7" spans="1:2" x14ac:dyDescent="0.25">
      <c r="A7">
        <v>2023.1257611241219</v>
      </c>
      <c r="B7">
        <v>19016.393442622953</v>
      </c>
    </row>
    <row r="8" spans="1:2" x14ac:dyDescent="0.25">
      <c r="A8">
        <v>2023.9777517564403</v>
      </c>
      <c r="B8">
        <v>17213.114754098362</v>
      </c>
    </row>
    <row r="9" spans="1:2" x14ac:dyDescent="0.25">
      <c r="A9">
        <v>2024.9744730679158</v>
      </c>
      <c r="B9">
        <v>16065.573770491805</v>
      </c>
    </row>
    <row r="10" spans="1:2" x14ac:dyDescent="0.25">
      <c r="A10">
        <v>2029.9601873536301</v>
      </c>
      <c r="B10">
        <v>11065.573770491806</v>
      </c>
    </row>
    <row r="11" spans="1:2" x14ac:dyDescent="0.25">
      <c r="A11">
        <v>2035.0222482435597</v>
      </c>
      <c r="B11">
        <v>7786.8852459016416</v>
      </c>
    </row>
    <row r="12" spans="1:2" x14ac:dyDescent="0.25">
      <c r="A12">
        <v>2039.9440281030445</v>
      </c>
      <c r="B12">
        <v>5409.8360655737706</v>
      </c>
    </row>
    <row r="13" spans="1:2" x14ac:dyDescent="0.25">
      <c r="A13">
        <v>2045.0110070257613</v>
      </c>
      <c r="B13">
        <v>3852.4590163934445</v>
      </c>
    </row>
    <row r="14" spans="1:2" x14ac:dyDescent="0.25">
      <c r="A14">
        <v>2047.9374707259954</v>
      </c>
      <c r="B14">
        <v>3114.7540983606559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4BD2A-EC50-4959-85F2-E5E23D1683AA}">
  <dimension ref="B3:B16"/>
  <sheetViews>
    <sheetView showGridLines="0" zoomScale="145" zoomScaleNormal="145" workbookViewId="0">
      <selection activeCell="F4" sqref="F4"/>
    </sheetView>
  </sheetViews>
  <sheetFormatPr baseColWidth="10" defaultRowHeight="15" x14ac:dyDescent="0.25"/>
  <sheetData>
    <row r="3" spans="2:2" x14ac:dyDescent="0.25">
      <c r="B3" t="s">
        <v>555</v>
      </c>
    </row>
    <row r="4" spans="2:2" x14ac:dyDescent="0.25">
      <c r="B4" t="s">
        <v>556</v>
      </c>
    </row>
    <row r="5" spans="2:2" x14ac:dyDescent="0.25">
      <c r="B5" t="s">
        <v>557</v>
      </c>
    </row>
    <row r="6" spans="2:2" x14ac:dyDescent="0.25">
      <c r="B6" t="s">
        <v>558</v>
      </c>
    </row>
    <row r="7" spans="2:2" x14ac:dyDescent="0.25">
      <c r="B7" t="s">
        <v>559</v>
      </c>
    </row>
    <row r="8" spans="2:2" x14ac:dyDescent="0.25">
      <c r="B8" t="s">
        <v>560</v>
      </c>
    </row>
    <row r="9" spans="2:2" x14ac:dyDescent="0.25">
      <c r="B9" t="s">
        <v>561</v>
      </c>
    </row>
    <row r="10" spans="2:2" x14ac:dyDescent="0.25">
      <c r="B10" t="s">
        <v>562</v>
      </c>
    </row>
    <row r="11" spans="2:2" x14ac:dyDescent="0.25">
      <c r="B11" t="s">
        <v>563</v>
      </c>
    </row>
    <row r="12" spans="2:2" x14ac:dyDescent="0.25">
      <c r="B12" t="s">
        <v>564</v>
      </c>
    </row>
    <row r="13" spans="2:2" x14ac:dyDescent="0.25">
      <c r="B13" t="s">
        <v>565</v>
      </c>
    </row>
    <row r="14" spans="2:2" x14ac:dyDescent="0.25">
      <c r="B14" t="s">
        <v>566</v>
      </c>
    </row>
    <row r="15" spans="2:2" x14ac:dyDescent="0.25">
      <c r="B15" t="s">
        <v>567</v>
      </c>
    </row>
    <row r="16" spans="2:2" x14ac:dyDescent="0.25">
      <c r="B16" t="s">
        <v>568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096D657-DB62-4DE6-B95C-0D6EA3A7835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Gasfield</vt:lpstr>
      <vt:lpstr>Oilfields</vt:lpstr>
      <vt:lpstr>General Oil_Gas_fields</vt:lpstr>
      <vt:lpstr>BD</vt:lpstr>
      <vt:lpstr>Compracion (2)</vt:lpstr>
      <vt:lpstr>Compracion</vt:lpstr>
      <vt:lpstr>GlobalData</vt:lpstr>
      <vt:lpstr>Datos de Imagenes</vt:lpstr>
      <vt:lpstr>Akacias_</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dc:creator>
  <cp:lastModifiedBy>JULIAN</cp:lastModifiedBy>
  <dcterms:created xsi:type="dcterms:W3CDTF">2015-06-05T18:19:34Z</dcterms:created>
  <dcterms:modified xsi:type="dcterms:W3CDTF">2022-11-09T03:59:48Z</dcterms:modified>
</cp:coreProperties>
</file>