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AEF4374E-5789-499D-8A0B-98C786A55F44}" xr6:coauthVersionLast="47" xr6:coauthVersionMax="47" xr10:uidLastSave="{00000000-0000-0000-0000-000000000000}"/>
  <bookViews>
    <workbookView xWindow="0" yWindow="0" windowWidth="20490" windowHeight="10920" firstSheet="11" activeTab="1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" i="4" l="1"/>
  <c r="T22" i="3"/>
  <c r="D78" i="4" l="1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4" i="13"/>
  <c r="DN34" i="13" s="1"/>
  <c r="DN35" i="13" s="1"/>
  <c r="DN32" i="13"/>
  <c r="DN33" i="13"/>
  <c r="DQ34" i="13" l="1"/>
  <c r="DL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AR49" i="13"/>
  <c r="DC26" i="13"/>
  <c r="Q135" i="8"/>
  <c r="V23" i="9"/>
  <c r="N144" i="12"/>
  <c r="N143" i="12"/>
  <c r="N142" i="12"/>
  <c r="N141" i="12"/>
  <c r="CG9" i="13"/>
  <c r="CC9" i="13" s="1"/>
  <c r="CC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AV35" i="13"/>
  <c r="AT35" i="13"/>
  <c r="AS35" i="13"/>
  <c r="BE33" i="13"/>
  <c r="BD33" i="13"/>
  <c r="BB33" i="13"/>
  <c r="AV33" i="13"/>
  <c r="AS33" i="13"/>
  <c r="AX26" i="13" s="1"/>
  <c r="DC32" i="13"/>
  <c r="DG15" i="13" s="1"/>
  <c r="DC31" i="13"/>
  <c r="BE31" i="13"/>
  <c r="BD31" i="13"/>
  <c r="BB31" i="13"/>
  <c r="BG25" i="13" s="1"/>
  <c r="AV31" i="13"/>
  <c r="AS31" i="13"/>
  <c r="DC30" i="13"/>
  <c r="DG13" i="13" s="1"/>
  <c r="AP30" i="13"/>
  <c r="AR48" i="13" s="1"/>
  <c r="AN30" i="13"/>
  <c r="DC29" i="13"/>
  <c r="BE29" i="13"/>
  <c r="BD29" i="13"/>
  <c r="BB29" i="13"/>
  <c r="AV29" i="13"/>
  <c r="AU29" i="13"/>
  <c r="AU31" i="13" s="1"/>
  <c r="AU33" i="13" s="1"/>
  <c r="AU35" i="13" s="1"/>
  <c r="AS29" i="13"/>
  <c r="DF28" i="13"/>
  <c r="DC28" i="13"/>
  <c r="DG27" i="13"/>
  <c r="DC27" i="13"/>
  <c r="DG10" i="13" s="1"/>
  <c r="DB27" i="13"/>
  <c r="DB28" i="13" s="1"/>
  <c r="AX27" i="13"/>
  <c r="BG26" i="13"/>
  <c r="AX25" i="13"/>
  <c r="BG24" i="13"/>
  <c r="AX24" i="13"/>
  <c r="DL23" i="13"/>
  <c r="DQ23" i="13" s="1"/>
  <c r="DV23" i="13" s="1"/>
  <c r="AP23" i="13" a="1"/>
  <c r="AP27" i="13" s="1"/>
  <c r="R22" i="13"/>
  <c r="BE21" i="13" a="1"/>
  <c r="BE22" i="13" s="1"/>
  <c r="BD21" i="13"/>
  <c r="BD22" i="13" s="1"/>
  <c r="AV21" i="13" a="1"/>
  <c r="AU21" i="13"/>
  <c r="AU22" i="13" s="1"/>
  <c r="AU23" i="13" s="1"/>
  <c r="R20" i="13"/>
  <c r="BE18" i="13" a="1"/>
  <c r="BD18" i="13"/>
  <c r="BD19" i="13" s="1"/>
  <c r="AV19" i="13"/>
  <c r="AV18" i="13" a="1"/>
  <c r="AV18" i="13" s="1"/>
  <c r="AU18" i="13"/>
  <c r="R18" i="13"/>
  <c r="CI17" i="13"/>
  <c r="CM13" i="13" s="1"/>
  <c r="CA17" i="13"/>
  <c r="R16" i="13"/>
  <c r="CI15" i="13"/>
  <c r="CM12" i="13" s="1"/>
  <c r="CA15" i="13"/>
  <c r="CE12" i="13" s="1"/>
  <c r="BE15" i="13" a="1"/>
  <c r="BD15" i="13"/>
  <c r="BD16" i="13" s="1"/>
  <c r="AV15" i="13" a="1"/>
  <c r="AV15" i="13" s="1"/>
  <c r="AU15" i="13"/>
  <c r="DM12" i="13" s="1"/>
  <c r="G15" i="13"/>
  <c r="DV14" i="13"/>
  <c r="DQ14" i="13"/>
  <c r="DM14" i="13"/>
  <c r="DL14" i="13"/>
  <c r="DG14" i="13"/>
  <c r="G14" i="13"/>
  <c r="DV13" i="13"/>
  <c r="DQ13" i="13"/>
  <c r="DL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L12" i="13"/>
  <c r="DG12" i="13"/>
  <c r="CO12" i="13"/>
  <c r="CK15" i="13" s="1"/>
  <c r="CK16" i="13" s="1"/>
  <c r="CG12" i="13"/>
  <c r="CC15" i="13" s="1"/>
  <c r="CC16" i="13" s="1"/>
  <c r="CF12" i="13"/>
  <c r="BE12" i="13" a="1"/>
  <c r="BD12" i="13"/>
  <c r="BB12" i="13" a="1"/>
  <c r="AV12" i="13" a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O11" i="13"/>
  <c r="CK13" i="13" s="1"/>
  <c r="CK14" i="13" s="1"/>
  <c r="CM11" i="13"/>
  <c r="CI11" i="13"/>
  <c r="CM10" i="13" s="1"/>
  <c r="CG11" i="13"/>
  <c r="CC13" i="13" s="1"/>
  <c r="CC14" i="13" s="1"/>
  <c r="CF11" i="13"/>
  <c r="CC11" i="13"/>
  <c r="CC12" i="13" s="1"/>
  <c r="CA11" i="13"/>
  <c r="CE10" i="13" s="1"/>
  <c r="G11" i="13"/>
  <c r="DV10" i="13"/>
  <c r="DQ10" i="13"/>
  <c r="DM10" i="13"/>
  <c r="R12" i="13" s="1"/>
  <c r="R14" i="13" s="1"/>
  <c r="DL10" i="13"/>
  <c r="CO10" i="13"/>
  <c r="CK11" i="13" s="1"/>
  <c r="CK12" i="13" s="1"/>
  <c r="CJ10" i="13"/>
  <c r="CJ12" i="13" s="1"/>
  <c r="CG10" i="13"/>
  <c r="CF10" i="13"/>
  <c r="R10" i="13"/>
  <c r="G10" i="13"/>
  <c r="DW10" i="13"/>
  <c r="CT27" i="13" s="1"/>
  <c r="CT28" i="13" s="1"/>
  <c r="DW9" i="13" a="1"/>
  <c r="DW13" i="13" s="1"/>
  <c r="CT31" i="13" s="1"/>
  <c r="DV9" i="13"/>
  <c r="DU9" i="13" a="1"/>
  <c r="DR9" i="13" a="1"/>
  <c r="DR14" i="13" s="1"/>
  <c r="DQ9" i="13"/>
  <c r="DP9" i="13" a="1"/>
  <c r="DL9" i="13"/>
  <c r="DK11" i="13"/>
  <c r="DK24" i="13" s="1"/>
  <c r="DK9" i="13" a="1"/>
  <c r="DG9" i="13"/>
  <c r="CO9" i="13"/>
  <c r="CK9" i="13" s="1"/>
  <c r="CK10" i="13" s="1"/>
  <c r="CI9" i="13"/>
  <c r="CM9" i="13" s="1"/>
  <c r="CF9" i="13"/>
  <c r="CA9" i="13"/>
  <c r="CE9" i="13" s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Z221" i="12"/>
  <c r="BH24" i="13" s="1" a="1"/>
  <c r="AB220" i="12"/>
  <c r="AA220" i="12"/>
  <c r="BH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P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152" i="2"/>
  <c r="N150" i="2"/>
  <c r="N149" i="2" a="1"/>
  <c r="N155" i="2" s="1"/>
  <c r="N147" i="2"/>
  <c r="N145" i="2"/>
  <c r="N143" i="2"/>
  <c r="N142" i="2" a="1"/>
  <c r="N148" i="2" s="1"/>
  <c r="N142" i="2"/>
  <c r="N140" i="2"/>
  <c r="N135" i="2" a="1"/>
  <c r="N141" i="2" s="1"/>
  <c r="N135" i="2"/>
  <c r="N104" i="2" a="1"/>
  <c r="N110" i="2" s="1"/>
  <c r="CW15" i="13" s="1"/>
  <c r="N100" i="2"/>
  <c r="N98" i="2"/>
  <c r="N97" i="2" a="1"/>
  <c r="N103" i="2" s="1"/>
  <c r="N78" i="2" a="1"/>
  <c r="N83" i="2" s="1"/>
  <c r="N64" i="2" a="1"/>
  <c r="N72" i="2" s="1"/>
  <c r="O54" i="2" a="1"/>
  <c r="O61" i="2" s="1"/>
  <c r="N54" i="2" a="1"/>
  <c r="N60" i="2" s="1"/>
  <c r="O44" i="2" a="1"/>
  <c r="O53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136" i="1"/>
  <c r="D128" i="1" a="1"/>
  <c r="D131" i="1" s="1"/>
  <c r="D89" i="1"/>
  <c r="D85" i="1"/>
  <c r="D83" i="1"/>
  <c r="D81" i="1"/>
  <c r="D80" i="1" a="1"/>
  <c r="D86" i="1" s="1"/>
  <c r="D80" i="1"/>
  <c r="E76" i="1"/>
  <c r="E72" i="1"/>
  <c r="E70" i="1" a="1"/>
  <c r="E79" i="1" s="1"/>
  <c r="D77" i="1"/>
  <c r="D76" i="1"/>
  <c r="BV21" i="13" s="1"/>
  <c r="DB20" i="13" s="1"/>
  <c r="D72" i="1"/>
  <c r="BV13" i="13" s="1"/>
  <c r="DB14" i="13" s="1"/>
  <c r="D71" i="1"/>
  <c r="BV11" i="13" s="1"/>
  <c r="DB12" i="13" s="1"/>
  <c r="D70" i="1" a="1"/>
  <c r="D78" i="1" s="1"/>
  <c r="E60" i="1" a="1"/>
  <c r="E67" i="1" s="1"/>
  <c r="D69" i="1"/>
  <c r="D63" i="1"/>
  <c r="D61" i="1"/>
  <c r="D60" i="1" a="1"/>
  <c r="D66" i="1" s="1"/>
  <c r="E56" i="1"/>
  <c r="E52" i="1"/>
  <c r="E50" i="1" a="1"/>
  <c r="E59" i="1" s="1"/>
  <c r="D57" i="1"/>
  <c r="D56" i="1"/>
  <c r="D52" i="1"/>
  <c r="D51" i="1"/>
  <c r="D50" i="1" a="1"/>
  <c r="D58" i="1" s="1"/>
  <c r="E40" i="1" a="1"/>
  <c r="E47" i="1" s="1"/>
  <c r="D40" i="1" a="1"/>
  <c r="D46" i="1" s="1"/>
  <c r="AJ21" i="13" s="1"/>
  <c r="Z32" i="1"/>
  <c r="I102" i="5" s="1"/>
  <c r="Z31" i="1"/>
  <c r="I101" i="5" s="1"/>
  <c r="Z30" i="1" a="1"/>
  <c r="Z34" i="1" s="1"/>
  <c r="I104" i="5" s="1"/>
  <c r="E30" i="1" a="1"/>
  <c r="E37" i="1" s="1"/>
  <c r="D37" i="1"/>
  <c r="D33" i="1"/>
  <c r="D30" i="1" a="1"/>
  <c r="D36" i="1" s="1"/>
  <c r="AJ20" i="13" s="1"/>
  <c r="D30" i="1"/>
  <c r="O27" i="1" a="1"/>
  <c r="O30" i="1" s="1"/>
  <c r="AA25" i="1" a="1"/>
  <c r="AA28" i="1" s="1"/>
  <c r="Z25" i="1" a="1"/>
  <c r="Z26" i="1" s="1"/>
  <c r="AL27" i="1"/>
  <c r="AL26" i="1"/>
  <c r="AL22" i="1"/>
  <c r="AL21" i="1"/>
  <c r="AL20" i="1" a="1"/>
  <c r="AL28" i="1" s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0" i="1" a="1"/>
  <c r="E26" i="1" s="1"/>
  <c r="D20" i="1" a="1"/>
  <c r="D29" i="1" s="1"/>
  <c r="D13" i="17" l="1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D43" i="1"/>
  <c r="D50" i="1"/>
  <c r="D53" i="1"/>
  <c r="D59" i="1"/>
  <c r="D60" i="1"/>
  <c r="D65" i="1"/>
  <c r="D70" i="1"/>
  <c r="BV9" i="13" s="1"/>
  <c r="DB10" i="13" s="1"/>
  <c r="D73" i="1"/>
  <c r="BV15" i="13" s="1"/>
  <c r="DB16" i="13" s="1"/>
  <c r="D79" i="1"/>
  <c r="D27" i="2"/>
  <c r="N26" i="2"/>
  <c r="L37" i="13" s="1"/>
  <c r="Q13" i="13" s="1"/>
  <c r="U11" i="13" s="1"/>
  <c r="N31" i="2"/>
  <c r="O30" i="2"/>
  <c r="N37" i="2"/>
  <c r="N46" i="2"/>
  <c r="N51" i="2"/>
  <c r="O50" i="2"/>
  <c r="N57" i="2"/>
  <c r="N66" i="2"/>
  <c r="N71" i="2"/>
  <c r="N97" i="2"/>
  <c r="N102" i="2"/>
  <c r="N107" i="2"/>
  <c r="CW12" i="13" s="1"/>
  <c r="N136" i="2"/>
  <c r="N149" i="2"/>
  <c r="N15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47" i="1"/>
  <c r="D31" i="2"/>
  <c r="N29" i="2"/>
  <c r="L79" i="13" s="1"/>
  <c r="Q19" i="13" s="1"/>
  <c r="U14" i="13" s="1"/>
  <c r="N41" i="2"/>
  <c r="N49" i="2"/>
  <c r="N61" i="2"/>
  <c r="N69" i="2"/>
  <c r="CS32" i="13"/>
  <c r="CS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D41" i="1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O46" i="2"/>
  <c r="N55" i="2"/>
  <c r="N63" i="2"/>
  <c r="N65" i="2"/>
  <c r="N70" i="2"/>
  <c r="N80" i="2"/>
  <c r="N105" i="2"/>
  <c r="CW10" i="13" s="1"/>
  <c r="D17" i="17"/>
  <c r="J177" i="16"/>
  <c r="D17" i="16"/>
  <c r="I158" i="3"/>
  <c r="N158" i="8"/>
  <c r="N146" i="8"/>
  <c r="E20" i="1"/>
  <c r="AL25" i="1"/>
  <c r="Z25" i="1"/>
  <c r="AA25" i="1"/>
  <c r="D40" i="1"/>
  <c r="D45" i="1"/>
  <c r="D55" i="1"/>
  <c r="D67" i="1"/>
  <c r="D75" i="1"/>
  <c r="BV19" i="13" s="1"/>
  <c r="D87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54" i="2"/>
  <c r="N59" i="2"/>
  <c r="N64" i="2"/>
  <c r="N67" i="2"/>
  <c r="N73" i="2"/>
  <c r="N104" i="2"/>
  <c r="CW9" i="13" s="1"/>
  <c r="N109" i="2"/>
  <c r="CW14" i="13" s="1"/>
  <c r="N13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V12" i="13"/>
  <c r="AV13" i="13"/>
  <c r="AU16" i="13"/>
  <c r="AU17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DU13" i="13"/>
  <c r="DU11" i="13"/>
  <c r="BB20" i="13"/>
  <c r="BB14" i="13"/>
  <c r="AU19" i="13"/>
  <c r="AU20" i="13" s="1"/>
  <c r="DM13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H15" i="13" a="1"/>
  <c r="BB22" i="13"/>
  <c r="L9" i="14"/>
  <c r="BH12" i="13" a="1"/>
  <c r="BH14" i="13" s="1"/>
  <c r="DK13" i="13"/>
  <c r="DK26" i="13" s="1"/>
  <c r="DK10" i="13"/>
  <c r="DK23" i="13" s="1"/>
  <c r="DK14" i="13"/>
  <c r="DK27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H18" i="13" a="1"/>
  <c r="CM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AP13" i="13"/>
  <c r="AO60" i="13" s="1"/>
  <c r="DW14" i="13"/>
  <c r="CT32" i="13" s="1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AQ60" i="13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CM24" i="13" s="1"/>
  <c r="BB18" i="13"/>
  <c r="AP23" i="13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CW13" i="13" s="1"/>
  <c r="N139" i="2"/>
  <c r="N146" i="2"/>
  <c r="N153" i="2"/>
  <c r="AO75" i="13"/>
  <c r="AO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E64" i="1"/>
  <c r="E68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N79" i="2"/>
  <c r="N99" i="2"/>
  <c r="DE9" i="13" s="1" a="1"/>
  <c r="N106" i="2"/>
  <c r="CW11" i="13" s="1"/>
  <c r="N137" i="2"/>
  <c r="N144" i="2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7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CS28" i="13" l="1"/>
  <c r="CS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S26" i="13"/>
  <c r="CS9" i="13"/>
  <c r="CS27" i="13"/>
  <c r="CS11" i="13"/>
  <c r="J137" i="3"/>
  <c r="J122" i="3"/>
  <c r="J121" i="3"/>
  <c r="CS29" i="13"/>
  <c r="CS15" i="13"/>
  <c r="K128" i="3"/>
  <c r="E50" i="3"/>
  <c r="F11" i="3" s="1"/>
  <c r="CB16" i="13"/>
  <c r="CB18" i="13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M25" i="13"/>
  <c r="CM28" i="13"/>
  <c r="BH12" i="13"/>
  <c r="Y85" i="12"/>
  <c r="L117" i="4"/>
  <c r="T15" i="11"/>
  <c r="AH15" i="11" s="1"/>
  <c r="N6" i="17"/>
  <c r="N6" i="16"/>
  <c r="CM26" i="13"/>
  <c r="BH13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AN9" i="13" a="1"/>
  <c r="AN14" i="13" s="1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S30" i="13"/>
  <c r="CS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S31" i="13"/>
  <c r="CS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P16" i="13" a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M9" i="13" a="1"/>
  <c r="BM9" i="13" s="1"/>
  <c r="BQ9" i="13" s="1" a="1"/>
  <c r="BQ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AC19" i="11"/>
  <c r="AN26" i="13"/>
  <c r="AN22" i="13"/>
  <c r="AN18" i="13"/>
  <c r="AN10" i="13"/>
  <c r="AN29" i="13"/>
  <c r="AN24" i="13"/>
  <c r="AN13" i="13"/>
  <c r="AN9" i="13"/>
  <c r="AN28" i="13"/>
  <c r="AN17" i="13"/>
  <c r="AN12" i="13"/>
  <c r="AN27" i="13"/>
  <c r="AN16" i="13"/>
  <c r="AN11" i="13"/>
  <c r="AN25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AQ70" i="13"/>
  <c r="AQ53" i="13"/>
  <c r="AQ57" i="13"/>
  <c r="AQ61" i="13"/>
  <c r="AQ49" i="13"/>
  <c r="AQ65" i="13"/>
  <c r="J163" i="3"/>
  <c r="K163" i="3"/>
  <c r="V13" i="13"/>
  <c r="V10" i="13"/>
  <c r="V14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0" i="13"/>
  <c r="R11" i="13" s="1"/>
  <c r="D14" i="13"/>
  <c r="R19" i="13" s="1"/>
  <c r="D9" i="13"/>
  <c r="R9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I37" i="16" l="1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BG23" i="13"/>
  <c r="BG17" i="13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BG16" i="13"/>
  <c r="BG10" i="13"/>
  <c r="E62" i="16"/>
  <c r="E9" i="16"/>
  <c r="C10" i="16"/>
  <c r="E10" i="16" s="1"/>
  <c r="AP16" i="13"/>
  <c r="AP64" i="13"/>
  <c r="AP48" i="13"/>
  <c r="AT34" i="13"/>
  <c r="AP60" i="13"/>
  <c r="AT33" i="13"/>
  <c r="AP56" i="13"/>
  <c r="AT23" i="13"/>
  <c r="AP69" i="13"/>
  <c r="AP52" i="13"/>
  <c r="AT17" i="13"/>
  <c r="AT14" i="13"/>
  <c r="AT20" i="13"/>
  <c r="E112" i="17"/>
  <c r="BG20" i="13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N20" i="13"/>
  <c r="AN21" i="13"/>
  <c r="AN23" i="13"/>
  <c r="AN19" i="13"/>
  <c r="AB19" i="11"/>
  <c r="BG19" i="13"/>
  <c r="BG18" i="13"/>
  <c r="E15" i="16"/>
  <c r="F106" i="16"/>
  <c r="E13" i="16"/>
  <c r="F105" i="16"/>
  <c r="AA99" i="12"/>
  <c r="R156" i="12" s="1"/>
  <c r="BW10" i="13" s="1"/>
  <c r="BW9" i="13" s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F103" i="16" l="1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AT11" i="13"/>
  <c r="BC9" i="13" s="1" a="1"/>
  <c r="AP43" i="13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BC29" i="13" a="1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BC34" i="13"/>
  <c r="BC29" i="13"/>
  <c r="BC32" i="13"/>
  <c r="BC30" i="13"/>
  <c r="BC31" i="13"/>
  <c r="BC33" i="13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C15" i="13"/>
  <c r="BC14" i="13"/>
  <c r="BC20" i="13"/>
  <c r="BC9" i="13"/>
  <c r="BC18" i="13"/>
  <c r="BC16" i="13"/>
  <c r="BC11" i="13"/>
  <c r="BC10" i="13"/>
  <c r="BC12" i="13"/>
  <c r="BC23" i="13"/>
  <c r="BC22" i="13"/>
  <c r="BC21" i="13"/>
  <c r="BC17" i="13"/>
  <c r="BC19" i="13"/>
  <c r="BC13" i="13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<sst xmlns="http://schemas.openxmlformats.org/spreadsheetml/2006/main" count="5822" uniqueCount="1790">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</sst>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2" fillId="27" borderId="0" applyNumberFormat="0" applyBorder="0" applyAlignment="0" applyProtection="0"/>
  </cellStyleXfs>
  <cellXfs count="987">
    <xf numFmtId="0" fontId="0" fillId="0" borderId="0" xfId="0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 wrapText="1"/>
    </xf>
    <xf numFmtId="0" fontId="11" fillId="0" borderId="0" xfId="0" applyFont="1" applyAlignment="1">
      <alignment wrapText="1"/>
    </xf>
    <xf numFmtId="164" fontId="14" fillId="2" borderId="1" xfId="0" applyNumberFormat="1" applyFont="1" applyFill="1" applyBorder="1"/>
    <xf numFmtId="164" fontId="15" fillId="2" borderId="1" xfId="0" applyNumberFormat="1" applyFont="1" applyFill="1" applyBorder="1"/>
    <xf numFmtId="164" fontId="16" fillId="3" borderId="5" xfId="0" applyNumberFormat="1" applyFont="1" applyFill="1" applyBorder="1" applyAlignment="1">
      <alignment horizontal="left"/>
    </xf>
    <xf numFmtId="164" fontId="16" fillId="3" borderId="6" xfId="0" applyNumberFormat="1" applyFont="1" applyFill="1" applyBorder="1" applyAlignment="1">
      <alignment horizontal="left"/>
    </xf>
    <xf numFmtId="164" fontId="17" fillId="4" borderId="7" xfId="0" applyNumberFormat="1" applyFont="1" applyFill="1" applyBorder="1" applyAlignment="1">
      <alignment horizontal="left" wrapText="1"/>
    </xf>
    <xf numFmtId="165" fontId="11" fillId="0" borderId="0" xfId="0" applyNumberFormat="1" applyFont="1"/>
    <xf numFmtId="0" fontId="18" fillId="0" borderId="0" xfId="0" applyFont="1"/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14" fillId="0" borderId="0" xfId="0" applyNumberFormat="1" applyFont="1"/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165" fontId="11" fillId="2" borderId="1" xfId="0" applyNumberFormat="1" applyFont="1" applyFill="1" applyBorder="1"/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2" fillId="0" borderId="10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2" fillId="0" borderId="8" xfId="0" applyFont="1" applyBorder="1"/>
    <xf numFmtId="0" fontId="22" fillId="0" borderId="13" xfId="0" applyFont="1" applyBorder="1" applyAlignment="1">
      <alignment horizontal="left"/>
    </xf>
    <xf numFmtId="0" fontId="22" fillId="0" borderId="9" xfId="0" applyFont="1" applyBorder="1"/>
    <xf numFmtId="0" fontId="11" fillId="0" borderId="10" xfId="0" applyFont="1" applyBorder="1"/>
    <xf numFmtId="0" fontId="19" fillId="0" borderId="13" xfId="0" applyFont="1" applyBorder="1" applyAlignment="1">
      <alignment horizontal="left"/>
    </xf>
    <xf numFmtId="0" fontId="19" fillId="0" borderId="9" xfId="0" applyFont="1" applyBorder="1" applyAlignment="1">
      <alignment horizontal="left" vertical="center"/>
    </xf>
    <xf numFmtId="0" fontId="11" fillId="0" borderId="13" xfId="0" applyFont="1" applyBorder="1" applyAlignment="1">
      <alignment horizontal="center"/>
    </xf>
    <xf numFmtId="2" fontId="11" fillId="0" borderId="10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1" fillId="0" borderId="14" xfId="0" applyFont="1" applyBorder="1"/>
    <xf numFmtId="0" fontId="19" fillId="0" borderId="15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1" fillId="0" borderId="15" xfId="0" applyFont="1" applyBorder="1" applyAlignment="1">
      <alignment horizont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11" fillId="0" borderId="11" xfId="0" applyFont="1" applyBorder="1"/>
    <xf numFmtId="0" fontId="19" fillId="0" borderId="0" xfId="0" applyFont="1" applyAlignment="1">
      <alignment horizontal="left"/>
    </xf>
    <xf numFmtId="2" fontId="11" fillId="0" borderId="11" xfId="0" applyNumberFormat="1" applyFont="1" applyBorder="1" applyAlignment="1">
      <alignment vertical="center"/>
    </xf>
    <xf numFmtId="2" fontId="11" fillId="0" borderId="12" xfId="0" applyNumberFormat="1" applyFont="1" applyBorder="1" applyAlignment="1">
      <alignment vertical="center"/>
    </xf>
    <xf numFmtId="0" fontId="11" fillId="0" borderId="17" xfId="0" applyFont="1" applyBorder="1"/>
    <xf numFmtId="0" fontId="19" fillId="0" borderId="18" xfId="0" applyFont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11" fillId="0" borderId="17" xfId="0" applyNumberFormat="1" applyFont="1" applyBorder="1" applyAlignment="1">
      <alignment vertical="center"/>
    </xf>
    <xf numFmtId="2" fontId="11" fillId="0" borderId="19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2" fontId="11" fillId="0" borderId="17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0" fillId="0" borderId="15" xfId="0" applyFont="1" applyBorder="1" applyAlignment="1">
      <alignment horizontal="left"/>
    </xf>
    <xf numFmtId="0" fontId="20" fillId="0" borderId="15" xfId="0" applyFont="1" applyBorder="1" applyAlignment="1">
      <alignment horizontal="left" vertical="center"/>
    </xf>
    <xf numFmtId="0" fontId="12" fillId="2" borderId="20" xfId="0" applyFont="1" applyFill="1" applyBorder="1" applyAlignment="1">
      <alignment horizontal="center"/>
    </xf>
    <xf numFmtId="2" fontId="11" fillId="0" borderId="21" xfId="0" applyNumberFormat="1" applyFont="1" applyBorder="1" applyAlignment="1">
      <alignment horizontal="center"/>
    </xf>
    <xf numFmtId="2" fontId="11" fillId="0" borderId="14" xfId="0" applyNumberFormat="1" applyFont="1" applyBorder="1" applyAlignment="1">
      <alignment horizontal="center"/>
    </xf>
    <xf numFmtId="0" fontId="20" fillId="0" borderId="18" xfId="0" applyFont="1" applyBorder="1" applyAlignment="1">
      <alignment horizontal="left"/>
    </xf>
    <xf numFmtId="0" fontId="12" fillId="2" borderId="22" xfId="0" applyFont="1" applyFill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" fontId="20" fillId="0" borderId="0" xfId="0" applyNumberFormat="1" applyFont="1"/>
    <xf numFmtId="0" fontId="23" fillId="0" borderId="0" xfId="0" applyFont="1"/>
    <xf numFmtId="0" fontId="23" fillId="5" borderId="1" xfId="0" applyFont="1" applyFill="1" applyBorder="1" applyAlignment="1">
      <alignment horizontal="left"/>
    </xf>
    <xf numFmtId="9" fontId="23" fillId="5" borderId="1" xfId="0" applyNumberFormat="1" applyFont="1" applyFill="1" applyBorder="1" applyAlignment="1">
      <alignment horizontal="left"/>
    </xf>
    <xf numFmtId="0" fontId="23" fillId="0" borderId="0" xfId="0" applyFont="1" applyAlignment="1">
      <alignment horizontal="left"/>
    </xf>
    <xf numFmtId="10" fontId="23" fillId="0" borderId="0" xfId="0" applyNumberFormat="1" applyFont="1" applyAlignment="1">
      <alignment horizontal="left"/>
    </xf>
    <xf numFmtId="0" fontId="19" fillId="0" borderId="14" xfId="0" applyFont="1" applyBorder="1"/>
    <xf numFmtId="0" fontId="19" fillId="0" borderId="15" xfId="0" applyFont="1" applyBorder="1"/>
    <xf numFmtId="167" fontId="19" fillId="0" borderId="14" xfId="0" applyNumberFormat="1" applyFont="1" applyBorder="1"/>
    <xf numFmtId="167" fontId="19" fillId="0" borderId="16" xfId="0" applyNumberFormat="1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168" fontId="20" fillId="0" borderId="0" xfId="0" applyNumberFormat="1" applyFont="1"/>
    <xf numFmtId="2" fontId="11" fillId="0" borderId="24" xfId="0" applyNumberFormat="1" applyFont="1" applyBorder="1" applyAlignment="1">
      <alignment horizontal="center"/>
    </xf>
    <xf numFmtId="169" fontId="20" fillId="0" borderId="0" xfId="0" applyNumberFormat="1" applyFont="1"/>
    <xf numFmtId="167" fontId="20" fillId="0" borderId="0" xfId="0" applyNumberFormat="1" applyFont="1"/>
    <xf numFmtId="170" fontId="19" fillId="0" borderId="0" xfId="0" applyNumberFormat="1" applyFont="1"/>
    <xf numFmtId="1" fontId="19" fillId="0" borderId="0" xfId="0" applyNumberFormat="1" applyFont="1"/>
    <xf numFmtId="2" fontId="20" fillId="0" borderId="0" xfId="0" applyNumberFormat="1" applyFont="1"/>
    <xf numFmtId="0" fontId="22" fillId="0" borderId="24" xfId="0" applyFont="1" applyBorder="1"/>
    <xf numFmtId="0" fontId="22" fillId="0" borderId="16" xfId="0" applyFont="1" applyBorder="1"/>
    <xf numFmtId="0" fontId="19" fillId="0" borderId="24" xfId="0" applyFont="1" applyBorder="1"/>
    <xf numFmtId="0" fontId="20" fillId="0" borderId="15" xfId="0" applyFont="1" applyBorder="1"/>
    <xf numFmtId="0" fontId="20" fillId="0" borderId="16" xfId="0" applyFont="1" applyBorder="1" applyAlignment="1">
      <alignment horizontal="right"/>
    </xf>
    <xf numFmtId="0" fontId="12" fillId="0" borderId="2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9" fillId="0" borderId="21" xfId="0" applyFont="1" applyBorder="1"/>
    <xf numFmtId="0" fontId="20" fillId="0" borderId="0" xfId="0" applyFont="1" applyAlignment="1">
      <alignment horizontal="center"/>
    </xf>
    <xf numFmtId="0" fontId="20" fillId="0" borderId="12" xfId="0" applyFont="1" applyBorder="1" applyAlignment="1">
      <alignment horizontal="right"/>
    </xf>
    <xf numFmtId="0" fontId="12" fillId="0" borderId="0" xfId="0" applyFont="1"/>
    <xf numFmtId="0" fontId="20" fillId="0" borderId="0" xfId="0" applyFont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11" fillId="0" borderId="8" xfId="0" applyFont="1" applyBorder="1"/>
    <xf numFmtId="0" fontId="11" fillId="0" borderId="13" xfId="0" applyFont="1" applyBorder="1"/>
    <xf numFmtId="2" fontId="11" fillId="0" borderId="8" xfId="0" applyNumberFormat="1" applyFont="1" applyBorder="1" applyAlignment="1">
      <alignment horizontal="center"/>
    </xf>
    <xf numFmtId="171" fontId="11" fillId="0" borderId="9" xfId="0" applyNumberFormat="1" applyFont="1" applyBorder="1" applyAlignment="1">
      <alignment horizontal="center"/>
    </xf>
    <xf numFmtId="2" fontId="19" fillId="0" borderId="8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/>
    </xf>
    <xf numFmtId="0" fontId="19" fillId="0" borderId="13" xfId="0" applyFont="1" applyBorder="1"/>
    <xf numFmtId="0" fontId="20" fillId="0" borderId="9" xfId="0" applyFont="1" applyBorder="1" applyAlignment="1">
      <alignment horizontal="center" vertical="center"/>
    </xf>
    <xf numFmtId="170" fontId="20" fillId="0" borderId="12" xfId="0" applyNumberFormat="1" applyFont="1" applyBorder="1" applyAlignment="1">
      <alignment horizontal="right"/>
    </xf>
    <xf numFmtId="0" fontId="11" fillId="0" borderId="24" xfId="0" applyFont="1" applyBorder="1"/>
    <xf numFmtId="0" fontId="11" fillId="0" borderId="15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0" fontId="11" fillId="0" borderId="18" xfId="0" applyFont="1" applyBorder="1"/>
    <xf numFmtId="171" fontId="11" fillId="0" borderId="16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71" fontId="11" fillId="0" borderId="12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12" xfId="0" applyFont="1" applyBorder="1" applyAlignment="1">
      <alignment horizontal="center" vertical="center"/>
    </xf>
    <xf numFmtId="170" fontId="11" fillId="0" borderId="21" xfId="0" applyNumberFormat="1" applyFont="1" applyBorder="1" applyAlignment="1">
      <alignment horizontal="center"/>
    </xf>
    <xf numFmtId="171" fontId="11" fillId="0" borderId="19" xfId="0" applyNumberFormat="1" applyFont="1" applyBorder="1" applyAlignment="1">
      <alignment horizontal="center"/>
    </xf>
    <xf numFmtId="2" fontId="19" fillId="0" borderId="23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2" fontId="11" fillId="0" borderId="12" xfId="0" applyNumberFormat="1" applyFont="1" applyBorder="1" applyAlignment="1">
      <alignment horizontal="right"/>
    </xf>
    <xf numFmtId="170" fontId="19" fillId="0" borderId="24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right"/>
    </xf>
    <xf numFmtId="0" fontId="19" fillId="0" borderId="23" xfId="0" applyFont="1" applyBorder="1"/>
    <xf numFmtId="0" fontId="20" fillId="0" borderId="19" xfId="0" applyFont="1" applyBorder="1"/>
    <xf numFmtId="0" fontId="20" fillId="0" borderId="18" xfId="0" applyFont="1" applyBorder="1"/>
    <xf numFmtId="0" fontId="20" fillId="0" borderId="19" xfId="0" applyFont="1" applyBorder="1" applyAlignment="1">
      <alignment horizontal="right"/>
    </xf>
    <xf numFmtId="9" fontId="23" fillId="0" borderId="0" xfId="0" applyNumberFormat="1" applyFont="1" applyAlignment="1">
      <alignment horizontal="left"/>
    </xf>
    <xf numFmtId="172" fontId="19" fillId="0" borderId="0" xfId="0" applyNumberFormat="1" applyFont="1"/>
    <xf numFmtId="171" fontId="19" fillId="0" borderId="0" xfId="0" applyNumberFormat="1" applyFont="1"/>
    <xf numFmtId="0" fontId="25" fillId="0" borderId="0" xfId="0" applyFont="1"/>
    <xf numFmtId="0" fontId="22" fillId="0" borderId="0" xfId="0" applyFont="1"/>
    <xf numFmtId="0" fontId="26" fillId="0" borderId="25" xfId="0" applyFont="1" applyBorder="1" applyAlignment="1">
      <alignment vertical="center" wrapText="1"/>
    </xf>
    <xf numFmtId="0" fontId="26" fillId="0" borderId="26" xfId="0" applyFont="1" applyBorder="1" applyAlignment="1">
      <alignment vertical="center" wrapText="1"/>
    </xf>
    <xf numFmtId="173" fontId="19" fillId="0" borderId="0" xfId="0" applyNumberFormat="1" applyFont="1"/>
    <xf numFmtId="11" fontId="19" fillId="0" borderId="0" xfId="0" applyNumberFormat="1" applyFont="1"/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>
      <alignment vertical="center" wrapText="1"/>
    </xf>
    <xf numFmtId="0" fontId="27" fillId="6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horizontal="center" vertical="center"/>
    </xf>
    <xf numFmtId="0" fontId="28" fillId="7" borderId="33" xfId="0" applyFont="1" applyFill="1" applyBorder="1"/>
    <xf numFmtId="0" fontId="28" fillId="7" borderId="34" xfId="0" applyFont="1" applyFill="1" applyBorder="1"/>
    <xf numFmtId="0" fontId="28" fillId="7" borderId="32" xfId="0" applyFont="1" applyFill="1" applyBorder="1" applyAlignment="1">
      <alignment horizontal="center"/>
    </xf>
    <xf numFmtId="0" fontId="28" fillId="7" borderId="32" xfId="0" applyFont="1" applyFill="1" applyBorder="1" applyAlignment="1">
      <alignment horizontal="center" vertical="center" wrapText="1"/>
    </xf>
    <xf numFmtId="0" fontId="23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0" fontId="23" fillId="8" borderId="32" xfId="0" applyFont="1" applyFill="1" applyBorder="1" applyAlignment="1">
      <alignment horizontal="left" vertical="top"/>
    </xf>
    <xf numFmtId="0" fontId="23" fillId="8" borderId="32" xfId="0" applyFont="1" applyFill="1" applyBorder="1" applyAlignment="1">
      <alignment vertical="center" wrapText="1"/>
    </xf>
    <xf numFmtId="0" fontId="23" fillId="8" borderId="32" xfId="0" applyFont="1" applyFill="1" applyBorder="1"/>
    <xf numFmtId="171" fontId="23" fillId="8" borderId="32" xfId="0" applyNumberFormat="1" applyFont="1" applyFill="1" applyBorder="1"/>
    <xf numFmtId="174" fontId="23" fillId="8" borderId="32" xfId="0" applyNumberFormat="1" applyFont="1" applyFill="1" applyBorder="1"/>
    <xf numFmtId="0" fontId="29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1" fontId="30" fillId="0" borderId="32" xfId="0" applyNumberFormat="1" applyFont="1" applyBorder="1"/>
    <xf numFmtId="174" fontId="30" fillId="0" borderId="32" xfId="0" applyNumberFormat="1" applyFont="1" applyBorder="1"/>
    <xf numFmtId="171" fontId="29" fillId="0" borderId="32" xfId="0" applyNumberFormat="1" applyFont="1" applyBorder="1"/>
    <xf numFmtId="0" fontId="29" fillId="8" borderId="32" xfId="0" applyFont="1" applyFill="1" applyBorder="1" applyAlignment="1">
      <alignment horizontal="right" vertical="top"/>
    </xf>
    <xf numFmtId="0" fontId="23" fillId="8" borderId="32" xfId="0" applyFont="1" applyFill="1" applyBorder="1" applyAlignment="1">
      <alignment horizontal="left" vertical="center" wrapText="1"/>
    </xf>
    <xf numFmtId="0" fontId="29" fillId="0" borderId="32" xfId="0" applyFont="1" applyBorder="1" applyAlignment="1">
      <alignment horizontal="right" vertical="top"/>
    </xf>
    <xf numFmtId="0" fontId="23" fillId="0" borderId="32" xfId="0" applyFont="1" applyBorder="1" applyAlignment="1">
      <alignment horizontal="left" vertical="center" wrapText="1"/>
    </xf>
    <xf numFmtId="0" fontId="28" fillId="6" borderId="32" xfId="0" applyFont="1" applyFill="1" applyBorder="1" applyAlignment="1">
      <alignment vertical="center"/>
    </xf>
    <xf numFmtId="166" fontId="23" fillId="0" borderId="32" xfId="0" applyNumberFormat="1" applyFont="1" applyBorder="1"/>
    <xf numFmtId="175" fontId="23" fillId="0" borderId="32" xfId="0" applyNumberFormat="1" applyFont="1" applyBorder="1"/>
    <xf numFmtId="166" fontId="23" fillId="8" borderId="32" xfId="0" applyNumberFormat="1" applyFont="1" applyFill="1" applyBorder="1"/>
    <xf numFmtId="175" fontId="23" fillId="8" borderId="32" xfId="0" applyNumberFormat="1" applyFont="1" applyFill="1" applyBorder="1"/>
    <xf numFmtId="172" fontId="23" fillId="8" borderId="32" xfId="0" applyNumberFormat="1" applyFont="1" applyFill="1" applyBorder="1"/>
    <xf numFmtId="166" fontId="23" fillId="0" borderId="0" xfId="0" applyNumberFormat="1" applyFont="1"/>
    <xf numFmtId="175" fontId="23" fillId="0" borderId="0" xfId="0" applyNumberFormat="1" applyFont="1"/>
    <xf numFmtId="0" fontId="27" fillId="6" borderId="1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4" xfId="0" applyFont="1" applyFill="1" applyBorder="1" applyAlignment="1">
      <alignment horizontal="center" vertical="center" wrapText="1"/>
    </xf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66" fontId="31" fillId="2" borderId="33" xfId="0" applyNumberFormat="1" applyFont="1" applyFill="1" applyBorder="1"/>
    <xf numFmtId="166" fontId="31" fillId="2" borderId="34" xfId="0" applyNumberFormat="1" applyFont="1" applyFill="1" applyBorder="1"/>
    <xf numFmtId="175" fontId="31" fillId="2" borderId="32" xfId="0" applyNumberFormat="1" applyFont="1" applyFill="1" applyBorder="1"/>
    <xf numFmtId="166" fontId="31" fillId="2" borderId="32" xfId="0" applyNumberFormat="1" applyFont="1" applyFill="1" applyBorder="1"/>
    <xf numFmtId="166" fontId="28" fillId="7" borderId="32" xfId="0" applyNumberFormat="1" applyFont="1" applyFill="1" applyBorder="1" applyAlignment="1">
      <alignment horizontal="center" vertical="center" wrapText="1"/>
    </xf>
    <xf numFmtId="166" fontId="31" fillId="8" borderId="33" xfId="0" applyNumberFormat="1" applyFont="1" applyFill="1" applyBorder="1"/>
    <xf numFmtId="166" fontId="31" fillId="8" borderId="34" xfId="0" applyNumberFormat="1" applyFont="1" applyFill="1" applyBorder="1"/>
    <xf numFmtId="175" fontId="31" fillId="8" borderId="32" xfId="0" applyNumberFormat="1" applyFont="1" applyFill="1" applyBorder="1"/>
    <xf numFmtId="166" fontId="31" fillId="8" borderId="32" xfId="0" applyNumberFormat="1" applyFont="1" applyFill="1" applyBorder="1"/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169" fontId="11" fillId="0" borderId="0" xfId="0" applyNumberFormat="1" applyFont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/>
    <xf numFmtId="0" fontId="16" fillId="3" borderId="5" xfId="0" applyFont="1" applyFill="1" applyBorder="1" applyAlignment="1">
      <alignment horizontal="left"/>
    </xf>
    <xf numFmtId="0" fontId="16" fillId="3" borderId="6" xfId="0" applyFont="1" applyFill="1" applyBorder="1" applyAlignment="1">
      <alignment horizontal="left"/>
    </xf>
    <xf numFmtId="0" fontId="16" fillId="3" borderId="5" xfId="0" applyFont="1" applyFill="1" applyBorder="1" applyAlignment="1">
      <alignment horizontal="center" wrapText="1"/>
    </xf>
    <xf numFmtId="0" fontId="17" fillId="4" borderId="7" xfId="0" applyFont="1" applyFill="1" applyBorder="1" applyAlignment="1">
      <alignment horizontal="left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170" fontId="11" fillId="0" borderId="0" xfId="0" applyNumberFormat="1" applyFont="1"/>
    <xf numFmtId="0" fontId="11" fillId="5" borderId="1" xfId="0" applyFont="1" applyFill="1" applyBorder="1"/>
    <xf numFmtId="0" fontId="11" fillId="9" borderId="1" xfId="0" applyFont="1" applyFill="1" applyBorder="1"/>
    <xf numFmtId="9" fontId="11" fillId="9" borderId="1" xfId="0" applyNumberFormat="1" applyFont="1" applyFill="1" applyBorder="1"/>
    <xf numFmtId="0" fontId="34" fillId="10" borderId="1" xfId="0" applyFont="1" applyFill="1" applyBorder="1" applyAlignment="1">
      <alignment horizontal="center" vertical="center"/>
    </xf>
    <xf numFmtId="2" fontId="11" fillId="10" borderId="1" xfId="0" applyNumberFormat="1" applyFont="1" applyFill="1" applyBorder="1"/>
    <xf numFmtId="0" fontId="34" fillId="0" borderId="0" xfId="0" applyFont="1" applyAlignment="1">
      <alignment horizontal="center" vertical="center"/>
    </xf>
    <xf numFmtId="2" fontId="11" fillId="0" borderId="0" xfId="0" applyNumberFormat="1" applyFont="1"/>
    <xf numFmtId="170" fontId="11" fillId="9" borderId="1" xfId="0" applyNumberFormat="1" applyFont="1" applyFill="1" applyBorder="1"/>
    <xf numFmtId="169" fontId="11" fillId="9" borderId="1" xfId="0" applyNumberFormat="1" applyFont="1" applyFill="1" applyBorder="1"/>
    <xf numFmtId="167" fontId="11" fillId="9" borderId="1" xfId="0" applyNumberFormat="1" applyFont="1" applyFill="1" applyBorder="1"/>
    <xf numFmtId="169" fontId="11" fillId="10" borderId="1" xfId="0" applyNumberFormat="1" applyFont="1" applyFill="1" applyBorder="1"/>
    <xf numFmtId="0" fontId="34" fillId="0" borderId="0" xfId="0" applyFont="1" applyAlignment="1">
      <alignment horizontal="center"/>
    </xf>
    <xf numFmtId="9" fontId="11" fillId="0" borderId="0" xfId="0" applyNumberFormat="1" applyFont="1"/>
    <xf numFmtId="0" fontId="11" fillId="11" borderId="41" xfId="0" applyFont="1" applyFill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1" fontId="11" fillId="0" borderId="0" xfId="0" applyNumberFormat="1" applyFont="1"/>
    <xf numFmtId="176" fontId="11" fillId="11" borderId="41" xfId="0" applyNumberFormat="1" applyFont="1" applyFill="1" applyBorder="1" applyAlignment="1">
      <alignment horizontal="center" vertical="center"/>
    </xf>
    <xf numFmtId="0" fontId="19" fillId="2" borderId="1" xfId="0" applyFont="1" applyFill="1" applyBorder="1"/>
    <xf numFmtId="0" fontId="35" fillId="2" borderId="1" xfId="0" applyFont="1" applyFill="1" applyBorder="1"/>
    <xf numFmtId="0" fontId="35" fillId="0" borderId="0" xfId="0" applyFont="1"/>
    <xf numFmtId="164" fontId="35" fillId="0" borderId="0" xfId="0" applyNumberFormat="1" applyFont="1"/>
    <xf numFmtId="0" fontId="22" fillId="3" borderId="5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164" fontId="22" fillId="3" borderId="6" xfId="0" applyNumberFormat="1" applyFont="1" applyFill="1" applyBorder="1" applyAlignment="1">
      <alignment horizontal="left"/>
    </xf>
    <xf numFmtId="0" fontId="19" fillId="4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0" fontId="19" fillId="4" borderId="6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center" wrapText="1"/>
    </xf>
    <xf numFmtId="169" fontId="19" fillId="0" borderId="0" xfId="0" applyNumberFormat="1" applyFont="1"/>
    <xf numFmtId="0" fontId="19" fillId="0" borderId="0" xfId="0" applyFont="1" applyAlignment="1">
      <alignment horizontal="center" vertical="center"/>
    </xf>
    <xf numFmtId="169" fontId="19" fillId="2" borderId="1" xfId="0" applyNumberFormat="1" applyFont="1" applyFill="1" applyBorder="1"/>
    <xf numFmtId="0" fontId="15" fillId="2" borderId="1" xfId="0" applyFont="1" applyFill="1" applyBorder="1" applyAlignment="1">
      <alignment vertical="center" wrapText="1"/>
    </xf>
    <xf numFmtId="169" fontId="15" fillId="2" borderId="1" xfId="0" applyNumberFormat="1" applyFont="1" applyFill="1" applyBorder="1" applyAlignment="1">
      <alignment wrapText="1"/>
    </xf>
    <xf numFmtId="164" fontId="19" fillId="0" borderId="0" xfId="0" applyNumberFormat="1" applyFont="1" applyAlignment="1">
      <alignment wrapText="1"/>
    </xf>
    <xf numFmtId="0" fontId="19" fillId="0" borderId="0" xfId="0" applyFont="1" applyAlignment="1">
      <alignment wrapText="1"/>
    </xf>
    <xf numFmtId="9" fontId="19" fillId="0" borderId="0" xfId="0" applyNumberFormat="1" applyFont="1" applyAlignment="1">
      <alignment horizontal="center" vertical="center" wrapText="1"/>
    </xf>
    <xf numFmtId="9" fontId="19" fillId="0" borderId="0" xfId="0" applyNumberFormat="1" applyFont="1" applyAlignment="1">
      <alignment wrapText="1"/>
    </xf>
    <xf numFmtId="164" fontId="19" fillId="2" borderId="1" xfId="0" applyNumberFormat="1" applyFont="1" applyFill="1" applyBorder="1" applyAlignment="1">
      <alignment horizontal="left" wrapText="1"/>
    </xf>
    <xf numFmtId="164" fontId="19" fillId="0" borderId="0" xfId="0" applyNumberFormat="1" applyFont="1"/>
    <xf numFmtId="9" fontId="19" fillId="0" borderId="0" xfId="0" applyNumberFormat="1" applyFont="1" applyAlignment="1">
      <alignment horizontal="center" vertical="center"/>
    </xf>
    <xf numFmtId="9" fontId="19" fillId="0" borderId="0" xfId="0" applyNumberFormat="1" applyFont="1"/>
    <xf numFmtId="0" fontId="11" fillId="11" borderId="1" xfId="0" applyFont="1" applyFill="1" applyBorder="1"/>
    <xf numFmtId="0" fontId="12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 vertical="center"/>
    </xf>
    <xf numFmtId="9" fontId="11" fillId="11" borderId="1" xfId="0" applyNumberFormat="1" applyFont="1" applyFill="1" applyBorder="1"/>
    <xf numFmtId="10" fontId="11" fillId="0" borderId="0" xfId="0" applyNumberFormat="1" applyFont="1"/>
    <xf numFmtId="177" fontId="11" fillId="0" borderId="0" xfId="0" applyNumberFormat="1" applyFont="1"/>
    <xf numFmtId="0" fontId="14" fillId="0" borderId="0" xfId="0" applyFont="1"/>
    <xf numFmtId="0" fontId="15" fillId="0" borderId="0" xfId="0" applyFont="1"/>
    <xf numFmtId="0" fontId="16" fillId="3" borderId="6" xfId="0" applyFont="1" applyFill="1" applyBorder="1" applyAlignment="1">
      <alignment vertical="center"/>
    </xf>
    <xf numFmtId="0" fontId="16" fillId="3" borderId="6" xfId="0" applyFont="1" applyFill="1" applyBorder="1" applyAlignment="1">
      <alignment horizontal="center" vertical="center"/>
    </xf>
    <xf numFmtId="169" fontId="15" fillId="2" borderId="1" xfId="0" applyNumberFormat="1" applyFont="1" applyFill="1" applyBorder="1" applyAlignment="1">
      <alignment horizontal="center"/>
    </xf>
    <xf numFmtId="169" fontId="11" fillId="2" borderId="1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8" fillId="0" borderId="0" xfId="0" applyNumberFormat="1" applyFont="1"/>
    <xf numFmtId="0" fontId="22" fillId="0" borderId="11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6" fillId="2" borderId="1" xfId="0" applyFont="1" applyFill="1" applyBorder="1"/>
    <xf numFmtId="0" fontId="36" fillId="0" borderId="0" xfId="0" applyFont="1"/>
    <xf numFmtId="178" fontId="11" fillId="0" borderId="0" xfId="0" applyNumberFormat="1" applyFont="1"/>
    <xf numFmtId="0" fontId="11" fillId="12" borderId="1" xfId="0" applyFont="1" applyFill="1" applyBorder="1"/>
    <xf numFmtId="0" fontId="37" fillId="0" borderId="0" xfId="0" applyFont="1"/>
    <xf numFmtId="0" fontId="14" fillId="0" borderId="0" xfId="0" applyFont="1" applyAlignment="1">
      <alignment horizontal="left"/>
    </xf>
    <xf numFmtId="0" fontId="16" fillId="3" borderId="7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horizontal="center" vertical="center"/>
    </xf>
    <xf numFmtId="166" fontId="32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66" fontId="11" fillId="0" borderId="0" xfId="0" applyNumberFormat="1" applyFont="1"/>
    <xf numFmtId="166" fontId="11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/>
    </xf>
    <xf numFmtId="174" fontId="11" fillId="0" borderId="0" xfId="0" applyNumberFormat="1" applyFont="1"/>
    <xf numFmtId="0" fontId="23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171" fontId="11" fillId="0" borderId="0" xfId="0" applyNumberFormat="1" applyFont="1"/>
    <xf numFmtId="0" fontId="23" fillId="10" borderId="43" xfId="0" applyFont="1" applyFill="1" applyBorder="1"/>
    <xf numFmtId="0" fontId="12" fillId="10" borderId="5" xfId="0" applyFont="1" applyFill="1" applyBorder="1"/>
    <xf numFmtId="0" fontId="11" fillId="10" borderId="5" xfId="0" applyFont="1" applyFill="1" applyBorder="1"/>
    <xf numFmtId="0" fontId="11" fillId="10" borderId="44" xfId="0" applyFont="1" applyFill="1" applyBorder="1"/>
    <xf numFmtId="0" fontId="23" fillId="0" borderId="21" xfId="0" applyFont="1" applyBorder="1"/>
    <xf numFmtId="0" fontId="11" fillId="0" borderId="12" xfId="0" applyFont="1" applyBorder="1"/>
    <xf numFmtId="0" fontId="11" fillId="10" borderId="1" xfId="0" applyFont="1" applyFill="1" applyBorder="1"/>
    <xf numFmtId="9" fontId="11" fillId="10" borderId="1" xfId="0" applyNumberFormat="1" applyFont="1" applyFill="1" applyBorder="1"/>
    <xf numFmtId="0" fontId="23" fillId="10" borderId="45" xfId="0" applyFont="1" applyFill="1" applyBorder="1"/>
    <xf numFmtId="9" fontId="11" fillId="2" borderId="1" xfId="0" applyNumberFormat="1" applyFont="1" applyFill="1" applyBorder="1"/>
    <xf numFmtId="0" fontId="23" fillId="0" borderId="23" xfId="0" applyFont="1" applyBorder="1"/>
    <xf numFmtId="10" fontId="11" fillId="0" borderId="18" xfId="0" applyNumberFormat="1" applyFont="1" applyBorder="1"/>
    <xf numFmtId="0" fontId="11" fillId="0" borderId="19" xfId="0" applyFont="1" applyBorder="1"/>
    <xf numFmtId="10" fontId="11" fillId="0" borderId="0" xfId="0" applyNumberFormat="1" applyFont="1" applyAlignment="1">
      <alignment horizontal="center" vertical="center"/>
    </xf>
    <xf numFmtId="10" fontId="11" fillId="0" borderId="0" xfId="0" applyNumberFormat="1" applyFont="1" applyAlignment="1">
      <alignment horizontal="center"/>
    </xf>
    <xf numFmtId="2" fontId="11" fillId="0" borderId="15" xfId="0" applyNumberFormat="1" applyFont="1" applyBorder="1"/>
    <xf numFmtId="2" fontId="11" fillId="0" borderId="16" xfId="0" applyNumberFormat="1" applyFont="1" applyBorder="1"/>
    <xf numFmtId="2" fontId="11" fillId="0" borderId="12" xfId="0" applyNumberFormat="1" applyFont="1" applyBorder="1"/>
    <xf numFmtId="2" fontId="11" fillId="0" borderId="18" xfId="0" applyNumberFormat="1" applyFont="1" applyBorder="1"/>
    <xf numFmtId="2" fontId="11" fillId="0" borderId="19" xfId="0" applyNumberFormat="1" applyFont="1" applyBorder="1"/>
    <xf numFmtId="0" fontId="11" fillId="2" borderId="45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 vertical="center"/>
    </xf>
    <xf numFmtId="9" fontId="11" fillId="2" borderId="46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64" fontId="40" fillId="0" borderId="0" xfId="0" applyNumberFormat="1" applyFont="1"/>
    <xf numFmtId="0" fontId="11" fillId="0" borderId="0" xfId="0" applyFont="1"/>
    <xf numFmtId="0" fontId="40" fillId="0" borderId="0" xfId="0" applyFont="1"/>
    <xf numFmtId="0" fontId="11" fillId="0" borderId="0" xfId="0" applyFont="1" applyAlignment="1">
      <alignment horizontal="right"/>
    </xf>
    <xf numFmtId="164" fontId="12" fillId="3" borderId="51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2" fillId="3" borderId="52" xfId="0" applyNumberFormat="1" applyFont="1" applyFill="1" applyBorder="1" applyAlignment="1">
      <alignment horizontal="left"/>
    </xf>
    <xf numFmtId="0" fontId="16" fillId="10" borderId="51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16" fillId="13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2" fontId="15" fillId="9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179" fontId="11" fillId="0" borderId="0" xfId="0" applyNumberFormat="1" applyFont="1"/>
    <xf numFmtId="0" fontId="11" fillId="2" borderId="1" xfId="0" applyFont="1" applyFill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41" fillId="0" borderId="0" xfId="0" applyNumberFormat="1" applyFont="1"/>
    <xf numFmtId="0" fontId="41" fillId="0" borderId="0" xfId="0" applyFont="1"/>
    <xf numFmtId="164" fontId="40" fillId="2" borderId="1" xfId="0" applyNumberFormat="1" applyFont="1" applyFill="1" applyBorder="1"/>
    <xf numFmtId="16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left" wrapText="1"/>
    </xf>
    <xf numFmtId="0" fontId="11" fillId="14" borderId="1" xfId="0" applyFont="1" applyFill="1" applyBorder="1" applyAlignment="1">
      <alignment horizontal="right"/>
    </xf>
    <xf numFmtId="170" fontId="11" fillId="14" borderId="1" xfId="0" applyNumberFormat="1" applyFont="1" applyFill="1" applyBorder="1"/>
    <xf numFmtId="0" fontId="11" fillId="14" borderId="1" xfId="0" applyFont="1" applyFill="1" applyBorder="1"/>
    <xf numFmtId="0" fontId="12" fillId="10" borderId="5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/>
    <xf numFmtId="0" fontId="11" fillId="16" borderId="1" xfId="0" applyFont="1" applyFill="1" applyBorder="1"/>
    <xf numFmtId="0" fontId="12" fillId="12" borderId="6" xfId="0" applyFont="1" applyFill="1" applyBorder="1" applyAlignment="1">
      <alignment horizontal="center" vertical="center"/>
    </xf>
    <xf numFmtId="10" fontId="42" fillId="0" borderId="0" xfId="0" applyNumberFormat="1" applyFont="1"/>
    <xf numFmtId="2" fontId="11" fillId="0" borderId="0" xfId="0" applyNumberFormat="1" applyFont="1" applyAlignment="1">
      <alignment horizontal="right"/>
    </xf>
    <xf numFmtId="9" fontId="11" fillId="0" borderId="12" xfId="0" applyNumberFormat="1" applyFont="1" applyBorder="1"/>
    <xf numFmtId="0" fontId="12" fillId="0" borderId="18" xfId="0" applyFont="1" applyBorder="1" applyAlignment="1">
      <alignment horizontal="right"/>
    </xf>
    <xf numFmtId="2" fontId="11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right"/>
    </xf>
    <xf numFmtId="9" fontId="42" fillId="0" borderId="0" xfId="0" applyNumberFormat="1" applyFont="1" applyAlignment="1">
      <alignment horizontal="center"/>
    </xf>
    <xf numFmtId="9" fontId="42" fillId="0" borderId="0" xfId="0" applyNumberFormat="1" applyFont="1"/>
    <xf numFmtId="9" fontId="11" fillId="2" borderId="53" xfId="0" applyNumberFormat="1" applyFont="1" applyFill="1" applyBorder="1"/>
    <xf numFmtId="2" fontId="11" fillId="2" borderId="1" xfId="0" applyNumberFormat="1" applyFont="1" applyFill="1" applyBorder="1"/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0" fontId="43" fillId="0" borderId="0" xfId="0" applyNumberFormat="1" applyFont="1"/>
    <xf numFmtId="0" fontId="11" fillId="5" borderId="1" xfId="0" applyFont="1" applyFill="1" applyBorder="1" applyAlignment="1">
      <alignment horizontal="right"/>
    </xf>
    <xf numFmtId="9" fontId="11" fillId="5" borderId="1" xfId="0" applyNumberFormat="1" applyFont="1" applyFill="1" applyBorder="1"/>
    <xf numFmtId="9" fontId="11" fillId="14" borderId="1" xfId="0" applyNumberFormat="1" applyFont="1" applyFill="1" applyBorder="1"/>
    <xf numFmtId="0" fontId="34" fillId="0" borderId="0" xfId="0" applyFont="1" applyAlignment="1">
      <alignment horizontal="right"/>
    </xf>
    <xf numFmtId="0" fontId="34" fillId="0" borderId="0" xfId="0" applyFont="1"/>
    <xf numFmtId="171" fontId="11" fillId="2" borderId="1" xfId="0" applyNumberFormat="1" applyFont="1" applyFill="1" applyBorder="1"/>
    <xf numFmtId="0" fontId="40" fillId="0" borderId="0" xfId="0" applyFont="1" applyAlignment="1">
      <alignment horizontal="center" vertical="center"/>
    </xf>
    <xf numFmtId="0" fontId="12" fillId="10" borderId="52" xfId="0" applyFont="1" applyFill="1" applyBorder="1" applyAlignment="1">
      <alignment horizontal="center" vertical="center" wrapText="1"/>
    </xf>
    <xf numFmtId="17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/>
    <xf numFmtId="164" fontId="11" fillId="0" borderId="0" xfId="0" applyNumberFormat="1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170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/>
    </xf>
    <xf numFmtId="170" fontId="11" fillId="2" borderId="1" xfId="0" applyNumberFormat="1" applyFont="1" applyFill="1" applyBorder="1"/>
    <xf numFmtId="1" fontId="11" fillId="0" borderId="0" xfId="0" applyNumberFormat="1" applyFont="1" applyAlignment="1">
      <alignment horizontal="center"/>
    </xf>
    <xf numFmtId="2" fontId="11" fillId="14" borderId="1" xfId="0" applyNumberFormat="1" applyFont="1" applyFill="1" applyBorder="1"/>
    <xf numFmtId="170" fontId="11" fillId="2" borderId="1" xfId="0" applyNumberFormat="1" applyFont="1" applyFill="1" applyBorder="1" applyAlignment="1">
      <alignment horizontal="right"/>
    </xf>
    <xf numFmtId="0" fontId="16" fillId="10" borderId="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2" fontId="15" fillId="5" borderId="1" xfId="0" applyNumberFormat="1" applyFont="1" applyFill="1" applyBorder="1" applyAlignment="1">
      <alignment horizontal="center" vertical="center"/>
    </xf>
    <xf numFmtId="169" fontId="11" fillId="2" borderId="1" xfId="0" applyNumberFormat="1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/>
    </xf>
    <xf numFmtId="0" fontId="11" fillId="2" borderId="6" xfId="0" applyFont="1" applyFill="1" applyBorder="1"/>
    <xf numFmtId="10" fontId="15" fillId="5" borderId="52" xfId="0" applyNumberFormat="1" applyFont="1" applyFill="1" applyBorder="1" applyAlignment="1">
      <alignment horizontal="center" vertical="center"/>
    </xf>
    <xf numFmtId="10" fontId="15" fillId="2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/>
    <xf numFmtId="2" fontId="15" fillId="2" borderId="1" xfId="0" applyNumberFormat="1" applyFont="1" applyFill="1" applyBorder="1" applyAlignment="1">
      <alignment horizontal="center" vertical="center"/>
    </xf>
    <xf numFmtId="167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164" fontId="15" fillId="14" borderId="1" xfId="0" applyNumberFormat="1" applyFont="1" applyFill="1" applyBorder="1" applyAlignment="1">
      <alignment horizontal="center"/>
    </xf>
    <xf numFmtId="181" fontId="11" fillId="0" borderId="0" xfId="0" applyNumberFormat="1" applyFont="1"/>
    <xf numFmtId="1" fontId="11" fillId="0" borderId="0" xfId="0" applyNumberFormat="1" applyFont="1" applyAlignment="1">
      <alignment horizontal="center" vertical="center"/>
    </xf>
    <xf numFmtId="9" fontId="11" fillId="0" borderId="11" xfId="0" applyNumberFormat="1" applyFont="1" applyBorder="1"/>
    <xf numFmtId="2" fontId="11" fillId="11" borderId="1" xfId="0" applyNumberFormat="1" applyFont="1" applyFill="1" applyBorder="1" applyAlignment="1">
      <alignment horizontal="center"/>
    </xf>
    <xf numFmtId="9" fontId="11" fillId="0" borderId="17" xfId="0" applyNumberFormat="1" applyFont="1" applyBorder="1" applyAlignment="1">
      <alignment horizontal="right"/>
    </xf>
    <xf numFmtId="0" fontId="12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 wrapText="1"/>
    </xf>
    <xf numFmtId="169" fontId="19" fillId="2" borderId="5" xfId="0" applyNumberFormat="1" applyFont="1" applyFill="1" applyBorder="1" applyAlignment="1">
      <alignment horizontal="center" vertical="center" wrapText="1"/>
    </xf>
    <xf numFmtId="1" fontId="19" fillId="5" borderId="5" xfId="0" applyNumberFormat="1" applyFont="1" applyFill="1" applyBorder="1" applyAlignment="1">
      <alignment horizontal="center" vertical="center" wrapText="1"/>
    </xf>
    <xf numFmtId="0" fontId="11" fillId="16" borderId="5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9" fontId="19" fillId="4" borderId="5" xfId="0" applyNumberFormat="1" applyFont="1" applyFill="1" applyBorder="1" applyAlignment="1">
      <alignment horizontal="center" vertical="center" wrapText="1"/>
    </xf>
    <xf numFmtId="1" fontId="19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/>
    <xf numFmtId="0" fontId="12" fillId="0" borderId="0" xfId="0" applyFont="1" applyAlignment="1">
      <alignment horizontal="center" vertical="center"/>
    </xf>
    <xf numFmtId="0" fontId="19" fillId="16" borderId="5" xfId="0" applyFont="1" applyFill="1" applyBorder="1" applyAlignment="1">
      <alignment horizontal="center" vertical="center"/>
    </xf>
    <xf numFmtId="166" fontId="11" fillId="16" borderId="1" xfId="0" applyNumberFormat="1" applyFont="1" applyFill="1" applyBorder="1"/>
    <xf numFmtId="9" fontId="11" fillId="16" borderId="1" xfId="0" applyNumberFormat="1" applyFont="1" applyFill="1" applyBorder="1"/>
    <xf numFmtId="169" fontId="11" fillId="2" borderId="1" xfId="0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11" fillId="9" borderId="53" xfId="0" applyFont="1" applyFill="1" applyBorder="1"/>
    <xf numFmtId="0" fontId="21" fillId="5" borderId="10" xfId="0" applyFont="1" applyFill="1" applyBorder="1" applyAlignment="1">
      <alignment vertical="center"/>
    </xf>
    <xf numFmtId="0" fontId="11" fillId="5" borderId="10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12" fillId="5" borderId="43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5" xfId="0" applyFont="1" applyFill="1" applyBorder="1"/>
    <xf numFmtId="0" fontId="12" fillId="5" borderId="44" xfId="0" applyFont="1" applyFill="1" applyBorder="1"/>
    <xf numFmtId="0" fontId="12" fillId="9" borderId="43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5" xfId="0" applyFont="1" applyFill="1" applyBorder="1"/>
    <xf numFmtId="0" fontId="12" fillId="9" borderId="1" xfId="0" applyFont="1" applyFill="1" applyBorder="1" applyAlignment="1">
      <alignment horizontal="center" vertical="center"/>
    </xf>
    <xf numFmtId="0" fontId="46" fillId="0" borderId="0" xfId="0" applyFont="1"/>
    <xf numFmtId="0" fontId="12" fillId="5" borderId="10" xfId="0" applyFont="1" applyFill="1" applyBorder="1" applyAlignment="1">
      <alignment horizontal="center" vertical="center"/>
    </xf>
    <xf numFmtId="0" fontId="12" fillId="5" borderId="10" xfId="0" applyFont="1" applyFill="1" applyBorder="1"/>
    <xf numFmtId="1" fontId="11" fillId="5" borderId="1" xfId="0" applyNumberFormat="1" applyFont="1" applyFill="1" applyBorder="1"/>
    <xf numFmtId="169" fontId="11" fillId="9" borderId="1" xfId="0" applyNumberFormat="1" applyFont="1" applyFill="1" applyBorder="1" applyAlignment="1">
      <alignment horizontal="center" vertical="center"/>
    </xf>
    <xf numFmtId="169" fontId="46" fillId="5" borderId="1" xfId="0" applyNumberFormat="1" applyFont="1" applyFill="1" applyBorder="1" applyAlignment="1">
      <alignment horizontal="center" vertical="center"/>
    </xf>
    <xf numFmtId="169" fontId="11" fillId="5" borderId="1" xfId="0" applyNumberFormat="1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 wrapText="1"/>
    </xf>
    <xf numFmtId="166" fontId="11" fillId="0" borderId="24" xfId="0" applyNumberFormat="1" applyFont="1" applyBorder="1"/>
    <xf numFmtId="166" fontId="11" fillId="0" borderId="15" xfId="0" applyNumberFormat="1" applyFont="1" applyBorder="1"/>
    <xf numFmtId="166" fontId="11" fillId="0" borderId="16" xfId="0" applyNumberFormat="1" applyFont="1" applyBorder="1"/>
    <xf numFmtId="0" fontId="47" fillId="0" borderId="11" xfId="0" applyFont="1" applyBorder="1" applyAlignment="1">
      <alignment horizontal="center"/>
    </xf>
    <xf numFmtId="166" fontId="11" fillId="0" borderId="21" xfId="0" applyNumberFormat="1" applyFont="1" applyBorder="1"/>
    <xf numFmtId="166" fontId="11" fillId="0" borderId="12" xfId="0" applyNumberFormat="1" applyFont="1" applyBorder="1"/>
    <xf numFmtId="0" fontId="11" fillId="0" borderId="11" xfId="0" applyFont="1" applyBorder="1" applyAlignment="1">
      <alignment horizontal="center"/>
    </xf>
    <xf numFmtId="0" fontId="47" fillId="0" borderId="17" xfId="0" applyFont="1" applyBorder="1" applyAlignment="1">
      <alignment horizontal="center"/>
    </xf>
    <xf numFmtId="166" fontId="11" fillId="0" borderId="23" xfId="0" applyNumberFormat="1" applyFont="1" applyBorder="1"/>
    <xf numFmtId="166" fontId="11" fillId="0" borderId="18" xfId="0" applyNumberFormat="1" applyFont="1" applyBorder="1"/>
    <xf numFmtId="166" fontId="11" fillId="0" borderId="19" xfId="0" applyNumberFormat="1" applyFont="1" applyBorder="1"/>
    <xf numFmtId="0" fontId="47" fillId="0" borderId="0" xfId="0" applyFont="1" applyAlignment="1">
      <alignment horizontal="center"/>
    </xf>
    <xf numFmtId="182" fontId="11" fillId="0" borderId="0" xfId="0" applyNumberFormat="1" applyFont="1"/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1" fillId="17" borderId="1" xfId="0" applyFont="1" applyFill="1" applyBorder="1"/>
    <xf numFmtId="1" fontId="11" fillId="4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/>
    <xf numFmtId="11" fontId="11" fillId="0" borderId="0" xfId="0" applyNumberFormat="1" applyFont="1"/>
    <xf numFmtId="0" fontId="11" fillId="18" borderId="1" xfId="0" applyFont="1" applyFill="1" applyBorder="1"/>
    <xf numFmtId="0" fontId="34" fillId="16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12" fillId="5" borderId="1" xfId="0" applyFont="1" applyFill="1" applyBorder="1" applyAlignment="1">
      <alignment horizontal="center" vertical="center"/>
    </xf>
    <xf numFmtId="0" fontId="12" fillId="5" borderId="43" xfId="0" applyFont="1" applyFill="1" applyBorder="1"/>
    <xf numFmtId="0" fontId="34" fillId="16" borderId="1" xfId="0" applyFont="1" applyFill="1" applyBorder="1"/>
    <xf numFmtId="9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10" borderId="1" xfId="0" applyFont="1" applyFill="1" applyBorder="1"/>
    <xf numFmtId="0" fontId="12" fillId="18" borderId="59" xfId="0" applyFont="1" applyFill="1" applyBorder="1"/>
    <xf numFmtId="1" fontId="11" fillId="18" borderId="43" xfId="0" applyNumberFormat="1" applyFont="1" applyFill="1" applyBorder="1" applyAlignment="1">
      <alignment horizontal="center"/>
    </xf>
    <xf numFmtId="1" fontId="11" fillId="18" borderId="5" xfId="0" applyNumberFormat="1" applyFont="1" applyFill="1" applyBorder="1" applyAlignment="1">
      <alignment horizontal="center"/>
    </xf>
    <xf numFmtId="1" fontId="11" fillId="18" borderId="44" xfId="0" applyNumberFormat="1" applyFont="1" applyFill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1" fontId="11" fillId="5" borderId="1" xfId="0" applyNumberFormat="1" applyFont="1" applyFill="1" applyBorder="1" applyAlignment="1">
      <alignment horizontal="center"/>
    </xf>
    <xf numFmtId="1" fontId="11" fillId="18" borderId="45" xfId="0" applyNumberFormat="1" applyFont="1" applyFill="1" applyBorder="1" applyAlignment="1">
      <alignment horizontal="center"/>
    </xf>
    <xf numFmtId="1" fontId="11" fillId="18" borderId="1" xfId="0" applyNumberFormat="1" applyFont="1" applyFill="1" applyBorder="1" applyAlignment="1">
      <alignment horizontal="center"/>
    </xf>
    <xf numFmtId="1" fontId="11" fillId="18" borderId="46" xfId="0" applyNumberFormat="1" applyFont="1" applyFill="1" applyBorder="1" applyAlignment="1">
      <alignment horizontal="center"/>
    </xf>
    <xf numFmtId="0" fontId="12" fillId="2" borderId="1" xfId="0" applyFont="1" applyFill="1" applyBorder="1"/>
    <xf numFmtId="1" fontId="12" fillId="5" borderId="10" xfId="0" applyNumberFormat="1" applyFont="1" applyFill="1" applyBorder="1" applyAlignment="1">
      <alignment horizontal="center" vertical="center"/>
    </xf>
    <xf numFmtId="176" fontId="34" fillId="16" borderId="1" xfId="0" applyNumberFormat="1" applyFont="1" applyFill="1" applyBorder="1"/>
    <xf numFmtId="176" fontId="12" fillId="0" borderId="0" xfId="0" applyNumberFormat="1" applyFont="1" applyAlignment="1">
      <alignment horizontal="center" vertical="center"/>
    </xf>
    <xf numFmtId="167" fontId="34" fillId="16" borderId="1" xfId="0" applyNumberFormat="1" applyFont="1" applyFill="1" applyBorder="1"/>
    <xf numFmtId="167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12" fillId="18" borderId="22" xfId="0" applyFont="1" applyFill="1" applyBorder="1"/>
    <xf numFmtId="1" fontId="11" fillId="18" borderId="48" xfId="0" applyNumberFormat="1" applyFont="1" applyFill="1" applyBorder="1" applyAlignment="1">
      <alignment horizontal="center"/>
    </xf>
    <xf numFmtId="1" fontId="11" fillId="18" borderId="53" xfId="0" applyNumberFormat="1" applyFont="1" applyFill="1" applyBorder="1" applyAlignment="1">
      <alignment horizontal="center"/>
    </xf>
    <xf numFmtId="1" fontId="11" fillId="18" borderId="50" xfId="0" applyNumberFormat="1" applyFont="1" applyFill="1" applyBorder="1" applyAlignment="1">
      <alignment horizontal="center"/>
    </xf>
    <xf numFmtId="167" fontId="34" fillId="0" borderId="0" xfId="0" applyNumberFormat="1" applyFont="1"/>
    <xf numFmtId="0" fontId="12" fillId="5" borderId="59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/>
    <xf numFmtId="1" fontId="12" fillId="18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9" fontId="12" fillId="18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169" fontId="11" fillId="2" borderId="1" xfId="0" applyNumberFormat="1" applyFont="1" applyFill="1" applyBorder="1" applyAlignment="1">
      <alignment horizontal="center" vertical="center"/>
    </xf>
    <xf numFmtId="9" fontId="34" fillId="2" borderId="1" xfId="0" applyNumberFormat="1" applyFont="1" applyFill="1" applyBorder="1" applyAlignment="1">
      <alignment horizontal="center" vertical="center"/>
    </xf>
    <xf numFmtId="170" fontId="19" fillId="2" borderId="5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69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0" fontId="12" fillId="11" borderId="1" xfId="0" applyFont="1" applyFill="1" applyBorder="1"/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/>
    </xf>
    <xf numFmtId="0" fontId="21" fillId="2" borderId="1" xfId="0" applyFont="1" applyFill="1" applyBorder="1"/>
    <xf numFmtId="0" fontId="21" fillId="18" borderId="51" xfId="0" applyFont="1" applyFill="1" applyBorder="1"/>
    <xf numFmtId="0" fontId="21" fillId="18" borderId="6" xfId="0" applyFont="1" applyFill="1" applyBorder="1"/>
    <xf numFmtId="0" fontId="21" fillId="18" borderId="52" xfId="0" applyFont="1" applyFill="1" applyBorder="1"/>
    <xf numFmtId="0" fontId="37" fillId="14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18" borderId="45" xfId="0" applyFont="1" applyFill="1" applyBorder="1" applyAlignment="1">
      <alignment horizontal="center" vertical="center"/>
    </xf>
    <xf numFmtId="0" fontId="12" fillId="18" borderId="46" xfId="0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 wrapText="1"/>
    </xf>
    <xf numFmtId="9" fontId="19" fillId="14" borderId="5" xfId="0" applyNumberFormat="1" applyFont="1" applyFill="1" applyBorder="1" applyAlignment="1">
      <alignment horizontal="center" vertical="center" wrapText="1"/>
    </xf>
    <xf numFmtId="169" fontId="19" fillId="14" borderId="5" xfId="0" applyNumberFormat="1" applyFont="1" applyFill="1" applyBorder="1" applyAlignment="1">
      <alignment horizontal="center" vertical="center" wrapText="1"/>
    </xf>
    <xf numFmtId="9" fontId="19" fillId="16" borderId="5" xfId="0" applyNumberFormat="1" applyFont="1" applyFill="1" applyBorder="1" applyAlignment="1">
      <alignment horizontal="center" vertical="center" wrapText="1"/>
    </xf>
    <xf numFmtId="9" fontId="19" fillId="11" borderId="5" xfId="0" applyNumberFormat="1" applyFont="1" applyFill="1" applyBorder="1" applyAlignment="1">
      <alignment horizontal="center" vertical="center" wrapText="1"/>
    </xf>
    <xf numFmtId="1" fontId="11" fillId="4" borderId="6" xfId="0" applyNumberFormat="1" applyFont="1" applyFill="1" applyBorder="1" applyAlignment="1">
      <alignment horizontal="center" vertical="center"/>
    </xf>
    <xf numFmtId="169" fontId="11" fillId="4" borderId="6" xfId="0" applyNumberFormat="1" applyFont="1" applyFill="1" applyBorder="1"/>
    <xf numFmtId="1" fontId="11" fillId="14" borderId="6" xfId="0" applyNumberFormat="1" applyFont="1" applyFill="1" applyBorder="1"/>
    <xf numFmtId="0" fontId="11" fillId="14" borderId="6" xfId="0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/>
    </xf>
    <xf numFmtId="9" fontId="11" fillId="18" borderId="45" xfId="0" applyNumberFormat="1" applyFont="1" applyFill="1" applyBorder="1" applyAlignment="1">
      <alignment horizontal="center"/>
    </xf>
    <xf numFmtId="9" fontId="11" fillId="18" borderId="1" xfId="0" applyNumberFormat="1" applyFont="1" applyFill="1" applyBorder="1" applyAlignment="1">
      <alignment horizontal="center"/>
    </xf>
    <xf numFmtId="9" fontId="11" fillId="18" borderId="46" xfId="0" applyNumberFormat="1" applyFont="1" applyFill="1" applyBorder="1" applyAlignment="1">
      <alignment horizontal="center"/>
    </xf>
    <xf numFmtId="2" fontId="11" fillId="18" borderId="45" xfId="0" applyNumberFormat="1" applyFont="1" applyFill="1" applyBorder="1" applyAlignment="1">
      <alignment horizontal="center"/>
    </xf>
    <xf numFmtId="2" fontId="11" fillId="18" borderId="1" xfId="0" applyNumberFormat="1" applyFont="1" applyFill="1" applyBorder="1" applyAlignment="1">
      <alignment horizontal="center"/>
    </xf>
    <xf numFmtId="2" fontId="11" fillId="18" borderId="46" xfId="0" applyNumberFormat="1" applyFont="1" applyFill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1" fillId="2" borderId="46" xfId="0" applyNumberFormat="1" applyFont="1" applyFill="1" applyBorder="1" applyAlignment="1">
      <alignment horizontal="center"/>
    </xf>
    <xf numFmtId="169" fontId="19" fillId="2" borderId="5" xfId="0" applyNumberFormat="1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/>
    </xf>
    <xf numFmtId="9" fontId="19" fillId="14" borderId="5" xfId="0" applyNumberFormat="1" applyFont="1" applyFill="1" applyBorder="1" applyAlignment="1">
      <alignment horizontal="center" vertical="center"/>
    </xf>
    <xf numFmtId="169" fontId="19" fillId="14" borderId="5" xfId="0" applyNumberFormat="1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/>
    </xf>
    <xf numFmtId="9" fontId="19" fillId="16" borderId="5" xfId="0" applyNumberFormat="1" applyFont="1" applyFill="1" applyBorder="1" applyAlignment="1">
      <alignment horizontal="center" vertical="center"/>
    </xf>
    <xf numFmtId="9" fontId="19" fillId="11" borderId="5" xfId="0" applyNumberFormat="1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170" fontId="19" fillId="5" borderId="5" xfId="0" applyNumberFormat="1" applyFont="1" applyFill="1" applyBorder="1" applyAlignment="1">
      <alignment horizontal="center" vertical="center"/>
    </xf>
    <xf numFmtId="174" fontId="19" fillId="2" borderId="1" xfId="0" applyNumberFormat="1" applyFont="1" applyFill="1" applyBorder="1" applyAlignment="1">
      <alignment horizontal="center"/>
    </xf>
    <xf numFmtId="175" fontId="19" fillId="2" borderId="1" xfId="0" applyNumberFormat="1" applyFont="1" applyFill="1" applyBorder="1" applyAlignment="1">
      <alignment horizontal="center"/>
    </xf>
    <xf numFmtId="9" fontId="11" fillId="18" borderId="48" xfId="0" applyNumberFormat="1" applyFont="1" applyFill="1" applyBorder="1" applyAlignment="1">
      <alignment horizontal="center"/>
    </xf>
    <xf numFmtId="9" fontId="11" fillId="18" borderId="53" xfId="0" applyNumberFormat="1" applyFont="1" applyFill="1" applyBorder="1" applyAlignment="1">
      <alignment horizontal="center"/>
    </xf>
    <xf numFmtId="9" fontId="11" fillId="18" borderId="50" xfId="0" applyNumberFormat="1" applyFont="1" applyFill="1" applyBorder="1" applyAlignment="1">
      <alignment horizontal="center"/>
    </xf>
    <xf numFmtId="2" fontId="11" fillId="18" borderId="48" xfId="0" applyNumberFormat="1" applyFont="1" applyFill="1" applyBorder="1" applyAlignment="1">
      <alignment horizontal="center"/>
    </xf>
    <xf numFmtId="2" fontId="11" fillId="18" borderId="53" xfId="0" applyNumberFormat="1" applyFont="1" applyFill="1" applyBorder="1" applyAlignment="1">
      <alignment horizontal="center"/>
    </xf>
    <xf numFmtId="2" fontId="11" fillId="18" borderId="50" xfId="0" applyNumberFormat="1" applyFont="1" applyFill="1" applyBorder="1" applyAlignment="1">
      <alignment horizontal="center"/>
    </xf>
    <xf numFmtId="169" fontId="11" fillId="4" borderId="6" xfId="0" applyNumberFormat="1" applyFont="1" applyFill="1" applyBorder="1" applyAlignment="1">
      <alignment horizontal="center"/>
    </xf>
    <xf numFmtId="2" fontId="11" fillId="18" borderId="43" xfId="0" applyNumberFormat="1" applyFont="1" applyFill="1" applyBorder="1" applyAlignment="1">
      <alignment horizontal="center"/>
    </xf>
    <xf numFmtId="2" fontId="11" fillId="18" borderId="5" xfId="0" applyNumberFormat="1" applyFont="1" applyFill="1" applyBorder="1" applyAlignment="1">
      <alignment horizontal="center"/>
    </xf>
    <xf numFmtId="2" fontId="11" fillId="17" borderId="5" xfId="0" applyNumberFormat="1" applyFont="1" applyFill="1" applyBorder="1" applyAlignment="1">
      <alignment horizontal="center"/>
    </xf>
    <xf numFmtId="2" fontId="11" fillId="18" borderId="44" xfId="0" applyNumberFormat="1" applyFont="1" applyFill="1" applyBorder="1" applyAlignment="1">
      <alignment horizontal="center"/>
    </xf>
    <xf numFmtId="169" fontId="11" fillId="14" borderId="6" xfId="0" applyNumberFormat="1" applyFont="1" applyFill="1" applyBorder="1"/>
    <xf numFmtId="2" fontId="11" fillId="2" borderId="53" xfId="0" applyNumberFormat="1" applyFont="1" applyFill="1" applyBorder="1" applyAlignment="1">
      <alignment horizontal="center"/>
    </xf>
    <xf numFmtId="2" fontId="11" fillId="2" borderId="50" xfId="0" applyNumberFormat="1" applyFont="1" applyFill="1" applyBorder="1" applyAlignment="1">
      <alignment horizontal="center"/>
    </xf>
    <xf numFmtId="169" fontId="19" fillId="14" borderId="1" xfId="0" applyNumberFormat="1" applyFont="1" applyFill="1" applyBorder="1" applyAlignment="1">
      <alignment horizontal="center" vertical="center" wrapText="1"/>
    </xf>
    <xf numFmtId="169" fontId="19" fillId="5" borderId="1" xfId="0" applyNumberFormat="1" applyFont="1" applyFill="1" applyBorder="1" applyAlignment="1">
      <alignment horizontal="center" vertical="center" wrapText="1"/>
    </xf>
    <xf numFmtId="9" fontId="19" fillId="16" borderId="1" xfId="0" applyNumberFormat="1" applyFont="1" applyFill="1" applyBorder="1" applyAlignment="1">
      <alignment horizontal="center" vertical="center" wrapText="1"/>
    </xf>
    <xf numFmtId="9" fontId="19" fillId="11" borderId="1" xfId="0" applyNumberFormat="1" applyFont="1" applyFill="1" applyBorder="1" applyAlignment="1">
      <alignment horizontal="center" vertical="center" wrapText="1"/>
    </xf>
    <xf numFmtId="9" fontId="12" fillId="2" borderId="1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/>
    </xf>
    <xf numFmtId="2" fontId="48" fillId="0" borderId="0" xfId="0" applyNumberFormat="1" applyFont="1"/>
    <xf numFmtId="0" fontId="21" fillId="2" borderId="53" xfId="0" applyFont="1" applyFill="1" applyBorder="1" applyAlignment="1">
      <alignment horizontal="center" vertical="center" wrapText="1"/>
    </xf>
    <xf numFmtId="0" fontId="37" fillId="14" borderId="53" xfId="0" applyFont="1" applyFill="1" applyBorder="1" applyAlignment="1">
      <alignment horizontal="center" vertical="center" wrapText="1"/>
    </xf>
    <xf numFmtId="0" fontId="37" fillId="5" borderId="53" xfId="0" applyFont="1" applyFill="1" applyBorder="1" applyAlignment="1">
      <alignment horizontal="center" vertical="center" wrapText="1"/>
    </xf>
    <xf numFmtId="0" fontId="37" fillId="16" borderId="53" xfId="0" applyFont="1" applyFill="1" applyBorder="1" applyAlignment="1">
      <alignment horizontal="center" vertical="center" wrapText="1"/>
    </xf>
    <xf numFmtId="0" fontId="37" fillId="11" borderId="5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1" fontId="47" fillId="0" borderId="13" xfId="0" applyNumberFormat="1" applyFont="1" applyBorder="1" applyAlignment="1">
      <alignment horizontal="center"/>
    </xf>
    <xf numFmtId="9" fontId="47" fillId="14" borderId="6" xfId="0" applyNumberFormat="1" applyFont="1" applyFill="1" applyBorder="1" applyAlignment="1">
      <alignment horizontal="center"/>
    </xf>
    <xf numFmtId="1" fontId="47" fillId="14" borderId="6" xfId="0" applyNumberFormat="1" applyFont="1" applyFill="1" applyBorder="1" applyAlignment="1">
      <alignment horizontal="center"/>
    </xf>
    <xf numFmtId="1" fontId="47" fillId="9" borderId="6" xfId="0" applyNumberFormat="1" applyFont="1" applyFill="1" applyBorder="1" applyAlignment="1">
      <alignment horizontal="center"/>
    </xf>
    <xf numFmtId="2" fontId="47" fillId="9" borderId="6" xfId="0" applyNumberFormat="1" applyFont="1" applyFill="1" applyBorder="1" applyAlignment="1">
      <alignment horizontal="center"/>
    </xf>
    <xf numFmtId="181" fontId="19" fillId="16" borderId="5" xfId="0" applyNumberFormat="1" applyFont="1" applyFill="1" applyBorder="1" applyAlignment="1">
      <alignment horizontal="center" vertical="center" wrapText="1"/>
    </xf>
    <xf numFmtId="1" fontId="47" fillId="4" borderId="6" xfId="0" applyNumberFormat="1" applyFont="1" applyFill="1" applyBorder="1" applyAlignment="1">
      <alignment horizontal="center"/>
    </xf>
    <xf numFmtId="169" fontId="47" fillId="4" borderId="6" xfId="0" applyNumberFormat="1" applyFont="1" applyFill="1" applyBorder="1" applyAlignment="1">
      <alignment horizontal="center"/>
    </xf>
    <xf numFmtId="1" fontId="11" fillId="14" borderId="6" xfId="0" applyNumberFormat="1" applyFont="1" applyFill="1" applyBorder="1" applyAlignment="1">
      <alignment horizontal="center" vertical="center"/>
    </xf>
    <xf numFmtId="1" fontId="47" fillId="0" borderId="0" xfId="0" applyNumberFormat="1" applyFont="1" applyAlignment="1">
      <alignment horizontal="center"/>
    </xf>
    <xf numFmtId="0" fontId="47" fillId="0" borderId="13" xfId="0" applyFont="1" applyBorder="1" applyAlignment="1">
      <alignment horizontal="center"/>
    </xf>
    <xf numFmtId="1" fontId="11" fillId="14" borderId="6" xfId="0" applyNumberFormat="1" applyFont="1" applyFill="1" applyBorder="1" applyAlignment="1">
      <alignment horizontal="center"/>
    </xf>
    <xf numFmtId="0" fontId="11" fillId="14" borderId="6" xfId="0" applyFont="1" applyFill="1" applyBorder="1" applyAlignment="1">
      <alignment horizontal="center"/>
    </xf>
    <xf numFmtId="9" fontId="19" fillId="16" borderId="6" xfId="0" applyNumberFormat="1" applyFont="1" applyFill="1" applyBorder="1" applyAlignment="1">
      <alignment horizontal="center" vertical="center" wrapText="1"/>
    </xf>
    <xf numFmtId="9" fontId="19" fillId="11" borderId="6" xfId="0" applyNumberFormat="1" applyFont="1" applyFill="1" applyBorder="1" applyAlignment="1">
      <alignment horizontal="center" vertical="center" wrapText="1"/>
    </xf>
    <xf numFmtId="1" fontId="11" fillId="0" borderId="14" xfId="0" applyNumberFormat="1" applyFont="1" applyBorder="1"/>
    <xf numFmtId="1" fontId="11" fillId="0" borderId="15" xfId="0" applyNumberFormat="1" applyFont="1" applyBorder="1"/>
    <xf numFmtId="1" fontId="11" fillId="0" borderId="24" xfId="0" applyNumberFormat="1" applyFont="1" applyBorder="1"/>
    <xf numFmtId="1" fontId="11" fillId="0" borderId="16" xfId="0" applyNumberFormat="1" applyFont="1" applyBorder="1"/>
    <xf numFmtId="1" fontId="11" fillId="0" borderId="18" xfId="0" applyNumberFormat="1" applyFont="1" applyBorder="1"/>
    <xf numFmtId="1" fontId="11" fillId="0" borderId="23" xfId="0" applyNumberFormat="1" applyFont="1" applyBorder="1"/>
    <xf numFmtId="1" fontId="11" fillId="0" borderId="19" xfId="0" applyNumberFormat="1" applyFont="1" applyBorder="1"/>
    <xf numFmtId="0" fontId="21" fillId="2" borderId="53" xfId="0" applyFont="1" applyFill="1" applyBorder="1" applyAlignment="1">
      <alignment horizontal="left" vertical="center"/>
    </xf>
    <xf numFmtId="0" fontId="37" fillId="2" borderId="53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" fontId="47" fillId="2" borderId="1" xfId="0" applyNumberFormat="1" applyFont="1" applyFill="1" applyBorder="1" applyAlignment="1">
      <alignment horizontal="center"/>
    </xf>
    <xf numFmtId="176" fontId="15" fillId="2" borderId="1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wrapText="1"/>
    </xf>
    <xf numFmtId="1" fontId="50" fillId="0" borderId="0" xfId="0" applyNumberFormat="1" applyFont="1"/>
    <xf numFmtId="0" fontId="50" fillId="0" borderId="0" xfId="0" applyFont="1"/>
    <xf numFmtId="0" fontId="11" fillId="5" borderId="5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/>
    </xf>
    <xf numFmtId="1" fontId="11" fillId="11" borderId="1" xfId="0" applyNumberFormat="1" applyFont="1" applyFill="1" applyBorder="1"/>
    <xf numFmtId="167" fontId="11" fillId="0" borderId="0" xfId="0" applyNumberFormat="1" applyFont="1"/>
    <xf numFmtId="0" fontId="12" fillId="0" borderId="0" xfId="0" applyFont="1" applyAlignment="1">
      <alignment horizontal="center" vertical="center" wrapText="1"/>
    </xf>
    <xf numFmtId="169" fontId="11" fillId="1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2" fontId="11" fillId="12" borderId="1" xfId="0" applyNumberFormat="1" applyFont="1" applyFill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0" fontId="11" fillId="2" borderId="46" xfId="0" applyFont="1" applyFill="1" applyBorder="1"/>
    <xf numFmtId="0" fontId="11" fillId="2" borderId="45" xfId="0" applyFont="1" applyFill="1" applyBorder="1"/>
    <xf numFmtId="0" fontId="38" fillId="2" borderId="46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0" borderId="21" xfId="0" applyFont="1" applyBorder="1"/>
    <xf numFmtId="0" fontId="51" fillId="0" borderId="0" xfId="0" applyFont="1"/>
    <xf numFmtId="0" fontId="51" fillId="0" borderId="21" xfId="0" applyFont="1" applyBorder="1"/>
    <xf numFmtId="0" fontId="51" fillId="2" borderId="46" xfId="0" applyFont="1" applyFill="1" applyBorder="1"/>
    <xf numFmtId="0" fontId="51" fillId="0" borderId="0" xfId="0" applyFont="1" applyAlignment="1">
      <alignment horizontal="center"/>
    </xf>
    <xf numFmtId="0" fontId="51" fillId="2" borderId="1" xfId="0" applyFont="1" applyFill="1" applyBorder="1" applyAlignment="1">
      <alignment horizontal="center"/>
    </xf>
    <xf numFmtId="0" fontId="51" fillId="2" borderId="1" xfId="0" applyFont="1" applyFill="1" applyBorder="1"/>
    <xf numFmtId="0" fontId="51" fillId="2" borderId="1" xfId="0" applyFont="1" applyFill="1" applyBorder="1" applyAlignment="1">
      <alignment horizontal="left"/>
    </xf>
    <xf numFmtId="0" fontId="51" fillId="0" borderId="11" xfId="0" applyFont="1" applyBorder="1"/>
    <xf numFmtId="0" fontId="51" fillId="0" borderId="0" xfId="0" applyFont="1" applyAlignment="1">
      <alignment horizontal="left"/>
    </xf>
    <xf numFmtId="0" fontId="51" fillId="2" borderId="45" xfId="0" applyFont="1" applyFill="1" applyBorder="1"/>
    <xf numFmtId="0" fontId="51" fillId="0" borderId="12" xfId="0" applyFont="1" applyBorder="1"/>
    <xf numFmtId="0" fontId="12" fillId="3" borderId="6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10" borderId="51" xfId="0" applyFont="1" applyFill="1" applyBorder="1" applyAlignment="1">
      <alignment horizontal="left" vertical="center"/>
    </xf>
    <xf numFmtId="0" fontId="12" fillId="3" borderId="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2" borderId="45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left"/>
    </xf>
    <xf numFmtId="0" fontId="16" fillId="19" borderId="51" xfId="0" applyFont="1" applyFill="1" applyBorder="1" applyAlignment="1">
      <alignment horizontal="center" vertical="center"/>
    </xf>
    <xf numFmtId="0" fontId="16" fillId="19" borderId="52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0" fontId="16" fillId="2" borderId="46" xfId="0" applyFont="1" applyFill="1" applyBorder="1" applyAlignment="1">
      <alignment horizontal="center"/>
    </xf>
    <xf numFmtId="176" fontId="11" fillId="5" borderId="1" xfId="0" applyNumberFormat="1" applyFont="1" applyFill="1" applyBorder="1" applyAlignment="1">
      <alignment horizontal="center"/>
    </xf>
    <xf numFmtId="9" fontId="11" fillId="2" borderId="46" xfId="0" applyNumberFormat="1" applyFont="1" applyFill="1" applyBorder="1" applyAlignment="1">
      <alignment horizontal="center"/>
    </xf>
    <xf numFmtId="10" fontId="11" fillId="0" borderId="0" xfId="0" applyNumberFormat="1" applyFont="1" applyAlignment="1">
      <alignment horizontal="left"/>
    </xf>
    <xf numFmtId="10" fontId="11" fillId="2" borderId="1" xfId="0" applyNumberFormat="1" applyFont="1" applyFill="1" applyBorder="1"/>
    <xf numFmtId="10" fontId="11" fillId="2" borderId="46" xfId="0" applyNumberFormat="1" applyFont="1" applyFill="1" applyBorder="1"/>
    <xf numFmtId="183" fontId="11" fillId="2" borderId="1" xfId="0" applyNumberFormat="1" applyFont="1" applyFill="1" applyBorder="1"/>
    <xf numFmtId="165" fontId="11" fillId="2" borderId="46" xfId="0" applyNumberFormat="1" applyFont="1" applyFill="1" applyBorder="1"/>
    <xf numFmtId="165" fontId="11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/>
    </xf>
    <xf numFmtId="2" fontId="11" fillId="12" borderId="1" xfId="0" applyNumberFormat="1" applyFont="1" applyFill="1" applyBorder="1"/>
    <xf numFmtId="9" fontId="11" fillId="2" borderId="46" xfId="0" applyNumberFormat="1" applyFont="1" applyFill="1" applyBorder="1"/>
    <xf numFmtId="9" fontId="11" fillId="2" borderId="45" xfId="0" applyNumberFormat="1" applyFont="1" applyFill="1" applyBorder="1"/>
    <xf numFmtId="10" fontId="11" fillId="2" borderId="1" xfId="0" applyNumberFormat="1" applyFont="1" applyFill="1" applyBorder="1" applyAlignment="1">
      <alignment horizontal="center"/>
    </xf>
    <xf numFmtId="10" fontId="11" fillId="2" borderId="1" xfId="0" applyNumberFormat="1" applyFont="1" applyFill="1" applyBorder="1" applyAlignment="1">
      <alignment horizontal="center" vertical="center"/>
    </xf>
    <xf numFmtId="10" fontId="11" fillId="2" borderId="46" xfId="0" applyNumberFormat="1" applyFont="1" applyFill="1" applyBorder="1" applyAlignment="1">
      <alignment horizontal="center"/>
    </xf>
    <xf numFmtId="9" fontId="43" fillId="0" borderId="0" xfId="0" applyNumberFormat="1" applyFont="1"/>
    <xf numFmtId="9" fontId="34" fillId="2" borderId="45" xfId="0" applyNumberFormat="1" applyFont="1" applyFill="1" applyBorder="1"/>
    <xf numFmtId="9" fontId="34" fillId="2" borderId="1" xfId="0" applyNumberFormat="1" applyFont="1" applyFill="1" applyBorder="1"/>
    <xf numFmtId="0" fontId="12" fillId="10" borderId="52" xfId="0" applyFont="1" applyFill="1" applyBorder="1"/>
    <xf numFmtId="2" fontId="11" fillId="2" borderId="46" xfId="0" applyNumberFormat="1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 vertical="center"/>
    </xf>
    <xf numFmtId="2" fontId="11" fillId="2" borderId="45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/>
    </xf>
    <xf numFmtId="9" fontId="18" fillId="0" borderId="0" xfId="0" applyNumberFormat="1" applyFont="1"/>
    <xf numFmtId="9" fontId="11" fillId="2" borderId="1" xfId="0" applyNumberFormat="1" applyFont="1" applyFill="1" applyBorder="1" applyAlignment="1">
      <alignment horizontal="left"/>
    </xf>
    <xf numFmtId="9" fontId="11" fillId="0" borderId="0" xfId="0" applyNumberFormat="1" applyFont="1" applyAlignment="1">
      <alignment horizontal="left"/>
    </xf>
    <xf numFmtId="184" fontId="11" fillId="0" borderId="0" xfId="0" applyNumberFormat="1" applyFont="1" applyAlignment="1">
      <alignment horizontal="center"/>
    </xf>
    <xf numFmtId="0" fontId="16" fillId="13" borderId="6" xfId="0" applyFont="1" applyFill="1" applyBorder="1" applyAlignment="1">
      <alignment horizontal="right" vertical="center"/>
    </xf>
    <xf numFmtId="0" fontId="16" fillId="13" borderId="6" xfId="0" applyFont="1" applyFill="1" applyBorder="1" applyAlignment="1">
      <alignment horizontal="left" vertical="center"/>
    </xf>
    <xf numFmtId="2" fontId="11" fillId="0" borderId="0" xfId="0" applyNumberFormat="1" applyFont="1" applyAlignment="1">
      <alignment horizontal="right" vertical="center"/>
    </xf>
    <xf numFmtId="0" fontId="11" fillId="2" borderId="65" xfId="0" applyFont="1" applyFill="1" applyBorder="1"/>
    <xf numFmtId="0" fontId="11" fillId="2" borderId="66" xfId="0" applyFont="1" applyFill="1" applyBorder="1"/>
    <xf numFmtId="0" fontId="11" fillId="2" borderId="67" xfId="0" applyFont="1" applyFill="1" applyBorder="1"/>
    <xf numFmtId="0" fontId="11" fillId="2" borderId="68" xfId="0" applyFont="1" applyFill="1" applyBorder="1"/>
    <xf numFmtId="0" fontId="11" fillId="2" borderId="69" xfId="0" applyFont="1" applyFill="1" applyBorder="1"/>
    <xf numFmtId="0" fontId="12" fillId="2" borderId="52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0" xfId="0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52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43" xfId="0" applyFont="1" applyFill="1" applyBorder="1"/>
    <xf numFmtId="0" fontId="34" fillId="2" borderId="43" xfId="0" applyFont="1" applyFill="1" applyBorder="1"/>
    <xf numFmtId="0" fontId="11" fillId="2" borderId="44" xfId="0" applyFont="1" applyFill="1" applyBorder="1"/>
    <xf numFmtId="0" fontId="11" fillId="2" borderId="20" xfId="0" applyFont="1" applyFill="1" applyBorder="1"/>
    <xf numFmtId="0" fontId="11" fillId="2" borderId="51" xfId="0" applyFont="1" applyFill="1" applyBorder="1"/>
    <xf numFmtId="0" fontId="11" fillId="9" borderId="51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52" xfId="0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left"/>
    </xf>
    <xf numFmtId="0" fontId="11" fillId="2" borderId="59" xfId="0" applyFont="1" applyFill="1" applyBorder="1"/>
    <xf numFmtId="0" fontId="11" fillId="2" borderId="59" xfId="0" applyFont="1" applyFill="1" applyBorder="1" applyAlignment="1">
      <alignment horizontal="left"/>
    </xf>
    <xf numFmtId="0" fontId="11" fillId="2" borderId="4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left"/>
    </xf>
    <xf numFmtId="0" fontId="11" fillId="2" borderId="51" xfId="0" applyFont="1" applyFill="1" applyBorder="1" applyAlignment="1">
      <alignment horizontal="left"/>
    </xf>
    <xf numFmtId="0" fontId="11" fillId="2" borderId="10" xfId="0" applyFont="1" applyFill="1" applyBorder="1"/>
    <xf numFmtId="169" fontId="11" fillId="2" borderId="50" xfId="0" applyNumberFormat="1" applyFont="1" applyFill="1" applyBorder="1"/>
    <xf numFmtId="0" fontId="11" fillId="2" borderId="22" xfId="0" applyFont="1" applyFill="1" applyBorder="1"/>
    <xf numFmtId="0" fontId="11" fillId="2" borderId="10" xfId="0" applyFont="1" applyFill="1" applyBorder="1" applyAlignment="1">
      <alignment horizontal="left"/>
    </xf>
    <xf numFmtId="0" fontId="11" fillId="9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12" fillId="2" borderId="52" xfId="0" applyFont="1" applyFill="1" applyBorder="1"/>
    <xf numFmtId="0" fontId="12" fillId="2" borderId="10" xfId="0" applyFont="1" applyFill="1" applyBorder="1"/>
    <xf numFmtId="0" fontId="12" fillId="2" borderId="45" xfId="0" applyFont="1" applyFill="1" applyBorder="1"/>
    <xf numFmtId="0" fontId="12" fillId="2" borderId="59" xfId="0" applyFont="1" applyFill="1" applyBorder="1"/>
    <xf numFmtId="0" fontId="12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 vertical="center"/>
    </xf>
    <xf numFmtId="0" fontId="46" fillId="2" borderId="43" xfId="0" applyFont="1" applyFill="1" applyBorder="1"/>
    <xf numFmtId="0" fontId="11" fillId="2" borderId="22" xfId="0" applyFont="1" applyFill="1" applyBorder="1" applyAlignment="1">
      <alignment horizontal="center" vertical="center"/>
    </xf>
    <xf numFmtId="2" fontId="11" fillId="2" borderId="52" xfId="0" applyNumberFormat="1" applyFont="1" applyFill="1" applyBorder="1"/>
    <xf numFmtId="0" fontId="11" fillId="2" borderId="48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2" borderId="70" xfId="0" applyFont="1" applyFill="1" applyBorder="1"/>
    <xf numFmtId="0" fontId="11" fillId="2" borderId="71" xfId="0" applyFont="1" applyFill="1" applyBorder="1"/>
    <xf numFmtId="0" fontId="11" fillId="2" borderId="7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 applyAlignment="1">
      <alignment horizontal="center"/>
    </xf>
    <xf numFmtId="0" fontId="11" fillId="2" borderId="46" xfId="0" applyFont="1" applyFill="1" applyBorder="1" applyAlignment="1">
      <alignment horizontal="center"/>
    </xf>
    <xf numFmtId="0" fontId="12" fillId="0" borderId="18" xfId="0" applyFont="1" applyBorder="1"/>
    <xf numFmtId="0" fontId="12" fillId="0" borderId="13" xfId="0" applyFont="1" applyBorder="1"/>
    <xf numFmtId="0" fontId="11" fillId="2" borderId="53" xfId="0" applyFont="1" applyFill="1" applyBorder="1"/>
    <xf numFmtId="0" fontId="11" fillId="2" borderId="5" xfId="0" applyFont="1" applyFill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11" fillId="0" borderId="15" xfId="0" applyNumberFormat="1" applyFont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1" fontId="11" fillId="0" borderId="18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9" fontId="11" fillId="0" borderId="15" xfId="0" applyNumberFormat="1" applyFont="1" applyBorder="1"/>
    <xf numFmtId="9" fontId="11" fillId="0" borderId="18" xfId="0" applyNumberFormat="1" applyFont="1" applyBorder="1"/>
    <xf numFmtId="0" fontId="11" fillId="0" borderId="23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9" fontId="11" fillId="0" borderId="12" xfId="0" applyNumberFormat="1" applyFont="1" applyBorder="1" applyAlignment="1">
      <alignment horizontal="center"/>
    </xf>
    <xf numFmtId="9" fontId="11" fillId="0" borderId="18" xfId="0" applyNumberFormat="1" applyFont="1" applyBorder="1" applyAlignment="1">
      <alignment horizontal="center"/>
    </xf>
    <xf numFmtId="9" fontId="11" fillId="0" borderId="19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9" fontId="11" fillId="0" borderId="21" xfId="0" applyNumberFormat="1" applyFont="1" applyBorder="1"/>
    <xf numFmtId="9" fontId="11" fillId="0" borderId="23" xfId="0" applyNumberFormat="1" applyFont="1" applyBorder="1"/>
    <xf numFmtId="9" fontId="11" fillId="0" borderId="19" xfId="0" applyNumberFormat="1" applyFont="1" applyBorder="1"/>
    <xf numFmtId="0" fontId="11" fillId="0" borderId="9" xfId="0" applyFont="1" applyBorder="1"/>
    <xf numFmtId="0" fontId="10" fillId="0" borderId="0" xfId="0" applyFont="1" applyAlignment="1">
      <alignment horizontal="center"/>
    </xf>
    <xf numFmtId="0" fontId="9" fillId="0" borderId="0" xfId="0" applyFont="1"/>
    <xf numFmtId="184" fontId="0" fillId="0" borderId="0" xfId="0" applyNumberFormat="1"/>
    <xf numFmtId="0" fontId="1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1" fillId="10" borderId="1" xfId="1" applyNumberFormat="1" applyFont="1" applyFill="1" applyBorder="1"/>
    <xf numFmtId="0" fontId="62" fillId="0" borderId="0" xfId="0" applyFont="1"/>
    <xf numFmtId="0" fontId="60" fillId="0" borderId="0" xfId="0" applyFont="1"/>
    <xf numFmtId="174" fontId="34" fillId="0" borderId="0" xfId="0" applyNumberFormat="1" applyFont="1"/>
    <xf numFmtId="9" fontId="34" fillId="0" borderId="0" xfId="0" applyNumberFormat="1" applyFont="1"/>
    <xf numFmtId="10" fontId="0" fillId="0" borderId="0" xfId="0" applyNumberFormat="1"/>
    <xf numFmtId="0" fontId="6" fillId="0" borderId="0" xfId="0" applyFont="1"/>
    <xf numFmtId="186" fontId="0" fillId="0" borderId="0" xfId="1" applyNumberFormat="1" applyFont="1"/>
    <xf numFmtId="186" fontId="11" fillId="0" borderId="12" xfId="1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1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6" fillId="0" borderId="73" xfId="0" applyFont="1" applyBorder="1" applyAlignment="1">
      <alignment horizontal="center"/>
    </xf>
    <xf numFmtId="0" fontId="6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4" fillId="0" borderId="0" xfId="0" applyFont="1"/>
    <xf numFmtId="9" fontId="0" fillId="0" borderId="0" xfId="0" applyNumberFormat="1"/>
    <xf numFmtId="0" fontId="11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5" fillId="0" borderId="0" xfId="0" applyFont="1"/>
    <xf numFmtId="0" fontId="65" fillId="0" borderId="0" xfId="0" applyFont="1" applyAlignment="1">
      <alignment horizontal="center"/>
    </xf>
    <xf numFmtId="169" fontId="6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center"/>
    </xf>
    <xf numFmtId="9" fontId="0" fillId="0" borderId="0" xfId="2" applyFont="1"/>
    <xf numFmtId="186" fontId="65" fillId="0" borderId="0" xfId="1" applyNumberFormat="1" applyFont="1" applyAlignment="1">
      <alignment horizontal="center"/>
    </xf>
    <xf numFmtId="186" fontId="65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86" fontId="66" fillId="0" borderId="0" xfId="1" applyNumberFormat="1" applyFont="1" applyAlignment="1">
      <alignment horizontal="center"/>
    </xf>
    <xf numFmtId="167" fontId="61" fillId="0" borderId="0" xfId="0" applyNumberFormat="1" applyFont="1"/>
    <xf numFmtId="2" fontId="65" fillId="0" borderId="0" xfId="0" applyNumberFormat="1" applyFont="1"/>
    <xf numFmtId="0" fontId="67" fillId="0" borderId="0" xfId="0" applyFont="1"/>
    <xf numFmtId="0" fontId="68" fillId="0" borderId="0" xfId="0" applyFont="1"/>
    <xf numFmtId="0" fontId="6" fillId="0" borderId="0" xfId="0" applyFont="1" applyAlignment="1">
      <alignment vertical="center"/>
    </xf>
    <xf numFmtId="167" fontId="19" fillId="0" borderId="17" xfId="0" applyNumberFormat="1" applyFont="1" applyBorder="1"/>
    <xf numFmtId="0" fontId="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5" fillId="0" borderId="0" xfId="0" applyFont="1"/>
    <xf numFmtId="43" fontId="0" fillId="0" borderId="0" xfId="1" applyFont="1"/>
    <xf numFmtId="1" fontId="0" fillId="0" borderId="0" xfId="0" applyNumberFormat="1"/>
    <xf numFmtId="1" fontId="70" fillId="20" borderId="0" xfId="0" applyNumberFormat="1" applyFont="1" applyFill="1"/>
    <xf numFmtId="2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horizontal="center" vertical="center"/>
    </xf>
    <xf numFmtId="184" fontId="0" fillId="0" borderId="76" xfId="0" applyNumberFormat="1" applyBorder="1"/>
    <xf numFmtId="0" fontId="61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8" fillId="0" borderId="0" xfId="2" applyFont="1"/>
    <xf numFmtId="0" fontId="0" fillId="0" borderId="0" xfId="0" applyAlignment="1">
      <alignment horizontal="right"/>
    </xf>
    <xf numFmtId="2" fontId="11" fillId="0" borderId="0" xfId="0" applyNumberFormat="1" applyFont="1" applyAlignment="1">
      <alignment horizontal="left"/>
    </xf>
    <xf numFmtId="43" fontId="18" fillId="0" borderId="0" xfId="1" applyFont="1"/>
    <xf numFmtId="0" fontId="72" fillId="0" borderId="0" xfId="0" applyFont="1"/>
    <xf numFmtId="0" fontId="11" fillId="22" borderId="1" xfId="0" applyFont="1" applyFill="1" applyBorder="1"/>
    <xf numFmtId="0" fontId="0" fillId="23" borderId="0" xfId="0" applyFill="1"/>
    <xf numFmtId="0" fontId="11" fillId="24" borderId="1" xfId="0" applyFont="1" applyFill="1" applyBorder="1"/>
    <xf numFmtId="0" fontId="11" fillId="25" borderId="1" xfId="0" applyFont="1" applyFill="1" applyBorder="1"/>
    <xf numFmtId="0" fontId="11" fillId="2" borderId="64" xfId="0" applyFont="1" applyFill="1" applyBorder="1"/>
    <xf numFmtId="43" fontId="0" fillId="23" borderId="0" xfId="0" applyNumberFormat="1" applyFill="1"/>
    <xf numFmtId="165" fontId="11" fillId="0" borderId="0" xfId="2" applyNumberFormat="1" applyFont="1"/>
    <xf numFmtId="10" fontId="11" fillId="21" borderId="0" xfId="0" applyNumberFormat="1" applyFont="1" applyFill="1"/>
    <xf numFmtId="0" fontId="11" fillId="21" borderId="0" xfId="0" applyFont="1" applyFill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 applyAlignment="1">
      <alignment horizontal="center"/>
    </xf>
    <xf numFmtId="9" fontId="75" fillId="0" borderId="0" xfId="0" applyNumberFormat="1" applyFont="1"/>
    <xf numFmtId="9" fontId="75" fillId="0" borderId="0" xfId="2" applyFont="1"/>
    <xf numFmtId="169" fontId="76" fillId="0" borderId="0" xfId="0" applyNumberFormat="1" applyFont="1" applyAlignment="1">
      <alignment horizontal="center"/>
    </xf>
    <xf numFmtId="1" fontId="76" fillId="0" borderId="0" xfId="0" applyNumberFormat="1" applyFont="1" applyAlignment="1">
      <alignment horizontal="center"/>
    </xf>
    <xf numFmtId="186" fontId="76" fillId="0" borderId="0" xfId="1" applyNumberFormat="1" applyFont="1" applyAlignment="1">
      <alignment horizontal="center"/>
    </xf>
    <xf numFmtId="9" fontId="75" fillId="0" borderId="76" xfId="0" applyNumberFormat="1" applyFont="1" applyBorder="1"/>
    <xf numFmtId="186" fontId="76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186" fontId="77" fillId="0" borderId="0" xfId="1" applyNumberFormat="1" applyFont="1" applyAlignment="1">
      <alignment horizontal="center"/>
    </xf>
    <xf numFmtId="0" fontId="78" fillId="0" borderId="0" xfId="0" applyFont="1" applyAlignment="1">
      <alignment horizontal="right"/>
    </xf>
    <xf numFmtId="2" fontId="3" fillId="0" borderId="0" xfId="0" applyNumberFormat="1" applyFont="1"/>
    <xf numFmtId="169" fontId="3" fillId="0" borderId="0" xfId="0" applyNumberFormat="1" applyFont="1"/>
    <xf numFmtId="169" fontId="5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19" fillId="0" borderId="0" xfId="0" applyNumberFormat="1" applyFont="1"/>
    <xf numFmtId="0" fontId="2" fillId="0" borderId="0" xfId="0" applyFont="1"/>
    <xf numFmtId="169" fontId="65" fillId="0" borderId="0" xfId="0" applyNumberFormat="1" applyFont="1"/>
    <xf numFmtId="0" fontId="79" fillId="4" borderId="7" xfId="0" applyFont="1" applyFill="1" applyBorder="1" applyAlignment="1">
      <alignment horizontal="center"/>
    </xf>
    <xf numFmtId="176" fontId="19" fillId="0" borderId="0" xfId="0" applyNumberFormat="1" applyFont="1"/>
    <xf numFmtId="187" fontId="19" fillId="0" borderId="0" xfId="0" applyNumberFormat="1" applyFont="1"/>
    <xf numFmtId="0" fontId="80" fillId="0" borderId="0" xfId="0" applyFont="1"/>
    <xf numFmtId="0" fontId="81" fillId="28" borderId="76" xfId="0" applyFont="1" applyFill="1" applyBorder="1" applyAlignment="1">
      <alignment horizontal="center"/>
    </xf>
    <xf numFmtId="0" fontId="17" fillId="27" borderId="77" xfId="3" applyFont="1" applyBorder="1" applyAlignment="1">
      <alignment horizontal="center" wrapText="1"/>
    </xf>
    <xf numFmtId="0" fontId="17" fillId="27" borderId="77" xfId="3" applyFont="1" applyBorder="1" applyAlignment="1"/>
    <xf numFmtId="0" fontId="84" fillId="0" borderId="0" xfId="0" applyFont="1"/>
    <xf numFmtId="0" fontId="12" fillId="2" borderId="2" xfId="0" applyFont="1" applyFill="1" applyBorder="1" applyAlignment="1">
      <alignment horizontal="center"/>
    </xf>
    <xf numFmtId="0" fontId="13" fillId="0" borderId="3" xfId="0" applyFont="1" applyBorder="1"/>
    <xf numFmtId="0" fontId="13" fillId="0" borderId="4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12" fillId="0" borderId="8" xfId="0" applyFont="1" applyBorder="1" applyAlignment="1">
      <alignment horizontal="center"/>
    </xf>
    <xf numFmtId="0" fontId="13" fillId="0" borderId="9" xfId="0" applyFont="1" applyBorder="1"/>
    <xf numFmtId="0" fontId="19" fillId="0" borderId="16" xfId="0" applyFont="1" applyBorder="1" applyAlignment="1">
      <alignment horizontal="left" vertical="center"/>
    </xf>
    <xf numFmtId="0" fontId="13" fillId="0" borderId="12" xfId="0" applyFont="1" applyBorder="1"/>
    <xf numFmtId="0" fontId="13" fillId="0" borderId="19" xfId="0" applyFont="1" applyBorder="1"/>
    <xf numFmtId="0" fontId="12" fillId="0" borderId="23" xfId="0" applyFont="1" applyBorder="1" applyAlignment="1">
      <alignment horizontal="center"/>
    </xf>
    <xf numFmtId="0" fontId="13" fillId="0" borderId="18" xfId="0" applyFont="1" applyBorder="1"/>
    <xf numFmtId="0" fontId="20" fillId="0" borderId="0" xfId="0" applyFont="1" applyAlignment="1">
      <alignment horizontal="center"/>
    </xf>
    <xf numFmtId="0" fontId="19" fillId="26" borderId="0" xfId="0" applyFont="1" applyFill="1" applyAlignment="1">
      <alignment horizontal="center"/>
    </xf>
    <xf numFmtId="0" fontId="28" fillId="7" borderId="29" xfId="0" applyFont="1" applyFill="1" applyBorder="1" applyAlignment="1">
      <alignment horizontal="center" vertical="center" wrapText="1"/>
    </xf>
    <xf numFmtId="0" fontId="13" fillId="0" borderId="30" xfId="0" applyFont="1" applyBorder="1"/>
    <xf numFmtId="0" fontId="13" fillId="0" borderId="31" xfId="0" applyFont="1" applyBorder="1"/>
    <xf numFmtId="0" fontId="27" fillId="6" borderId="29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13" fillId="0" borderId="36" xfId="0" applyFont="1" applyBorder="1"/>
    <xf numFmtId="0" fontId="13" fillId="0" borderId="37" xfId="0" applyFont="1" applyBorder="1"/>
    <xf numFmtId="0" fontId="27" fillId="6" borderId="38" xfId="0" applyFont="1" applyFill="1" applyBorder="1" applyAlignment="1">
      <alignment horizontal="center" vertical="center"/>
    </xf>
    <xf numFmtId="0" fontId="13" fillId="0" borderId="39" xfId="0" applyFont="1" applyBorder="1"/>
    <xf numFmtId="0" fontId="13" fillId="0" borderId="40" xfId="0" applyFont="1" applyBorder="1"/>
    <xf numFmtId="2" fontId="11" fillId="0" borderId="24" xfId="0" applyNumberFormat="1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171" fontId="11" fillId="0" borderId="16" xfId="0" applyNumberFormat="1" applyFont="1" applyBorder="1" applyAlignment="1">
      <alignment horizontal="center" vertical="center"/>
    </xf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3" fillId="0" borderId="13" xfId="0" applyFont="1" applyBorder="1"/>
    <xf numFmtId="0" fontId="12" fillId="2" borderId="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9" fontId="11" fillId="2" borderId="47" xfId="0" applyNumberFormat="1" applyFont="1" applyFill="1" applyBorder="1" applyAlignment="1">
      <alignment horizontal="center" vertical="center"/>
    </xf>
    <xf numFmtId="0" fontId="13" fillId="0" borderId="49" xfId="0" applyFont="1" applyBorder="1"/>
    <xf numFmtId="9" fontId="11" fillId="0" borderId="0" xfId="0" applyNumberFormat="1" applyFont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3" fillId="0" borderId="55" xfId="0" applyFont="1" applyBorder="1"/>
    <xf numFmtId="0" fontId="13" fillId="0" borderId="56" xfId="0" applyFont="1" applyBorder="1"/>
    <xf numFmtId="0" fontId="12" fillId="2" borderId="57" xfId="0" applyFont="1" applyFill="1" applyBorder="1" applyAlignment="1">
      <alignment horizontal="center" vertical="center"/>
    </xf>
    <xf numFmtId="0" fontId="13" fillId="0" borderId="58" xfId="0" applyFont="1" applyBorder="1"/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21" fillId="18" borderId="2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/>
    </xf>
    <xf numFmtId="0" fontId="37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 vertical="center"/>
    </xf>
    <xf numFmtId="0" fontId="49" fillId="10" borderId="60" xfId="0" applyFont="1" applyFill="1" applyBorder="1" applyAlignment="1">
      <alignment horizontal="center"/>
    </xf>
    <xf numFmtId="0" fontId="13" fillId="0" borderId="61" xfId="0" applyFont="1" applyBorder="1"/>
    <xf numFmtId="0" fontId="13" fillId="0" borderId="62" xfId="0" applyFont="1" applyBorder="1"/>
    <xf numFmtId="0" fontId="49" fillId="10" borderId="60" xfId="0" applyFont="1" applyFill="1" applyBorder="1" applyAlignment="1">
      <alignment horizontal="center" wrapText="1"/>
    </xf>
    <xf numFmtId="0" fontId="12" fillId="5" borderId="2" xfId="0" applyFont="1" applyFill="1" applyBorder="1" applyAlignment="1">
      <alignment horizontal="center" vertical="center"/>
    </xf>
    <xf numFmtId="0" fontId="38" fillId="0" borderId="0" xfId="0" applyFont="1" applyAlignment="1">
      <alignment horizontal="center"/>
    </xf>
    <xf numFmtId="0" fontId="38" fillId="2" borderId="2" xfId="0" applyFont="1" applyFill="1" applyBorder="1" applyAlignment="1">
      <alignment horizontal="center"/>
    </xf>
    <xf numFmtId="0" fontId="51" fillId="2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63" xfId="0" applyFont="1" applyBorder="1" applyAlignment="1">
      <alignment horizontal="center"/>
    </xf>
    <xf numFmtId="0" fontId="13" fillId="0" borderId="63" xfId="0" applyFont="1" applyBorder="1"/>
    <xf numFmtId="0" fontId="13" fillId="0" borderId="64" xfId="0" applyFont="1" applyBorder="1"/>
    <xf numFmtId="0" fontId="12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16" t="s">
        <v>36</v>
      </c>
      <c r="Y14" s="917"/>
      <c r="Z14" s="917"/>
      <c r="AA14" s="917"/>
      <c r="AB14" s="917"/>
      <c r="AC14" s="917"/>
      <c r="AD14" s="917"/>
      <c r="AE14" s="917"/>
      <c r="AF14" s="91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16" t="s">
        <v>37</v>
      </c>
      <c r="C15" s="917"/>
      <c r="D15" s="917"/>
      <c r="E15" s="917"/>
      <c r="F15" s="917"/>
      <c r="G15" s="917"/>
      <c r="H15" s="917"/>
      <c r="I15" s="917"/>
      <c r="J15" s="918"/>
      <c r="K15" s="1"/>
      <c r="L15" s="1"/>
      <c r="M15" s="916" t="s">
        <v>38</v>
      </c>
      <c r="N15" s="917"/>
      <c r="O15" s="917"/>
      <c r="P15" s="917"/>
      <c r="Q15" s="917"/>
      <c r="R15" s="917"/>
      <c r="S15" s="917"/>
      <c r="T15" s="917"/>
      <c r="U15" s="91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16" t="s">
        <v>39</v>
      </c>
      <c r="AJ15" s="917"/>
      <c r="AK15" s="917"/>
      <c r="AL15" s="917"/>
      <c r="AM15" s="917"/>
      <c r="AN15" s="917"/>
      <c r="AO15" s="917"/>
      <c r="AP15" s="917"/>
      <c r="AQ15" s="91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EXP_IMP'!J53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19" t="s">
        <v>307</v>
      </c>
      <c r="C18" s="920"/>
      <c r="D18" s="920"/>
      <c r="E18" s="920"/>
      <c r="F18" s="920"/>
      <c r="G18" s="920"/>
      <c r="H18" s="920"/>
      <c r="I18" s="920"/>
      <c r="J18" s="920"/>
      <c r="L18" s="919" t="s">
        <v>308</v>
      </c>
      <c r="M18" s="920"/>
      <c r="N18" s="920"/>
      <c r="O18" s="920"/>
      <c r="P18" s="920"/>
      <c r="Q18" s="920"/>
      <c r="R18" s="920"/>
      <c r="S18" s="920"/>
      <c r="T18" s="920"/>
      <c r="V18" s="919" t="s">
        <v>309</v>
      </c>
      <c r="W18" s="920"/>
      <c r="X18" s="920"/>
      <c r="Y18" s="920"/>
      <c r="Z18" s="920"/>
      <c r="AA18" s="920"/>
      <c r="AB18" s="920"/>
      <c r="AC18" s="920"/>
      <c r="AD18" s="920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1765</v>
      </c>
      <c r="P1" s="20">
        <v>2020</v>
      </c>
      <c r="Q1" s="20" t="s">
        <v>1768</v>
      </c>
      <c r="R1" s="20"/>
      <c r="S1" s="20" t="s">
        <v>1765</v>
      </c>
      <c r="T1" s="20">
        <v>2020</v>
      </c>
      <c r="U1" s="20" t="s">
        <v>1768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21" t="s">
        <v>552</v>
      </c>
      <c r="G2" s="922"/>
      <c r="H2" s="20"/>
      <c r="I2" s="20"/>
      <c r="J2" s="21"/>
      <c r="K2" s="21"/>
      <c r="L2" s="21"/>
      <c r="M2" s="21"/>
      <c r="N2" s="22"/>
      <c r="O2" s="20" t="s">
        <v>1766</v>
      </c>
      <c r="P2" s="20">
        <v>3685</v>
      </c>
      <c r="Q2" s="20" t="s">
        <v>1769</v>
      </c>
      <c r="R2" s="20"/>
      <c r="S2" s="20" t="s">
        <v>1766</v>
      </c>
      <c r="T2" s="20">
        <v>3700</v>
      </c>
      <c r="U2" s="20" t="s">
        <v>1769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929" t="s">
        <v>1761</v>
      </c>
      <c r="P5" s="929"/>
      <c r="Q5" s="929"/>
      <c r="R5" s="20"/>
      <c r="S5" s="929" t="s">
        <v>1761</v>
      </c>
      <c r="T5" s="929"/>
      <c r="U5" s="929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1762</v>
      </c>
      <c r="P6" s="20" t="s">
        <v>860</v>
      </c>
      <c r="Q6" s="20"/>
      <c r="R6" s="20"/>
      <c r="S6" s="20" t="s">
        <v>1762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923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553</v>
      </c>
      <c r="P7" s="910">
        <f>F15/1000000</f>
        <v>2.933593489850151E-6</v>
      </c>
      <c r="Q7" s="20" t="s">
        <v>1771</v>
      </c>
      <c r="R7" s="20"/>
      <c r="S7" s="20" t="s">
        <v>553</v>
      </c>
      <c r="T7" s="909">
        <f>F16/1000000</f>
        <v>5.274111587340502E-6</v>
      </c>
      <c r="U7" s="20" t="s">
        <v>1771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92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1763</v>
      </c>
      <c r="P8" s="20">
        <v>8850</v>
      </c>
      <c r="Q8" s="20" t="s">
        <v>1764</v>
      </c>
      <c r="R8" s="20"/>
      <c r="S8" s="20" t="s">
        <v>1763</v>
      </c>
      <c r="T8" s="20">
        <v>14816</v>
      </c>
      <c r="U8" s="20" t="s">
        <v>1764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92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>
        <f>P8*42</f>
        <v>371700</v>
      </c>
      <c r="Q9" s="20" t="s">
        <v>1767</v>
      </c>
      <c r="R9" s="20"/>
      <c r="S9" s="20"/>
      <c r="T9" s="20">
        <f>T8*42</f>
        <v>622272</v>
      </c>
      <c r="U9" s="20" t="s">
        <v>1767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840"/>
      <c r="P10" s="907">
        <f>P9/P2</f>
        <v>100.86838534599728</v>
      </c>
      <c r="Q10" s="20" t="s">
        <v>1770</v>
      </c>
      <c r="R10" s="20"/>
      <c r="S10" s="840"/>
      <c r="T10" s="907">
        <f>T9/T2</f>
        <v>168.18162162162162</v>
      </c>
      <c r="U10" s="20" t="s">
        <v>1770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40"/>
      <c r="P11" s="850">
        <f>(P10/1000000)/P7</f>
        <v>34.383900051247274</v>
      </c>
      <c r="Q11" s="908" t="s">
        <v>895</v>
      </c>
      <c r="R11" s="20"/>
      <c r="S11" s="20"/>
      <c r="T11" s="850">
        <f>(T10/1000000)/T7</f>
        <v>31.888142455178514</v>
      </c>
      <c r="U11" s="908" t="s">
        <v>895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40"/>
      <c r="P12" s="840"/>
      <c r="Q12" s="84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1772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1773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1774</v>
      </c>
      <c r="P16" s="248">
        <f>'1. EXP_IMP'!L42</f>
        <v>20.996445954041999</v>
      </c>
      <c r="Q16" s="20" t="s">
        <v>1775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553</v>
      </c>
      <c r="P17" s="905">
        <f>F10/1000000</f>
        <v>5.3308987344700312E-6</v>
      </c>
      <c r="Q17" s="20" t="s">
        <v>1771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1776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1770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1770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11" t="s">
        <v>872</v>
      </c>
      <c r="P22" s="911"/>
      <c r="Q22" s="911">
        <v>3299</v>
      </c>
      <c r="R22" s="911" t="s">
        <v>873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5">
        <f>P20*3299</f>
        <v>8791.82927896617</v>
      </c>
      <c r="Q24" s="20" t="s">
        <v>1789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26" t="s">
        <v>552</v>
      </c>
      <c r="F41" s="925"/>
      <c r="G41" s="926" t="s">
        <v>618</v>
      </c>
      <c r="H41" s="927"/>
      <c r="I41" s="927"/>
      <c r="J41" s="927"/>
      <c r="K41" s="927"/>
      <c r="L41" s="927"/>
      <c r="M41" s="927"/>
      <c r="N41" s="92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928" t="s">
        <v>619</v>
      </c>
      <c r="L42" s="920"/>
      <c r="M42" s="92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940">
        <f>+G114</f>
        <v>6.0871741676095334</v>
      </c>
      <c r="F46" s="943">
        <f>+L114*1000</f>
        <v>77.841777688967127</v>
      </c>
      <c r="G46" s="944">
        <v>6.0871741676095334</v>
      </c>
      <c r="H46" s="945" t="s">
        <v>628</v>
      </c>
      <c r="I46" s="945">
        <v>40670.462586675276</v>
      </c>
      <c r="J46" s="94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941"/>
      <c r="F47" s="924"/>
      <c r="G47" s="941"/>
      <c r="H47" s="920"/>
      <c r="I47" s="920"/>
      <c r="J47" s="92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942"/>
      <c r="F48" s="925"/>
      <c r="G48" s="942"/>
      <c r="H48" s="927"/>
      <c r="I48" s="927"/>
      <c r="J48" s="92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33" t="s">
        <v>658</v>
      </c>
      <c r="C106" s="931"/>
      <c r="D106" s="931"/>
      <c r="E106" s="931"/>
      <c r="F106" s="931"/>
      <c r="G106" s="931"/>
      <c r="H106" s="931"/>
      <c r="I106" s="931"/>
      <c r="J106" s="931"/>
      <c r="K106" s="931"/>
      <c r="L106" s="932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930" t="s">
        <v>660</v>
      </c>
      <c r="E107" s="931"/>
      <c r="F107" s="931"/>
      <c r="G107" s="931"/>
      <c r="H107" s="931"/>
      <c r="I107" s="931"/>
      <c r="J107" s="932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33" t="s">
        <v>701</v>
      </c>
      <c r="C123" s="931"/>
      <c r="D123" s="931"/>
      <c r="E123" s="931"/>
      <c r="F123" s="931"/>
      <c r="G123" s="931"/>
      <c r="H123" s="931"/>
      <c r="I123" s="931"/>
      <c r="J123" s="931"/>
      <c r="K123" s="931"/>
      <c r="L123" s="932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34"/>
      <c r="C140" s="935"/>
      <c r="D140" s="935"/>
      <c r="E140" s="936"/>
      <c r="F140" s="20"/>
      <c r="G140" s="937" t="s">
        <v>736</v>
      </c>
      <c r="H140" s="938"/>
      <c r="I140" s="939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64" zoomScale="85" zoomScaleNormal="85" workbookViewId="0">
      <selection activeCell="I73" sqref="I73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s="904" customFormat="1" ht="15.75" customHeight="1" x14ac:dyDescent="0.25">
      <c r="J34" s="906" t="s">
        <v>1778</v>
      </c>
      <c r="K34" s="906" t="s">
        <v>1780</v>
      </c>
      <c r="L34" s="12" t="s">
        <v>59</v>
      </c>
      <c r="M34" s="12" t="s">
        <v>328</v>
      </c>
    </row>
    <row r="35" spans="2:23" s="904" customFormat="1" ht="15.75" customHeight="1" x14ac:dyDescent="0.25">
      <c r="J35" s="906" t="s">
        <v>1779</v>
      </c>
      <c r="K35" s="906" t="s">
        <v>1781</v>
      </c>
      <c r="L35" s="12" t="s">
        <v>59</v>
      </c>
      <c r="M35" s="12" t="s">
        <v>328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878</v>
      </c>
    </row>
    <row r="38" spans="2:23" ht="15.75" customHeight="1" x14ac:dyDescent="0.25">
      <c r="D38" s="205">
        <f>+D37/D32</f>
        <v>8.6996059411943008E-2</v>
      </c>
      <c r="E38" s="12" t="s">
        <v>879</v>
      </c>
      <c r="I38" s="206" t="s">
        <v>880</v>
      </c>
      <c r="J38" s="207"/>
      <c r="K38" s="207"/>
      <c r="L38" s="207"/>
      <c r="M38" s="206"/>
    </row>
    <row r="39" spans="2:23" ht="15.75" customHeight="1" x14ac:dyDescent="0.25">
      <c r="I39" s="208" t="s">
        <v>312</v>
      </c>
      <c r="J39" s="209" t="s">
        <v>881</v>
      </c>
      <c r="K39" s="208" t="s">
        <v>882</v>
      </c>
      <c r="L39" s="210" t="s">
        <v>883</v>
      </c>
      <c r="M39" s="210" t="s">
        <v>884</v>
      </c>
      <c r="N39" s="210" t="s">
        <v>885</v>
      </c>
      <c r="O39" s="210" t="s">
        <v>886</v>
      </c>
      <c r="P39" s="210" t="s">
        <v>887</v>
      </c>
      <c r="Q39" s="210" t="s">
        <v>888</v>
      </c>
      <c r="R39" s="210" t="s">
        <v>889</v>
      </c>
      <c r="S39" s="210" t="s">
        <v>890</v>
      </c>
    </row>
    <row r="40" spans="2:23" ht="15.75" customHeight="1" x14ac:dyDescent="0.25">
      <c r="I40" s="211" t="s">
        <v>891</v>
      </c>
      <c r="J40" s="211" t="s">
        <v>892</v>
      </c>
      <c r="K40" s="211" t="s">
        <v>893</v>
      </c>
      <c r="L40" s="212" t="s">
        <v>894</v>
      </c>
      <c r="M40" s="212" t="s">
        <v>894</v>
      </c>
      <c r="N40" s="212" t="s">
        <v>894</v>
      </c>
      <c r="O40" s="212" t="s">
        <v>894</v>
      </c>
      <c r="P40" s="212" t="s">
        <v>894</v>
      </c>
      <c r="Q40" s="212" t="s">
        <v>894</v>
      </c>
      <c r="R40" s="212" t="s">
        <v>894</v>
      </c>
      <c r="S40" s="212" t="s">
        <v>894</v>
      </c>
    </row>
    <row r="41" spans="2:23" ht="15.75" customHeight="1" x14ac:dyDescent="0.25">
      <c r="I41" s="211"/>
      <c r="J41" s="213"/>
      <c r="K41" s="213"/>
      <c r="L41" s="213" t="s">
        <v>895</v>
      </c>
      <c r="M41" s="213" t="s">
        <v>895</v>
      </c>
      <c r="N41" s="213" t="s">
        <v>895</v>
      </c>
      <c r="O41" s="213" t="s">
        <v>895</v>
      </c>
      <c r="P41" s="213" t="s">
        <v>895</v>
      </c>
      <c r="Q41" s="213" t="s">
        <v>895</v>
      </c>
      <c r="R41" s="213" t="s">
        <v>895</v>
      </c>
      <c r="S41" s="213" t="s">
        <v>895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896</v>
      </c>
      <c r="C43" s="216"/>
      <c r="D43" s="216"/>
      <c r="E43" s="216">
        <v>0.125</v>
      </c>
      <c r="F43" s="216" t="s">
        <v>897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898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899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849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900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901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870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6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6" t="s">
        <v>746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6" t="s">
        <v>1641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901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876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4" customFormat="1" ht="15.75" customHeight="1" x14ac:dyDescent="0.25">
      <c r="C69" s="20" t="s">
        <v>1766</v>
      </c>
      <c r="D69" s="20">
        <v>3685</v>
      </c>
      <c r="E69" s="20" t="s">
        <v>1769</v>
      </c>
    </row>
    <row r="70" spans="2:21" s="904" customFormat="1" ht="15.75" customHeight="1" x14ac:dyDescent="0.25">
      <c r="I70" s="906" t="s">
        <v>1777</v>
      </c>
    </row>
    <row r="71" spans="2:21" s="904" customFormat="1" ht="15.75" customHeight="1" x14ac:dyDescent="0.25">
      <c r="C71" s="915" t="s">
        <v>1786</v>
      </c>
    </row>
    <row r="72" spans="2:21" s="904" customFormat="1" ht="15.75" customHeight="1" x14ac:dyDescent="0.25">
      <c r="B72" s="906" t="s">
        <v>553</v>
      </c>
      <c r="C72" s="906" t="s">
        <v>1785</v>
      </c>
      <c r="D72" s="904">
        <v>7679</v>
      </c>
      <c r="E72" s="906" t="s">
        <v>1764</v>
      </c>
      <c r="I72" s="206"/>
      <c r="J72" s="207"/>
      <c r="K72" s="207"/>
      <c r="L72" s="207"/>
      <c r="M72" s="206"/>
    </row>
    <row r="73" spans="2:21" s="904" customFormat="1" ht="15.75" customHeight="1" x14ac:dyDescent="0.25">
      <c r="B73" s="904">
        <f>'Bases de Cálculo'!F15/1000000</f>
        <v>2.933593489850151E-6</v>
      </c>
      <c r="C73" s="906" t="s">
        <v>1788</v>
      </c>
      <c r="D73" s="839">
        <f>D72*42/$D$69</f>
        <v>87.521845318860244</v>
      </c>
      <c r="E73" s="906" t="s">
        <v>1529</v>
      </c>
      <c r="I73" s="208" t="s">
        <v>312</v>
      </c>
      <c r="J73" s="209" t="s">
        <v>881</v>
      </c>
      <c r="K73" s="208" t="s">
        <v>882</v>
      </c>
      <c r="L73" s="210" t="s">
        <v>883</v>
      </c>
      <c r="M73" s="210" t="s">
        <v>884</v>
      </c>
      <c r="N73" s="210" t="s">
        <v>885</v>
      </c>
      <c r="O73" s="210" t="s">
        <v>886</v>
      </c>
      <c r="P73" s="210" t="s">
        <v>887</v>
      </c>
      <c r="Q73" s="210" t="s">
        <v>888</v>
      </c>
      <c r="R73" s="210" t="s">
        <v>889</v>
      </c>
      <c r="S73" s="210" t="s">
        <v>890</v>
      </c>
      <c r="T73" s="912" t="s">
        <v>1783</v>
      </c>
      <c r="U73" s="912" t="s">
        <v>1784</v>
      </c>
    </row>
    <row r="74" spans="2:21" s="904" customFormat="1" ht="15.75" customHeight="1" thickBot="1" x14ac:dyDescent="0.3">
      <c r="D74" s="812">
        <f>(D73/1000000)/B73</f>
        <v>29.834346722432525</v>
      </c>
      <c r="E74" s="906" t="s">
        <v>849</v>
      </c>
      <c r="I74" s="211" t="s">
        <v>891</v>
      </c>
      <c r="J74" s="211" t="s">
        <v>892</v>
      </c>
      <c r="K74" s="211" t="s">
        <v>893</v>
      </c>
      <c r="L74" s="212" t="s">
        <v>894</v>
      </c>
      <c r="M74" s="212" t="s">
        <v>894</v>
      </c>
      <c r="N74" s="212" t="s">
        <v>894</v>
      </c>
      <c r="O74" s="212" t="s">
        <v>894</v>
      </c>
      <c r="P74" s="212" t="s">
        <v>894</v>
      </c>
      <c r="Q74" s="212" t="s">
        <v>894</v>
      </c>
      <c r="R74" s="212" t="s">
        <v>894</v>
      </c>
      <c r="S74" s="212" t="s">
        <v>894</v>
      </c>
      <c r="T74" s="914" t="s">
        <v>1782</v>
      </c>
      <c r="U74" s="914" t="s">
        <v>1782</v>
      </c>
    </row>
    <row r="75" spans="2:21" ht="15.75" customHeight="1" thickBot="1" x14ac:dyDescent="0.3">
      <c r="I75" s="211"/>
      <c r="J75" s="213"/>
      <c r="K75" s="213"/>
      <c r="L75" s="213" t="s">
        <v>895</v>
      </c>
      <c r="M75" s="213" t="s">
        <v>895</v>
      </c>
      <c r="N75" s="213" t="s">
        <v>895</v>
      </c>
      <c r="O75" s="213" t="s">
        <v>895</v>
      </c>
      <c r="P75" s="213" t="s">
        <v>895</v>
      </c>
      <c r="Q75" s="213" t="s">
        <v>895</v>
      </c>
      <c r="R75" s="213" t="s">
        <v>895</v>
      </c>
      <c r="S75" s="213" t="s">
        <v>895</v>
      </c>
      <c r="T75" s="913"/>
      <c r="U75" s="913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6" t="s">
        <v>553</v>
      </c>
      <c r="C77" s="906" t="s">
        <v>1787</v>
      </c>
      <c r="D77">
        <v>10627</v>
      </c>
      <c r="E77" s="906" t="s">
        <v>1764</v>
      </c>
      <c r="I77" s="904" t="str">
        <f>J35</f>
        <v>BUY-BDSL</v>
      </c>
      <c r="K77" s="904" t="str">
        <f>K61</f>
        <v>BDSL</v>
      </c>
    </row>
    <row r="78" spans="2:21" s="904" customFormat="1" ht="15.75" customHeight="1" x14ac:dyDescent="0.25">
      <c r="B78" s="904">
        <f>'Bases de Cálculo'!F16/1000000</f>
        <v>5.274111587340502E-6</v>
      </c>
      <c r="C78" s="906" t="s">
        <v>1788</v>
      </c>
      <c r="D78" s="839">
        <f>D77*42/$D$69</f>
        <v>121.12184531886024</v>
      </c>
      <c r="E78" s="906" t="s">
        <v>1529</v>
      </c>
    </row>
    <row r="79" spans="2:21" s="904" customFormat="1" ht="15.75" customHeight="1" x14ac:dyDescent="0.25">
      <c r="D79" s="812">
        <f>(D78/1000000)/B78</f>
        <v>22.9653550769745</v>
      </c>
      <c r="E79" s="906" t="s">
        <v>849</v>
      </c>
    </row>
    <row r="80" spans="2:21" s="904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902</v>
      </c>
    </row>
    <row r="84" spans="9:13" ht="15.75" customHeight="1" x14ac:dyDescent="0.25">
      <c r="J84" s="12" t="s">
        <v>903</v>
      </c>
      <c r="K84" s="18" t="s">
        <v>904</v>
      </c>
      <c r="L84" s="18" t="s">
        <v>905</v>
      </c>
      <c r="M84" s="12" t="s">
        <v>906</v>
      </c>
    </row>
    <row r="85" spans="9:13" ht="15.75" customHeight="1" x14ac:dyDescent="0.25">
      <c r="I85" s="12" t="s">
        <v>907</v>
      </c>
      <c r="J85" s="12" t="s">
        <v>908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909</v>
      </c>
      <c r="J86" s="12" t="s">
        <v>910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911</v>
      </c>
      <c r="J87" s="12" t="s">
        <v>912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913</v>
      </c>
      <c r="J91" s="12">
        <v>5.6607000000000003</v>
      </c>
      <c r="K91" s="12" t="s">
        <v>905</v>
      </c>
    </row>
    <row r="92" spans="9:13" ht="15.75" customHeight="1" x14ac:dyDescent="0.25">
      <c r="J92" s="12" t="s">
        <v>908</v>
      </c>
      <c r="K92" s="12" t="s">
        <v>908</v>
      </c>
    </row>
    <row r="93" spans="9:13" ht="15.75" customHeight="1" x14ac:dyDescent="0.25">
      <c r="J93" s="12">
        <f>4.5/J91</f>
        <v>0.79495468758280774</v>
      </c>
      <c r="K93" s="12" t="s">
        <v>914</v>
      </c>
    </row>
    <row r="94" spans="9:13" ht="15.75" customHeight="1" x14ac:dyDescent="0.25">
      <c r="J94" s="12">
        <f>9/J91</f>
        <v>1.5899093751656155</v>
      </c>
      <c r="K94" s="12" t="s">
        <v>915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916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917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908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918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919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920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858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860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921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917</v>
      </c>
      <c r="I136" s="12" t="s">
        <v>917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908</v>
      </c>
      <c r="I137" s="12" t="s">
        <v>908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922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923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922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919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860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920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908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858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917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921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924</v>
      </c>
    </row>
    <row r="179" spans="9:17" ht="15.75" customHeight="1" x14ac:dyDescent="0.25">
      <c r="I179" s="12" t="s">
        <v>923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922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919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860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920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908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858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917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921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925</v>
      </c>
    </row>
    <row r="198" spans="9:17" ht="15.75" customHeight="1" x14ac:dyDescent="0.25">
      <c r="I198" s="12" t="s">
        <v>923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922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919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860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920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908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858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917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921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926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922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860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855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908</v>
      </c>
      <c r="I225" s="14" t="s">
        <v>908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858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917</v>
      </c>
      <c r="I228" s="14" t="s">
        <v>917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921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927</v>
      </c>
    </row>
    <row r="233" spans="8:17" ht="15.75" customHeight="1" x14ac:dyDescent="0.25">
      <c r="I233" s="14" t="s">
        <v>923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922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860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855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908</v>
      </c>
      <c r="I242" s="12" t="s">
        <v>908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858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917</v>
      </c>
      <c r="I245" s="12" t="s">
        <v>917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921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1642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947" t="s">
        <v>993</v>
      </c>
      <c r="E5" s="920"/>
      <c r="F5" s="920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948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20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994</v>
      </c>
      <c r="E20" s="12" t="s">
        <v>995</v>
      </c>
    </row>
    <row r="21" spans="2:8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994</v>
      </c>
      <c r="E24" s="12" t="s">
        <v>995</v>
      </c>
    </row>
    <row r="25" spans="2:8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8" ht="15.75" customHeight="1" x14ac:dyDescent="0.25">
      <c r="B26" s="70" t="s">
        <v>1000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994</v>
      </c>
      <c r="E28" s="12" t="s">
        <v>995</v>
      </c>
    </row>
    <row r="29" spans="2:8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994</v>
      </c>
      <c r="E30" s="817" t="s">
        <v>995</v>
      </c>
    </row>
    <row r="31" spans="2:8" ht="15.75" customHeight="1" x14ac:dyDescent="0.25">
      <c r="B31" s="816" t="s">
        <v>1011</v>
      </c>
      <c r="C31" s="817" t="s">
        <v>1012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1013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1014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49" t="s">
        <v>1005</v>
      </c>
      <c r="C45" s="12" t="s">
        <v>1017</v>
      </c>
    </row>
    <row r="46" spans="2:9" ht="15.75" customHeight="1" x14ac:dyDescent="0.25">
      <c r="B46" s="920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92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2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20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20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6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6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1019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1029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  <c r="I81" s="821" t="s">
        <v>994</v>
      </c>
      <c r="J81" s="821" t="s">
        <v>995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1019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1005</v>
      </c>
    </row>
    <row r="91" spans="2:10" ht="15.75" customHeight="1" x14ac:dyDescent="0.25">
      <c r="B91" s="70"/>
      <c r="C91" s="214"/>
      <c r="D91" s="214" t="s">
        <v>1031</v>
      </c>
      <c r="E91" s="214"/>
    </row>
    <row r="92" spans="2:10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10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1028</v>
      </c>
      <c r="C100" s="70"/>
      <c r="D100" s="12" t="s">
        <v>1038</v>
      </c>
    </row>
    <row r="101" spans="2:5" ht="15.75" customHeight="1" x14ac:dyDescent="0.25">
      <c r="B101" s="70"/>
      <c r="C101" s="12" t="s">
        <v>1024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1019</v>
      </c>
      <c r="D103" s="228">
        <v>0.64</v>
      </c>
    </row>
    <row r="104" spans="2:5" ht="15.75" customHeight="1" x14ac:dyDescent="0.25">
      <c r="B104" s="70"/>
      <c r="C104" s="12" t="s">
        <v>1039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1"/>
      <c r="U7" s="950" t="s">
        <v>1650</v>
      </c>
      <c r="V7" s="950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2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20</v>
      </c>
      <c r="F31" s="821" t="s">
        <v>1658</v>
      </c>
    </row>
    <row r="32" spans="1:19" x14ac:dyDescent="0.25">
      <c r="C32" s="856" t="s">
        <v>997</v>
      </c>
      <c r="D32" s="821" t="s">
        <v>1664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909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911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1000</v>
      </c>
      <c r="D41" s="852" t="s">
        <v>1668</v>
      </c>
      <c r="G41" s="841"/>
      <c r="H41" s="841" t="s">
        <v>1657</v>
      </c>
      <c r="I41" s="841" t="s">
        <v>1654</v>
      </c>
      <c r="J41" s="841" t="s">
        <v>653</v>
      </c>
    </row>
    <row r="42" spans="3:10" x14ac:dyDescent="0.25">
      <c r="D42" s="821" t="s">
        <v>907</v>
      </c>
      <c r="E42" s="836">
        <v>0.15</v>
      </c>
      <c r="G42" s="841" t="s">
        <v>1658</v>
      </c>
      <c r="H42" s="841" t="s">
        <v>1665</v>
      </c>
      <c r="I42" s="841" t="s">
        <v>765</v>
      </c>
      <c r="J42" s="841" t="s">
        <v>1666</v>
      </c>
    </row>
    <row r="43" spans="3:10" x14ac:dyDescent="0.25">
      <c r="D43" s="821" t="s">
        <v>909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911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612</v>
      </c>
    </row>
    <row r="50" spans="3:6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6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6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6" x14ac:dyDescent="0.25">
      <c r="D53" s="840" t="s">
        <v>1669</v>
      </c>
      <c r="E53" s="850">
        <f>+E52</f>
        <v>16.802426854852598</v>
      </c>
      <c r="F53" s="840" t="s">
        <v>1674</v>
      </c>
    </row>
    <row r="56" spans="3:6" ht="18.75" x14ac:dyDescent="0.3">
      <c r="D56" s="835" t="s">
        <v>1676</v>
      </c>
    </row>
    <row r="58" spans="3:6" x14ac:dyDescent="0.25">
      <c r="D58" s="851" t="s">
        <v>1715</v>
      </c>
    </row>
    <row r="59" spans="3:6" x14ac:dyDescent="0.25">
      <c r="C59" s="70" t="s">
        <v>1681</v>
      </c>
      <c r="D59" s="18" t="s">
        <v>1106</v>
      </c>
      <c r="E59" s="12">
        <v>165</v>
      </c>
      <c r="F59" s="365" t="s">
        <v>589</v>
      </c>
    </row>
    <row r="60" spans="3:6" x14ac:dyDescent="0.25">
      <c r="C60" s="70" t="s">
        <v>1680</v>
      </c>
      <c r="D60" s="18" t="s">
        <v>1108</v>
      </c>
      <c r="E60" s="12">
        <v>155</v>
      </c>
      <c r="F60" s="365" t="s">
        <v>589</v>
      </c>
    </row>
    <row r="61" spans="3:6" x14ac:dyDescent="0.25">
      <c r="C61" s="853"/>
      <c r="D61" s="18" t="s">
        <v>1678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1679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1718</v>
      </c>
      <c r="D64" s="18" t="s">
        <v>1713</v>
      </c>
      <c r="E64" s="868">
        <f>+E60/E59</f>
        <v>0.93939393939393945</v>
      </c>
      <c r="F64" s="365"/>
    </row>
    <row r="65" spans="1:9" x14ac:dyDescent="0.25">
      <c r="C65" s="70" t="s">
        <v>1717</v>
      </c>
      <c r="D65" s="18" t="s">
        <v>1714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856" t="s">
        <v>1681</v>
      </c>
      <c r="D72" s="857" t="s">
        <v>1692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1681</v>
      </c>
      <c r="D73" s="857" t="s">
        <v>1691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1690</v>
      </c>
      <c r="D74" s="857" t="s">
        <v>1693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1683</v>
      </c>
      <c r="D75" s="821" t="s">
        <v>858</v>
      </c>
      <c r="E75" s="858">
        <v>0</v>
      </c>
      <c r="F75" s="858">
        <v>0</v>
      </c>
    </row>
    <row r="76" spans="1:9" x14ac:dyDescent="0.25">
      <c r="C76" s="856" t="s">
        <v>1684</v>
      </c>
      <c r="D76" s="857" t="s">
        <v>1694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1689</v>
      </c>
      <c r="D79" s="857" t="s">
        <v>1685</v>
      </c>
      <c r="E79" s="839">
        <v>165</v>
      </c>
      <c r="F79" s="857" t="s">
        <v>1686</v>
      </c>
      <c r="G79" s="860">
        <f>+SLOPE(G80:G81,E80:E81)*E79+INTERCEPT(G80:G81,E80:E81)</f>
        <v>71.777777777777771</v>
      </c>
      <c r="H79" s="857" t="s">
        <v>614</v>
      </c>
    </row>
    <row r="80" spans="1:9" x14ac:dyDescent="0.25">
      <c r="A80" s="855"/>
      <c r="C80" s="856" t="s">
        <v>1681</v>
      </c>
      <c r="D80" s="857" t="s">
        <v>1685</v>
      </c>
      <c r="E80">
        <v>200</v>
      </c>
      <c r="F80" s="857" t="s">
        <v>1686</v>
      </c>
      <c r="G80">
        <v>78</v>
      </c>
      <c r="H80" s="861" t="s">
        <v>614</v>
      </c>
      <c r="I80" s="821"/>
    </row>
    <row r="81" spans="1:9" x14ac:dyDescent="0.25">
      <c r="A81" s="812"/>
      <c r="B81" s="822"/>
      <c r="C81" s="856" t="s">
        <v>1681</v>
      </c>
      <c r="D81" s="857" t="s">
        <v>1685</v>
      </c>
      <c r="E81">
        <v>245</v>
      </c>
      <c r="F81" s="857" t="s">
        <v>1686</v>
      </c>
      <c r="G81" s="859">
        <v>86</v>
      </c>
      <c r="H81" s="857" t="s">
        <v>614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1695</v>
      </c>
      <c r="E83" s="812"/>
      <c r="F83" s="821"/>
    </row>
    <row r="85" spans="1:9" x14ac:dyDescent="0.25">
      <c r="D85" s="857" t="s">
        <v>1696</v>
      </c>
      <c r="E85" s="807">
        <f>+F72/E61</f>
        <v>3.144843829682923E-2</v>
      </c>
      <c r="F85" s="857" t="s">
        <v>609</v>
      </c>
      <c r="I85" s="812"/>
    </row>
    <row r="86" spans="1:9" x14ac:dyDescent="0.25">
      <c r="D86" s="857" t="s">
        <v>1697</v>
      </c>
      <c r="E86">
        <f>+F73/E61</f>
        <v>3.372991374521029E-2</v>
      </c>
      <c r="F86" s="857" t="s">
        <v>609</v>
      </c>
      <c r="I86" s="812"/>
    </row>
    <row r="87" spans="1:9" x14ac:dyDescent="0.25">
      <c r="D87" s="857" t="s">
        <v>1698</v>
      </c>
      <c r="E87">
        <f>+F74/E61</f>
        <v>3.8173402290987937E-2</v>
      </c>
      <c r="F87" s="857" t="s">
        <v>609</v>
      </c>
      <c r="I87" s="812"/>
    </row>
    <row r="88" spans="1:9" x14ac:dyDescent="0.25">
      <c r="D88" s="857" t="s">
        <v>1699</v>
      </c>
      <c r="E88" s="858">
        <v>0</v>
      </c>
      <c r="I88" s="812"/>
    </row>
    <row r="89" spans="1:9" x14ac:dyDescent="0.25">
      <c r="D89" s="857" t="s">
        <v>1700</v>
      </c>
      <c r="E89">
        <f>+F76/E62</f>
        <v>1.4917927107278191E-3</v>
      </c>
      <c r="F89" s="857" t="s">
        <v>609</v>
      </c>
      <c r="I89" s="812"/>
    </row>
    <row r="90" spans="1:9" x14ac:dyDescent="0.25">
      <c r="E90" s="864">
        <f>+SUM(E85:E89)</f>
        <v>0.10484354704375527</v>
      </c>
      <c r="F90" s="857" t="s">
        <v>609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1702</v>
      </c>
    </row>
    <row r="95" spans="1:9" x14ac:dyDescent="0.25">
      <c r="E95" s="391"/>
      <c r="F95" s="392" t="s">
        <v>662</v>
      </c>
      <c r="G95" s="392" t="s">
        <v>1069</v>
      </c>
    </row>
    <row r="96" spans="1:9" x14ac:dyDescent="0.25">
      <c r="B96" s="856" t="s">
        <v>1705</v>
      </c>
      <c r="C96" s="856" t="s">
        <v>1704</v>
      </c>
      <c r="E96" s="393" t="s">
        <v>1120</v>
      </c>
      <c r="F96" s="394">
        <f>394.77/299.7</f>
        <v>1.3172172172172172</v>
      </c>
      <c r="G96" s="395">
        <f>+F96</f>
        <v>1.3172172172172172</v>
      </c>
      <c r="H96" s="12" t="s">
        <v>1121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1703</v>
      </c>
    </row>
    <row r="101" spans="2:8" x14ac:dyDescent="0.25">
      <c r="E101" s="865" t="s">
        <v>662</v>
      </c>
      <c r="F101" s="865" t="s">
        <v>1069</v>
      </c>
      <c r="H101" s="857" t="s">
        <v>1731</v>
      </c>
    </row>
    <row r="102" spans="2:8" x14ac:dyDescent="0.25">
      <c r="C102" s="856" t="s">
        <v>1681</v>
      </c>
      <c r="D102" s="857" t="s">
        <v>1707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1681</v>
      </c>
      <c r="D103" s="857" t="s">
        <v>1035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1681</v>
      </c>
      <c r="D104" s="857" t="s">
        <v>1096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1681</v>
      </c>
      <c r="D105" s="857" t="s">
        <v>1706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1681</v>
      </c>
      <c r="D106" s="857" t="s">
        <v>858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1681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1710</v>
      </c>
      <c r="D108" s="857" t="s">
        <v>1709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1708</v>
      </c>
    </row>
    <row r="112" spans="2:8" x14ac:dyDescent="0.25">
      <c r="D112" s="857" t="s">
        <v>1035</v>
      </c>
      <c r="E112" s="811">
        <f>+F103/$E$61</f>
        <v>0.26219699464421958</v>
      </c>
      <c r="F112" s="857" t="s">
        <v>609</v>
      </c>
    </row>
    <row r="113" spans="1:6" x14ac:dyDescent="0.25">
      <c r="D113" s="857" t="s">
        <v>1096</v>
      </c>
      <c r="E113" s="811">
        <f t="shared" ref="E113:E117" si="9">+F104/$E$61</f>
        <v>0.53073328945968989</v>
      </c>
      <c r="F113" s="857" t="s">
        <v>609</v>
      </c>
    </row>
    <row r="114" spans="1:6" x14ac:dyDescent="0.25">
      <c r="D114" s="857" t="s">
        <v>1706</v>
      </c>
      <c r="E114" s="811">
        <f t="shared" si="9"/>
        <v>4.7850542700988603E-2</v>
      </c>
      <c r="F114" s="857" t="s">
        <v>609</v>
      </c>
    </row>
    <row r="115" spans="1:6" x14ac:dyDescent="0.25">
      <c r="D115" s="857" t="s">
        <v>858</v>
      </c>
      <c r="E115" s="811">
        <f t="shared" si="9"/>
        <v>7.611780813527003E-3</v>
      </c>
      <c r="F115" s="857" t="s">
        <v>609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609</v>
      </c>
    </row>
    <row r="117" spans="1:6" x14ac:dyDescent="0.25">
      <c r="D117" s="857" t="s">
        <v>1709</v>
      </c>
      <c r="E117" s="811">
        <f t="shared" si="9"/>
        <v>3.372991374521029E-2</v>
      </c>
      <c r="F117" s="857" t="s">
        <v>609</v>
      </c>
    </row>
    <row r="119" spans="1:6" x14ac:dyDescent="0.25">
      <c r="C119" s="856" t="s">
        <v>1722</v>
      </c>
      <c r="D119" s="857" t="s">
        <v>1711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310</v>
      </c>
      <c r="B124" s="1"/>
      <c r="C124" s="1"/>
      <c r="D124" s="1"/>
      <c r="E124" s="1"/>
      <c r="F124" s="1"/>
    </row>
    <row r="125" spans="1:6" x14ac:dyDescent="0.25">
      <c r="A125" s="331" t="s">
        <v>311</v>
      </c>
      <c r="B125" s="332" t="s">
        <v>42</v>
      </c>
      <c r="C125" s="332" t="s">
        <v>312</v>
      </c>
      <c r="D125" s="332" t="s">
        <v>313</v>
      </c>
      <c r="E125" s="332" t="s">
        <v>314</v>
      </c>
      <c r="F125" s="333" t="s">
        <v>315</v>
      </c>
    </row>
    <row r="126" spans="1:6" x14ac:dyDescent="0.25">
      <c r="A126" s="1" t="s">
        <v>329</v>
      </c>
      <c r="B126" s="1"/>
      <c r="C126" s="17" t="s">
        <v>1051</v>
      </c>
      <c r="D126" s="1" t="s">
        <v>1052</v>
      </c>
      <c r="E126" s="1" t="s">
        <v>59</v>
      </c>
      <c r="F126" s="1" t="s">
        <v>328</v>
      </c>
    </row>
    <row r="127" spans="1:6" x14ac:dyDescent="0.25">
      <c r="A127" s="1"/>
      <c r="B127" s="1"/>
      <c r="C127" s="338" t="s">
        <v>1055</v>
      </c>
      <c r="D127" s="328" t="s">
        <v>1056</v>
      </c>
      <c r="E127" s="1" t="s">
        <v>59</v>
      </c>
      <c r="F127" s="1" t="s">
        <v>328</v>
      </c>
    </row>
    <row r="128" spans="1:6" x14ac:dyDescent="0.25">
      <c r="A128" s="1"/>
      <c r="B128" s="1"/>
      <c r="C128" s="342" t="s">
        <v>1057</v>
      </c>
      <c r="D128" s="328" t="s">
        <v>1058</v>
      </c>
      <c r="E128" s="1" t="s">
        <v>59</v>
      </c>
      <c r="F128" s="1" t="s">
        <v>328</v>
      </c>
    </row>
    <row r="129" spans="1:6" x14ac:dyDescent="0.25">
      <c r="A129" s="1"/>
      <c r="B129" s="1"/>
      <c r="C129" s="17" t="s">
        <v>1059</v>
      </c>
      <c r="D129" s="328" t="s">
        <v>1060</v>
      </c>
      <c r="E129" s="1" t="s">
        <v>59</v>
      </c>
      <c r="F129" s="1" t="s">
        <v>328</v>
      </c>
    </row>
    <row r="130" spans="1:6" x14ac:dyDescent="0.25">
      <c r="A130" s="328"/>
      <c r="B130" s="328"/>
      <c r="C130" s="18" t="s">
        <v>1061</v>
      </c>
      <c r="D130" s="12" t="s">
        <v>1062</v>
      </c>
      <c r="E130" s="1" t="s">
        <v>59</v>
      </c>
      <c r="F130" s="1" t="s">
        <v>328</v>
      </c>
    </row>
    <row r="131" spans="1:6" x14ac:dyDescent="0.25">
      <c r="A131" s="328"/>
      <c r="B131" s="328"/>
      <c r="C131" s="18" t="s">
        <v>1063</v>
      </c>
      <c r="D131" s="12" t="s">
        <v>1064</v>
      </c>
      <c r="E131" s="12" t="s">
        <v>59</v>
      </c>
      <c r="F131" s="344" t="s">
        <v>328</v>
      </c>
    </row>
    <row r="132" spans="1:6" x14ac:dyDescent="0.25">
      <c r="A132" s="328"/>
      <c r="B132" s="328"/>
      <c r="C132" s="18" t="s">
        <v>1065</v>
      </c>
      <c r="D132" s="328" t="s">
        <v>1066</v>
      </c>
      <c r="E132" s="328" t="s">
        <v>59</v>
      </c>
      <c r="F132" s="344" t="s">
        <v>328</v>
      </c>
    </row>
    <row r="133" spans="1:6" ht="15.75" customHeight="1" x14ac:dyDescent="0.25">
      <c r="A133" s="328"/>
      <c r="B133" s="328"/>
      <c r="C133" s="1" t="s">
        <v>1723</v>
      </c>
      <c r="D133" s="1" t="s">
        <v>1724</v>
      </c>
      <c r="E133" s="328" t="s">
        <v>59</v>
      </c>
      <c r="F133" s="344" t="s">
        <v>328</v>
      </c>
    </row>
    <row r="134" spans="1:6" x14ac:dyDescent="0.25">
      <c r="A134" s="328"/>
      <c r="B134" s="328"/>
      <c r="C134" s="1" t="s">
        <v>1725</v>
      </c>
      <c r="D134" s="1" t="s">
        <v>1726</v>
      </c>
      <c r="E134" s="328" t="s">
        <v>59</v>
      </c>
      <c r="F134" s="344" t="s">
        <v>328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1053</v>
      </c>
      <c r="D140" s="1" t="s">
        <v>1075</v>
      </c>
      <c r="E140" s="1" t="s">
        <v>59</v>
      </c>
      <c r="F140" s="328"/>
    </row>
    <row r="141" spans="1:6" x14ac:dyDescent="0.25">
      <c r="A141" s="1"/>
      <c r="B141" s="1"/>
      <c r="C141" s="12" t="s">
        <v>1078</v>
      </c>
      <c r="D141" s="12" t="s">
        <v>1079</v>
      </c>
      <c r="E141" s="12" t="s">
        <v>59</v>
      </c>
      <c r="F141" s="328"/>
    </row>
    <row r="142" spans="1:6" x14ac:dyDescent="0.25">
      <c r="A142" s="1"/>
      <c r="B142" s="328"/>
      <c r="C142" s="12" t="s">
        <v>1080</v>
      </c>
      <c r="D142" s="12" t="s">
        <v>1081</v>
      </c>
      <c r="E142" s="12" t="s">
        <v>59</v>
      </c>
      <c r="F142" s="328"/>
    </row>
    <row r="143" spans="1:6" x14ac:dyDescent="0.25">
      <c r="A143" s="1"/>
      <c r="B143" s="328"/>
      <c r="C143" s="18" t="s">
        <v>1082</v>
      </c>
      <c r="D143" s="12" t="s">
        <v>1083</v>
      </c>
      <c r="E143" s="12" t="s">
        <v>59</v>
      </c>
      <c r="F143" s="328"/>
    </row>
    <row r="144" spans="1:6" x14ac:dyDescent="0.25">
      <c r="C144" s="18" t="s">
        <v>1085</v>
      </c>
      <c r="D144" s="18" t="s">
        <v>1086</v>
      </c>
      <c r="E144" s="344" t="s">
        <v>59</v>
      </c>
    </row>
    <row r="145" spans="1:7" x14ac:dyDescent="0.25">
      <c r="A145" s="1"/>
      <c r="B145" s="1"/>
      <c r="C145" s="18" t="s">
        <v>1087</v>
      </c>
      <c r="D145" s="18" t="s">
        <v>1088</v>
      </c>
      <c r="E145" s="344" t="s">
        <v>59</v>
      </c>
    </row>
    <row r="146" spans="1:7" x14ac:dyDescent="0.25">
      <c r="A146" s="1"/>
      <c r="B146" s="1"/>
      <c r="C146" s="18" t="s">
        <v>1727</v>
      </c>
      <c r="D146" s="857" t="s">
        <v>1729</v>
      </c>
      <c r="E146" s="344" t="s">
        <v>59</v>
      </c>
      <c r="F146" s="328"/>
    </row>
    <row r="147" spans="1:7" x14ac:dyDescent="0.25">
      <c r="A147" s="1"/>
      <c r="B147" s="1"/>
      <c r="C147" s="1" t="s">
        <v>1728</v>
      </c>
      <c r="D147" s="1" t="s">
        <v>1730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880</v>
      </c>
      <c r="B149" s="328"/>
      <c r="C149" s="1"/>
      <c r="D149" s="1"/>
    </row>
    <row r="150" spans="1:7" x14ac:dyDescent="0.25">
      <c r="A150" s="360" t="s">
        <v>312</v>
      </c>
      <c r="B150" s="360" t="s">
        <v>881</v>
      </c>
      <c r="C150" s="360" t="s">
        <v>882</v>
      </c>
      <c r="D150" s="360" t="s">
        <v>930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1662</v>
      </c>
    </row>
    <row r="160" spans="1:7" x14ac:dyDescent="0.25">
      <c r="C160" s="329" t="s">
        <v>880</v>
      </c>
      <c r="D160" s="1"/>
      <c r="E160" s="1"/>
      <c r="F160" s="1"/>
      <c r="G160" s="1"/>
    </row>
    <row r="161" spans="3:11" x14ac:dyDescent="0.25">
      <c r="C161" s="334" t="s">
        <v>312</v>
      </c>
      <c r="D161" s="209" t="s">
        <v>881</v>
      </c>
      <c r="E161" s="209" t="s">
        <v>882</v>
      </c>
      <c r="F161" s="209" t="s">
        <v>1050</v>
      </c>
      <c r="G161" s="335" t="s">
        <v>930</v>
      </c>
    </row>
    <row r="162" spans="3:11" x14ac:dyDescent="0.25">
      <c r="C162" s="16" t="str">
        <f>+C126</f>
        <v>MIX-OIL-REF1</v>
      </c>
      <c r="D162" s="16" t="s">
        <v>13</v>
      </c>
      <c r="E162" s="16" t="s">
        <v>1053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312</v>
      </c>
      <c r="D167" s="337" t="s">
        <v>882</v>
      </c>
      <c r="E167" s="337" t="s">
        <v>1054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1676</v>
      </c>
    </row>
    <row r="174" spans="3:11" x14ac:dyDescent="0.25">
      <c r="C174" s="336" t="s">
        <v>1084</v>
      </c>
      <c r="D174" s="328"/>
      <c r="E174" s="1"/>
      <c r="G174" s="283" t="s">
        <v>986</v>
      </c>
    </row>
    <row r="175" spans="3:11" ht="15.75" thickBot="1" x14ac:dyDescent="0.3">
      <c r="C175" s="354" t="s">
        <v>312</v>
      </c>
      <c r="D175" s="355" t="s">
        <v>881</v>
      </c>
      <c r="E175" s="356" t="s">
        <v>974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1055</v>
      </c>
      <c r="D176" s="1" t="str">
        <f>+E162</f>
        <v>OIL-REF1</v>
      </c>
      <c r="E176" s="879">
        <f>1/(1+SUM($E$85:$E$89))</f>
        <v>0.90510552618577855</v>
      </c>
      <c r="G176" s="211" t="s">
        <v>935</v>
      </c>
      <c r="H176" s="212" t="s">
        <v>556</v>
      </c>
      <c r="I176" s="212" t="s">
        <v>556</v>
      </c>
      <c r="J176" s="212" t="s">
        <v>556</v>
      </c>
      <c r="K176" s="212" t="s">
        <v>556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1702</v>
      </c>
    </row>
    <row r="185" spans="3:11" x14ac:dyDescent="0.25">
      <c r="C185" s="329" t="s">
        <v>880</v>
      </c>
      <c r="D185" s="1"/>
      <c r="E185" s="1"/>
      <c r="F185" s="397"/>
      <c r="G185" s="1"/>
    </row>
    <row r="186" spans="3:11" x14ac:dyDescent="0.25">
      <c r="C186" s="355" t="s">
        <v>312</v>
      </c>
      <c r="D186" s="355" t="s">
        <v>928</v>
      </c>
      <c r="E186" s="355" t="s">
        <v>1114</v>
      </c>
      <c r="F186" s="355" t="s">
        <v>973</v>
      </c>
      <c r="G186" s="398" t="s">
        <v>974</v>
      </c>
    </row>
    <row r="187" spans="3:11" x14ac:dyDescent="0.25">
      <c r="C187" s="389" t="str">
        <f>+C128</f>
        <v>SMR-REF1</v>
      </c>
      <c r="D187" s="389" t="s">
        <v>1115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930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880</v>
      </c>
      <c r="D191" s="328"/>
      <c r="E191" s="1"/>
      <c r="F191" s="1"/>
      <c r="G191" s="1"/>
    </row>
    <row r="192" spans="3:11" x14ac:dyDescent="0.25">
      <c r="C192" s="355" t="s">
        <v>312</v>
      </c>
      <c r="D192" s="355" t="s">
        <v>881</v>
      </c>
      <c r="E192" s="355" t="s">
        <v>882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1703</v>
      </c>
    </row>
    <row r="198" spans="3:7" x14ac:dyDescent="0.25">
      <c r="C198" s="336" t="s">
        <v>1101</v>
      </c>
      <c r="D198" s="269"/>
      <c r="E198" s="207"/>
    </row>
    <row r="199" spans="3:7" x14ac:dyDescent="0.25">
      <c r="C199" s="334" t="s">
        <v>312</v>
      </c>
      <c r="D199" s="371" t="s">
        <v>882</v>
      </c>
      <c r="E199" s="372" t="s">
        <v>973</v>
      </c>
    </row>
    <row r="200" spans="3:7" x14ac:dyDescent="0.25">
      <c r="C200" s="349" t="s">
        <v>1055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1712</v>
      </c>
    </row>
    <row r="213" spans="3:7" x14ac:dyDescent="0.25">
      <c r="C213" s="381" t="s">
        <v>880</v>
      </c>
      <c r="D213" s="16"/>
      <c r="E213" s="16"/>
      <c r="F213" s="336"/>
      <c r="G213" s="16"/>
    </row>
    <row r="214" spans="3:7" x14ac:dyDescent="0.25">
      <c r="C214" s="354" t="s">
        <v>312</v>
      </c>
      <c r="D214" s="355" t="s">
        <v>928</v>
      </c>
      <c r="E214" s="355" t="s">
        <v>1114</v>
      </c>
      <c r="F214" s="355" t="s">
        <v>973</v>
      </c>
      <c r="G214" s="382" t="s">
        <v>974</v>
      </c>
    </row>
    <row r="215" spans="3:7" x14ac:dyDescent="0.25">
      <c r="C215" s="384" t="s">
        <v>1055</v>
      </c>
      <c r="D215" s="385" t="s">
        <v>1115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1055</v>
      </c>
      <c r="D216" s="214" t="s">
        <v>1115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1055</v>
      </c>
      <c r="D217" s="389" t="s">
        <v>930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1055</v>
      </c>
      <c r="D218" s="16" t="s">
        <v>1116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1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1"/>
      <c r="U7" s="950" t="s">
        <v>1650</v>
      </c>
      <c r="V7" s="950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2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24</v>
      </c>
      <c r="F31" s="821" t="s">
        <v>1658</v>
      </c>
    </row>
    <row r="32" spans="1:19" x14ac:dyDescent="0.25">
      <c r="C32" s="856" t="s">
        <v>997</v>
      </c>
      <c r="D32" s="883" t="s">
        <v>1732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909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911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hidden="1" x14ac:dyDescent="0.25">
      <c r="C41" s="896" t="s">
        <v>1000</v>
      </c>
      <c r="D41" s="884" t="s">
        <v>1733</v>
      </c>
      <c r="E41" s="885"/>
      <c r="F41" s="885"/>
      <c r="G41" s="886"/>
      <c r="H41" s="886" t="s">
        <v>1657</v>
      </c>
      <c r="I41" s="886" t="s">
        <v>1654</v>
      </c>
      <c r="J41" s="886" t="s">
        <v>653</v>
      </c>
    </row>
    <row r="42" spans="3:10" hidden="1" x14ac:dyDescent="0.25">
      <c r="D42" s="885" t="s">
        <v>907</v>
      </c>
      <c r="E42" s="887">
        <v>0.15</v>
      </c>
      <c r="F42" s="885"/>
      <c r="G42" s="886" t="s">
        <v>1658</v>
      </c>
      <c r="H42" s="886" t="s">
        <v>1665</v>
      </c>
      <c r="I42" s="886" t="s">
        <v>765</v>
      </c>
      <c r="J42" s="886" t="s">
        <v>1666</v>
      </c>
    </row>
    <row r="43" spans="3:10" hidden="1" x14ac:dyDescent="0.25">
      <c r="D43" s="885" t="s">
        <v>909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hidden="1" x14ac:dyDescent="0.25">
      <c r="D44" s="885" t="s">
        <v>911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hidden="1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hidden="1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hidden="1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8" spans="3:10" hidden="1" x14ac:dyDescent="0.25"/>
    <row r="49" spans="3:11" hidden="1" x14ac:dyDescent="0.25">
      <c r="D49" s="851" t="s">
        <v>612</v>
      </c>
    </row>
    <row r="50" spans="3:11" hidden="1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11" hidden="1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11" hidden="1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11" hidden="1" x14ac:dyDescent="0.25">
      <c r="D53" s="840" t="s">
        <v>1669</v>
      </c>
      <c r="E53" s="850">
        <f>+E52</f>
        <v>16.802426854852598</v>
      </c>
      <c r="F53" s="840" t="s">
        <v>1674</v>
      </c>
    </row>
    <row r="54" spans="3:11" hidden="1" x14ac:dyDescent="0.25"/>
    <row r="56" spans="3:11" ht="18.75" x14ac:dyDescent="0.3">
      <c r="D56" s="835" t="s">
        <v>1676</v>
      </c>
    </row>
    <row r="58" spans="3:11" x14ac:dyDescent="0.25">
      <c r="D58" s="851" t="s">
        <v>1715</v>
      </c>
      <c r="H58" s="883" t="s">
        <v>1746</v>
      </c>
      <c r="J58" s="839">
        <f>+J61/J59</f>
        <v>22.376810491959233</v>
      </c>
      <c r="K58" s="883" t="s">
        <v>556</v>
      </c>
    </row>
    <row r="59" spans="3:11" x14ac:dyDescent="0.25">
      <c r="C59" s="856" t="s">
        <v>1011</v>
      </c>
      <c r="D59" s="18" t="s">
        <v>1106</v>
      </c>
      <c r="E59" s="12">
        <v>250</v>
      </c>
      <c r="F59" s="365" t="s">
        <v>589</v>
      </c>
      <c r="H59" s="883" t="s">
        <v>1736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1680</v>
      </c>
      <c r="D60" s="18" t="s">
        <v>1108</v>
      </c>
      <c r="E60" s="12">
        <v>218</v>
      </c>
      <c r="F60" s="365" t="s">
        <v>589</v>
      </c>
      <c r="H60" s="883" t="s">
        <v>1736</v>
      </c>
      <c r="J60">
        <v>244</v>
      </c>
      <c r="K60" s="870" t="s">
        <v>589</v>
      </c>
    </row>
    <row r="61" spans="3:11" x14ac:dyDescent="0.25">
      <c r="C61" s="853"/>
      <c r="D61" s="18" t="s">
        <v>1678</v>
      </c>
      <c r="E61" s="275">
        <f>+E59*365*C8/1000</f>
        <v>555.45464279436999</v>
      </c>
      <c r="F61" s="365" t="s">
        <v>59</v>
      </c>
      <c r="H61" s="883" t="s">
        <v>1736</v>
      </c>
      <c r="J61">
        <v>12131</v>
      </c>
      <c r="K61" s="883" t="s">
        <v>1734</v>
      </c>
    </row>
    <row r="62" spans="3:11" x14ac:dyDescent="0.25">
      <c r="C62" s="853"/>
      <c r="D62" s="18" t="s">
        <v>1679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1718</v>
      </c>
      <c r="D64" s="18" t="s">
        <v>1713</v>
      </c>
      <c r="E64" s="868">
        <f>+E60/E59</f>
        <v>0.872</v>
      </c>
      <c r="F64" s="365"/>
    </row>
    <row r="65" spans="1:9" x14ac:dyDescent="0.25">
      <c r="C65" s="70" t="s">
        <v>1717</v>
      </c>
      <c r="D65" s="18" t="s">
        <v>1714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70" t="s">
        <v>1741</v>
      </c>
      <c r="D72" s="883" t="s">
        <v>1735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1718</v>
      </c>
      <c r="D73" s="883" t="s">
        <v>1738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1718</v>
      </c>
      <c r="D74" s="883" t="s">
        <v>1739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1718</v>
      </c>
      <c r="D75" s="883" t="s">
        <v>1740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1684</v>
      </c>
      <c r="D76" s="857" t="s">
        <v>1694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1695</v>
      </c>
      <c r="E80" s="812"/>
      <c r="F80" s="821"/>
    </row>
    <row r="82" spans="3:11" x14ac:dyDescent="0.25">
      <c r="C82" s="856" t="s">
        <v>1741</v>
      </c>
      <c r="D82" s="857" t="s">
        <v>1696</v>
      </c>
      <c r="E82" s="807">
        <f>+J93/J59</f>
        <v>1.2443205671721023E-2</v>
      </c>
      <c r="F82" s="857" t="s">
        <v>609</v>
      </c>
      <c r="I82" s="812"/>
    </row>
    <row r="83" spans="3:11" x14ac:dyDescent="0.25">
      <c r="C83" s="856" t="s">
        <v>1737</v>
      </c>
      <c r="D83" s="857" t="s">
        <v>1697</v>
      </c>
      <c r="E83">
        <f>291/J61</f>
        <v>2.3988129585359824E-2</v>
      </c>
      <c r="F83" s="857" t="s">
        <v>609</v>
      </c>
      <c r="I83" s="812"/>
    </row>
    <row r="84" spans="3:11" x14ac:dyDescent="0.25">
      <c r="C84" s="856" t="s">
        <v>1737</v>
      </c>
      <c r="D84" s="857" t="s">
        <v>1698</v>
      </c>
      <c r="E84">
        <f>+((642-(289*68.8%))+43)/J61</f>
        <v>4.0076498227681147E-2</v>
      </c>
      <c r="F84" s="857" t="s">
        <v>609</v>
      </c>
      <c r="I84" s="812"/>
    </row>
    <row r="85" spans="3:11" x14ac:dyDescent="0.25">
      <c r="C85" s="856" t="s">
        <v>1737</v>
      </c>
      <c r="D85" s="857" t="s">
        <v>1699</v>
      </c>
      <c r="E85">
        <f>154/J61</f>
        <v>1.2694748990190421E-2</v>
      </c>
      <c r="F85" s="857" t="s">
        <v>609</v>
      </c>
      <c r="I85" s="897"/>
    </row>
    <row r="86" spans="3:11" x14ac:dyDescent="0.25">
      <c r="C86" s="856" t="s">
        <v>1684</v>
      </c>
      <c r="D86" s="857" t="s">
        <v>1700</v>
      </c>
      <c r="E86">
        <f>+F76/E62</f>
        <v>1.9899180852390157E-3</v>
      </c>
      <c r="F86" s="857" t="s">
        <v>609</v>
      </c>
      <c r="I86" s="812"/>
    </row>
    <row r="87" spans="3:11" x14ac:dyDescent="0.25">
      <c r="E87" s="864">
        <f>+SUM(E82:E86)</f>
        <v>9.1192500560191431E-2</v>
      </c>
      <c r="F87" s="857" t="s">
        <v>609</v>
      </c>
      <c r="H87" s="812"/>
      <c r="I87" s="882"/>
    </row>
    <row r="90" spans="3:11" ht="18.75" x14ac:dyDescent="0.3">
      <c r="D90" s="835" t="s">
        <v>1702</v>
      </c>
    </row>
    <row r="91" spans="3:11" ht="18.75" x14ac:dyDescent="0.3">
      <c r="D91" s="835"/>
    </row>
    <row r="92" spans="3:11" x14ac:dyDescent="0.25">
      <c r="D92" s="883" t="s">
        <v>1742</v>
      </c>
      <c r="E92" s="812">
        <f>289*68.8%</f>
        <v>198.83199999999999</v>
      </c>
      <c r="F92" s="883" t="s">
        <v>1743</v>
      </c>
    </row>
    <row r="93" spans="3:11" x14ac:dyDescent="0.25">
      <c r="D93" s="883" t="s">
        <v>1744</v>
      </c>
      <c r="E93" s="812">
        <f>+E92/J58</f>
        <v>8.8856273806960679</v>
      </c>
      <c r="F93" s="883" t="s">
        <v>59</v>
      </c>
      <c r="H93" s="885" t="s">
        <v>1745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662</v>
      </c>
      <c r="G96" s="392" t="s">
        <v>1069</v>
      </c>
    </row>
    <row r="97" spans="2:13" x14ac:dyDescent="0.25">
      <c r="B97" s="856" t="s">
        <v>1705</v>
      </c>
      <c r="C97" s="856" t="s">
        <v>1704</v>
      </c>
      <c r="E97" s="393" t="s">
        <v>1120</v>
      </c>
      <c r="F97" s="394">
        <f>394.77/299.7</f>
        <v>1.3172172172172172</v>
      </c>
      <c r="G97" s="395">
        <f>+F97</f>
        <v>1.3172172172172172</v>
      </c>
      <c r="H97" s="12" t="s">
        <v>1121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1703</v>
      </c>
    </row>
    <row r="101" spans="2:13" ht="18.75" x14ac:dyDescent="0.3">
      <c r="D101" s="835"/>
    </row>
    <row r="102" spans="2:13" x14ac:dyDescent="0.25">
      <c r="C102" s="856" t="s">
        <v>1011</v>
      </c>
      <c r="D102" s="883" t="s">
        <v>1748</v>
      </c>
      <c r="E102">
        <f>+'4. Refinerys Data'!D32/1000</f>
        <v>222</v>
      </c>
      <c r="F102" s="883" t="s">
        <v>589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1011</v>
      </c>
      <c r="D103" s="883" t="s">
        <v>1750</v>
      </c>
      <c r="E103">
        <v>180</v>
      </c>
      <c r="F103" s="883" t="s">
        <v>589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662</v>
      </c>
      <c r="F105" s="865" t="s">
        <v>1069</v>
      </c>
      <c r="H105" s="857" t="s">
        <v>1731</v>
      </c>
      <c r="I105" s="883" t="s">
        <v>1749</v>
      </c>
    </row>
    <row r="106" spans="2:13" x14ac:dyDescent="0.25">
      <c r="C106" s="856" t="s">
        <v>1011</v>
      </c>
      <c r="D106" s="883" t="s">
        <v>1747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1011</v>
      </c>
      <c r="D107" s="857" t="s">
        <v>1035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1011</v>
      </c>
      <c r="D108" s="857" t="s">
        <v>1096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1011</v>
      </c>
      <c r="D109" s="857" t="s">
        <v>1706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1011</v>
      </c>
      <c r="D110" s="857" t="s">
        <v>858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1752</v>
      </c>
    </row>
    <row r="111" spans="2:13" x14ac:dyDescent="0.25">
      <c r="C111" s="856" t="s">
        <v>1684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1751</v>
      </c>
      <c r="L111" s="883" t="s">
        <v>22</v>
      </c>
      <c r="M111">
        <v>4.4279999999999999</v>
      </c>
    </row>
    <row r="112" spans="2:13" x14ac:dyDescent="0.25">
      <c r="C112" s="856" t="s">
        <v>1718</v>
      </c>
      <c r="D112" s="857" t="s">
        <v>1709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1102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1708</v>
      </c>
      <c r="J115" s="844"/>
    </row>
    <row r="116" spans="3:10" x14ac:dyDescent="0.25">
      <c r="D116" s="857" t="s">
        <v>1035</v>
      </c>
      <c r="E116" s="811">
        <f>+F107/$E$61</f>
        <v>0.20429710445849361</v>
      </c>
      <c r="F116" s="857" t="s">
        <v>609</v>
      </c>
    </row>
    <row r="117" spans="3:10" x14ac:dyDescent="0.25">
      <c r="D117" s="857" t="s">
        <v>1096</v>
      </c>
      <c r="E117" s="811">
        <f t="shared" ref="E117:E120" si="8">+F108/$E$61</f>
        <v>0.22067890175733909</v>
      </c>
      <c r="F117" s="857" t="s">
        <v>609</v>
      </c>
    </row>
    <row r="118" spans="3:10" x14ac:dyDescent="0.25">
      <c r="D118" s="857" t="s">
        <v>1706</v>
      </c>
      <c r="E118" s="811">
        <f t="shared" si="8"/>
        <v>5.5174490472045805E-2</v>
      </c>
      <c r="F118" s="857" t="s">
        <v>609</v>
      </c>
    </row>
    <row r="119" spans="3:10" x14ac:dyDescent="0.25">
      <c r="D119" s="857" t="s">
        <v>858</v>
      </c>
      <c r="E119" s="811">
        <f t="shared" si="8"/>
        <v>0.14572536888045629</v>
      </c>
      <c r="F119" s="857" t="s">
        <v>609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609</v>
      </c>
    </row>
    <row r="121" spans="3:10" x14ac:dyDescent="0.25">
      <c r="D121" s="857" t="s">
        <v>1709</v>
      </c>
      <c r="E121" s="811">
        <f>+F112/$E$61</f>
        <v>2.1301459071799516E-2</v>
      </c>
      <c r="F121" s="857" t="s">
        <v>609</v>
      </c>
    </row>
    <row r="122" spans="3:10" x14ac:dyDescent="0.25">
      <c r="D122" s="857"/>
      <c r="E122" s="811"/>
      <c r="F122" s="857"/>
    </row>
    <row r="124" spans="3:10" x14ac:dyDescent="0.25">
      <c r="C124" s="856" t="s">
        <v>1722</v>
      </c>
      <c r="D124" s="857" t="s">
        <v>1711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310</v>
      </c>
      <c r="B129" s="1"/>
      <c r="C129" s="1"/>
      <c r="D129" s="1"/>
      <c r="E129" s="1"/>
      <c r="F129" s="1"/>
    </row>
    <row r="130" spans="1:6" x14ac:dyDescent="0.25">
      <c r="A130" s="331" t="s">
        <v>311</v>
      </c>
      <c r="B130" s="332" t="s">
        <v>42</v>
      </c>
      <c r="C130" s="332" t="s">
        <v>312</v>
      </c>
      <c r="D130" s="332" t="s">
        <v>313</v>
      </c>
      <c r="E130" s="332" t="s">
        <v>314</v>
      </c>
      <c r="F130" s="333" t="s">
        <v>315</v>
      </c>
    </row>
    <row r="131" spans="1:6" x14ac:dyDescent="0.25">
      <c r="A131" s="1" t="s">
        <v>329</v>
      </c>
      <c r="B131" s="1"/>
      <c r="C131" s="17" t="s">
        <v>1155</v>
      </c>
      <c r="D131" s="1" t="s">
        <v>1156</v>
      </c>
      <c r="E131" s="1" t="s">
        <v>59</v>
      </c>
      <c r="F131" s="1" t="s">
        <v>328</v>
      </c>
    </row>
    <row r="132" spans="1:6" x14ac:dyDescent="0.25">
      <c r="A132" s="1"/>
      <c r="B132" s="1"/>
      <c r="C132" s="338" t="s">
        <v>1157</v>
      </c>
      <c r="D132" s="328" t="s">
        <v>1158</v>
      </c>
      <c r="E132" s="1" t="s">
        <v>59</v>
      </c>
      <c r="F132" s="1" t="s">
        <v>328</v>
      </c>
    </row>
    <row r="133" spans="1:6" x14ac:dyDescent="0.25">
      <c r="A133" s="1"/>
      <c r="B133" s="1"/>
      <c r="C133" s="342" t="s">
        <v>1159</v>
      </c>
      <c r="D133" s="328" t="s">
        <v>1160</v>
      </c>
      <c r="E133" s="1" t="s">
        <v>59</v>
      </c>
      <c r="F133" s="1" t="s">
        <v>328</v>
      </c>
    </row>
    <row r="134" spans="1:6" x14ac:dyDescent="0.25">
      <c r="A134" s="1"/>
      <c r="B134" s="1"/>
      <c r="C134" s="17" t="s">
        <v>1161</v>
      </c>
      <c r="D134" s="328" t="s">
        <v>1162</v>
      </c>
      <c r="E134" s="1" t="s">
        <v>59</v>
      </c>
      <c r="F134" s="1" t="s">
        <v>328</v>
      </c>
    </row>
    <row r="135" spans="1:6" x14ac:dyDescent="0.25">
      <c r="A135" s="328"/>
      <c r="B135" s="328"/>
      <c r="C135" s="18" t="s">
        <v>1163</v>
      </c>
      <c r="D135" s="883" t="s">
        <v>1164</v>
      </c>
      <c r="E135" s="1" t="s">
        <v>59</v>
      </c>
      <c r="F135" s="1" t="s">
        <v>328</v>
      </c>
    </row>
    <row r="136" spans="1:6" x14ac:dyDescent="0.25">
      <c r="A136" s="328"/>
      <c r="B136" s="328"/>
      <c r="C136" s="18" t="s">
        <v>1165</v>
      </c>
      <c r="D136" s="883" t="s">
        <v>1166</v>
      </c>
      <c r="E136" s="12" t="s">
        <v>59</v>
      </c>
      <c r="F136" s="344" t="s">
        <v>328</v>
      </c>
    </row>
    <row r="137" spans="1:6" x14ac:dyDescent="0.25">
      <c r="A137" s="328"/>
      <c r="B137" s="328"/>
      <c r="C137" s="18" t="s">
        <v>1167</v>
      </c>
      <c r="D137" s="328" t="s">
        <v>1168</v>
      </c>
      <c r="E137" s="328" t="s">
        <v>59</v>
      </c>
      <c r="F137" s="344" t="s">
        <v>328</v>
      </c>
    </row>
    <row r="138" spans="1:6" ht="15.75" customHeight="1" x14ac:dyDescent="0.25">
      <c r="A138" s="328"/>
      <c r="B138" s="328"/>
      <c r="C138" s="1" t="s">
        <v>1753</v>
      </c>
      <c r="D138" s="1" t="s">
        <v>1755</v>
      </c>
      <c r="E138" s="328" t="s">
        <v>59</v>
      </c>
      <c r="F138" s="344" t="s">
        <v>328</v>
      </c>
    </row>
    <row r="139" spans="1:6" x14ac:dyDescent="0.25">
      <c r="A139" s="328"/>
      <c r="B139" s="328"/>
      <c r="C139" s="1" t="s">
        <v>1754</v>
      </c>
      <c r="D139" s="1" t="s">
        <v>1756</v>
      </c>
      <c r="E139" s="328" t="s">
        <v>59</v>
      </c>
      <c r="F139" s="344" t="s">
        <v>328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990</v>
      </c>
      <c r="D145" s="1" t="s">
        <v>1174</v>
      </c>
      <c r="E145" s="1" t="s">
        <v>59</v>
      </c>
      <c r="F145" s="328"/>
    </row>
    <row r="146" spans="1:6" x14ac:dyDescent="0.25">
      <c r="A146" s="1"/>
      <c r="B146" s="1"/>
      <c r="C146" s="883" t="s">
        <v>1173</v>
      </c>
      <c r="D146" s="883" t="s">
        <v>1176</v>
      </c>
      <c r="E146" s="12" t="s">
        <v>59</v>
      </c>
      <c r="F146" s="328"/>
    </row>
    <row r="147" spans="1:6" x14ac:dyDescent="0.25">
      <c r="A147" s="1"/>
      <c r="B147" s="328"/>
      <c r="C147" s="883" t="s">
        <v>1175</v>
      </c>
      <c r="D147" s="883" t="s">
        <v>1177</v>
      </c>
      <c r="E147" s="12" t="s">
        <v>59</v>
      </c>
      <c r="F147" s="328"/>
    </row>
    <row r="148" spans="1:6" x14ac:dyDescent="0.25">
      <c r="A148" s="1"/>
      <c r="B148" s="328"/>
      <c r="C148" s="18" t="s">
        <v>1178</v>
      </c>
      <c r="D148" s="883" t="s">
        <v>1179</v>
      </c>
      <c r="E148" s="12" t="s">
        <v>59</v>
      </c>
      <c r="F148" s="328"/>
    </row>
    <row r="149" spans="1:6" x14ac:dyDescent="0.25">
      <c r="C149" s="18" t="s">
        <v>988</v>
      </c>
      <c r="D149" s="18" t="s">
        <v>1180</v>
      </c>
      <c r="E149" s="344" t="s">
        <v>59</v>
      </c>
    </row>
    <row r="150" spans="1:6" x14ac:dyDescent="0.25">
      <c r="A150" s="1"/>
      <c r="B150" s="1"/>
      <c r="C150" s="18" t="s">
        <v>989</v>
      </c>
      <c r="D150" s="18" t="s">
        <v>1181</v>
      </c>
      <c r="E150" s="344" t="s">
        <v>59</v>
      </c>
    </row>
    <row r="151" spans="1:6" x14ac:dyDescent="0.25">
      <c r="A151" s="1"/>
      <c r="B151" s="1"/>
      <c r="C151" s="18" t="s">
        <v>1759</v>
      </c>
      <c r="D151" s="883" t="s">
        <v>1757</v>
      </c>
      <c r="E151" s="344" t="s">
        <v>59</v>
      </c>
      <c r="F151" s="328"/>
    </row>
    <row r="152" spans="1:6" x14ac:dyDescent="0.25">
      <c r="A152" s="1"/>
      <c r="B152" s="1"/>
      <c r="C152" s="1" t="s">
        <v>1760</v>
      </c>
      <c r="D152" s="1" t="s">
        <v>1758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C154" s="336" t="s">
        <v>880</v>
      </c>
      <c r="D154" s="328"/>
      <c r="E154" s="1"/>
      <c r="F154" s="1"/>
    </row>
    <row r="155" spans="1:6" x14ac:dyDescent="0.25">
      <c r="C155" s="360" t="s">
        <v>312</v>
      </c>
      <c r="D155" s="360" t="s">
        <v>881</v>
      </c>
      <c r="E155" s="360" t="s">
        <v>882</v>
      </c>
      <c r="F155" s="360" t="s">
        <v>930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3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3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5" t="s">
        <v>1662</v>
      </c>
    </row>
    <row r="165" spans="3:7" x14ac:dyDescent="0.25">
      <c r="C165" s="329" t="s">
        <v>880</v>
      </c>
      <c r="D165" s="1"/>
      <c r="E165" s="1"/>
      <c r="F165" s="1"/>
      <c r="G165" s="1"/>
    </row>
    <row r="166" spans="3:7" x14ac:dyDescent="0.25">
      <c r="C166" s="334" t="s">
        <v>312</v>
      </c>
      <c r="D166" s="209" t="s">
        <v>881</v>
      </c>
      <c r="E166" s="209" t="s">
        <v>882</v>
      </c>
      <c r="F166" s="209" t="s">
        <v>1050</v>
      </c>
      <c r="G166" s="335" t="s">
        <v>930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312</v>
      </c>
      <c r="D172" s="337" t="s">
        <v>882</v>
      </c>
      <c r="E172" s="337" t="s">
        <v>1054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5" t="s">
        <v>1676</v>
      </c>
    </row>
    <row r="179" spans="3:11" x14ac:dyDescent="0.25">
      <c r="C179" s="336" t="s">
        <v>1084</v>
      </c>
      <c r="D179" s="328"/>
      <c r="E179" s="1"/>
      <c r="G179" s="283" t="s">
        <v>986</v>
      </c>
    </row>
    <row r="180" spans="3:11" ht="15.75" thickBot="1" x14ac:dyDescent="0.3">
      <c r="C180" s="354" t="s">
        <v>312</v>
      </c>
      <c r="D180" s="355" t="s">
        <v>881</v>
      </c>
      <c r="E180" s="356" t="s">
        <v>974</v>
      </c>
      <c r="G180" s="284" t="s">
        <v>43</v>
      </c>
      <c r="H180" s="285" t="s">
        <v>988</v>
      </c>
      <c r="I180" s="285" t="s">
        <v>989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1157</v>
      </c>
      <c r="D181" s="1" t="str">
        <f>+E167</f>
        <v>OIL-REF2</v>
      </c>
      <c r="E181" s="879">
        <f>1/(1+SUM($E$82:$E$86))</f>
        <v>0.91642858568641605</v>
      </c>
      <c r="G181" s="211" t="s">
        <v>935</v>
      </c>
      <c r="H181" s="212" t="s">
        <v>556</v>
      </c>
      <c r="I181" s="212" t="s">
        <v>556</v>
      </c>
      <c r="J181" s="212" t="s">
        <v>556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+E156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+E159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+E158</f>
        <v>LPG-REF2</v>
      </c>
      <c r="E185" s="879">
        <f>E86/(1+SUM($E$82:$E$86))</f>
        <v>1.8236178164874122E-3</v>
      </c>
    </row>
    <row r="186" spans="3:11" x14ac:dyDescent="0.25">
      <c r="D186" t="str">
        <f>+E157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1702</v>
      </c>
    </row>
    <row r="190" spans="3:11" x14ac:dyDescent="0.25">
      <c r="C190" s="329" t="s">
        <v>880</v>
      </c>
      <c r="D190" s="1"/>
      <c r="E190" s="1"/>
      <c r="F190" s="397"/>
      <c r="G190" s="1"/>
    </row>
    <row r="191" spans="3:11" x14ac:dyDescent="0.25">
      <c r="C191" s="355" t="s">
        <v>312</v>
      </c>
      <c r="D191" s="355" t="s">
        <v>928</v>
      </c>
      <c r="E191" s="355" t="s">
        <v>1114</v>
      </c>
      <c r="F191" s="355" t="s">
        <v>973</v>
      </c>
      <c r="G191" s="398" t="s">
        <v>974</v>
      </c>
    </row>
    <row r="192" spans="3:11" x14ac:dyDescent="0.25">
      <c r="C192" s="389" t="str">
        <f>+C133</f>
        <v>SMR-REF2</v>
      </c>
      <c r="D192" s="389" t="s">
        <v>1115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930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880</v>
      </c>
      <c r="D196" s="328"/>
      <c r="E196" s="1"/>
      <c r="F196" s="1"/>
      <c r="G196" s="1"/>
    </row>
    <row r="197" spans="3:7" x14ac:dyDescent="0.25">
      <c r="C197" s="355" t="s">
        <v>312</v>
      </c>
      <c r="D197" s="355" t="s">
        <v>881</v>
      </c>
      <c r="E197" s="355" t="s">
        <v>882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1703</v>
      </c>
    </row>
    <row r="203" spans="3:7" x14ac:dyDescent="0.25">
      <c r="C203" s="336" t="s">
        <v>1101</v>
      </c>
      <c r="D203" s="269"/>
      <c r="E203" s="207"/>
    </row>
    <row r="204" spans="3:7" x14ac:dyDescent="0.25">
      <c r="C204" s="334" t="s">
        <v>312</v>
      </c>
      <c r="D204" s="371" t="s">
        <v>882</v>
      </c>
      <c r="E204" s="372" t="s">
        <v>973</v>
      </c>
    </row>
    <row r="205" spans="3:7" x14ac:dyDescent="0.25">
      <c r="C205" s="349" t="s">
        <v>1157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1712</v>
      </c>
    </row>
    <row r="218" spans="3:7" x14ac:dyDescent="0.25">
      <c r="C218" s="381" t="s">
        <v>880</v>
      </c>
      <c r="D218" s="16"/>
      <c r="E218" s="16"/>
      <c r="F218" s="336"/>
      <c r="G218" s="16"/>
    </row>
    <row r="219" spans="3:7" x14ac:dyDescent="0.25">
      <c r="C219" s="354" t="s">
        <v>312</v>
      </c>
      <c r="D219" s="355" t="s">
        <v>928</v>
      </c>
      <c r="E219" s="355" t="s">
        <v>1114</v>
      </c>
      <c r="F219" s="355" t="s">
        <v>973</v>
      </c>
      <c r="G219" s="382" t="s">
        <v>974</v>
      </c>
    </row>
    <row r="220" spans="3:7" x14ac:dyDescent="0.25">
      <c r="C220" s="384" t="str">
        <f>+C205</f>
        <v>REF2</v>
      </c>
      <c r="D220" s="385" t="s">
        <v>1115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1115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930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1116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21" t="s">
        <v>1043</v>
      </c>
      <c r="M7" s="953"/>
      <c r="N7" s="953"/>
      <c r="O7" s="953"/>
      <c r="P7" s="953"/>
      <c r="Q7" s="953"/>
      <c r="R7" s="953"/>
      <c r="S7" s="953"/>
      <c r="T7" s="953"/>
      <c r="U7" s="9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4" t="s">
        <v>1153</v>
      </c>
      <c r="O9" s="953"/>
      <c r="P9" s="9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1154</v>
      </c>
      <c r="P10" s="321" t="s">
        <v>1046</v>
      </c>
      <c r="R10" s="955"/>
      <c r="S10" s="92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56"/>
      <c r="P12" s="323"/>
      <c r="R12" s="14"/>
      <c r="S12" s="958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57"/>
      <c r="P13" s="325"/>
      <c r="R13" s="14"/>
      <c r="S13" s="92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6" t="s">
        <v>1155</v>
      </c>
      <c r="D22" s="2" t="s">
        <v>1156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214" t="s">
        <v>1157</v>
      </c>
      <c r="D23" s="14" t="s">
        <v>1158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1159</v>
      </c>
      <c r="D24" s="14" t="s">
        <v>1160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1161</v>
      </c>
      <c r="D25" s="14" t="s">
        <v>1162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1163</v>
      </c>
      <c r="D26" s="14" t="s">
        <v>1164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1165</v>
      </c>
      <c r="D27" s="214" t="s">
        <v>1166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1167</v>
      </c>
      <c r="D28" s="214" t="s">
        <v>1168</v>
      </c>
      <c r="E28" s="214" t="s">
        <v>59</v>
      </c>
      <c r="F28" s="16" t="s">
        <v>328</v>
      </c>
      <c r="G28" s="328"/>
      <c r="L28" s="921" t="s">
        <v>1067</v>
      </c>
      <c r="M28" s="953"/>
      <c r="N28" s="953"/>
      <c r="O28" s="953"/>
      <c r="P28" s="953"/>
      <c r="Q28" s="953"/>
      <c r="R28" s="953"/>
      <c r="S28" s="953"/>
      <c r="T28" s="953"/>
      <c r="U28" s="9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1072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1169</v>
      </c>
      <c r="X33" s="12" t="s">
        <v>1170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1171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1172</v>
      </c>
      <c r="X35" s="12" t="s">
        <v>1173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1174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1077</v>
      </c>
      <c r="U36" s="305"/>
      <c r="W36" s="12" t="s">
        <v>1172</v>
      </c>
      <c r="X36" s="12" t="s">
        <v>1175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1173</v>
      </c>
      <c r="D37" s="12" t="s">
        <v>1176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1172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1175</v>
      </c>
      <c r="D38" s="12" t="s">
        <v>1177</v>
      </c>
      <c r="E38" s="12" t="s">
        <v>59</v>
      </c>
      <c r="F38" s="328"/>
      <c r="G38" s="328"/>
      <c r="W38" s="12" t="s">
        <v>1172</v>
      </c>
      <c r="X38" s="12" t="s">
        <v>1178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1178</v>
      </c>
      <c r="D39" s="12" t="s">
        <v>1179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988</v>
      </c>
      <c r="D40" s="18" t="s">
        <v>1180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1181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21" t="s">
        <v>1089</v>
      </c>
      <c r="M48" s="953"/>
      <c r="N48" s="953"/>
      <c r="O48" s="953"/>
      <c r="P48" s="953"/>
      <c r="Q48" s="953"/>
      <c r="R48" s="953"/>
      <c r="S48" s="953"/>
      <c r="T48" s="953"/>
      <c r="U48" s="9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1182</v>
      </c>
      <c r="Q54" s="24" t="s">
        <v>1183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1184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21" t="s">
        <v>1103</v>
      </c>
      <c r="M81" s="953"/>
      <c r="N81" s="953"/>
      <c r="O81" s="953"/>
      <c r="P81" s="953"/>
      <c r="Q81" s="953"/>
      <c r="R81" s="953"/>
      <c r="S81" s="953"/>
      <c r="T81" s="953"/>
      <c r="U81" s="9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1115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21" t="s">
        <v>1117</v>
      </c>
      <c r="M104" s="953"/>
      <c r="N104" s="953"/>
      <c r="O104" s="953"/>
      <c r="P104" s="953"/>
      <c r="Q104" s="953"/>
      <c r="R104" s="953"/>
      <c r="S104" s="953"/>
      <c r="T104" s="953"/>
      <c r="U104" s="9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5830000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26235000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21" t="s">
        <v>1127</v>
      </c>
      <c r="M128" s="953"/>
      <c r="N128" s="953"/>
      <c r="O128" s="953"/>
      <c r="P128" s="953"/>
      <c r="Q128" s="953"/>
      <c r="R128" s="953"/>
      <c r="S128" s="953"/>
      <c r="T128" s="953"/>
      <c r="U128" s="922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 t="s">
        <v>1185</v>
      </c>
      <c r="H131" s="1">
        <f>643+289</f>
        <v>932</v>
      </c>
      <c r="I131" s="1"/>
      <c r="L131" s="116"/>
      <c r="M131" s="330" t="s">
        <v>1134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1135</v>
      </c>
      <c r="U131" s="305"/>
      <c r="W131" s="12" t="s">
        <v>1136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 t="s">
        <v>1186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1138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1115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21" t="s">
        <v>1149</v>
      </c>
      <c r="M162" s="953"/>
      <c r="N162" s="953"/>
      <c r="O162" s="953"/>
      <c r="P162" s="953"/>
      <c r="Q162" s="953"/>
      <c r="R162" s="953"/>
      <c r="S162" s="953"/>
      <c r="T162" s="953"/>
      <c r="U162" s="9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21" t="s">
        <v>1043</v>
      </c>
      <c r="M7" s="953"/>
      <c r="N7" s="953"/>
      <c r="O7" s="953"/>
      <c r="P7" s="953"/>
      <c r="Q7" s="953"/>
      <c r="R7" s="953"/>
      <c r="S7" s="953"/>
      <c r="T7" s="953"/>
      <c r="U7" s="9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4" t="s">
        <v>1044</v>
      </c>
      <c r="O9" s="953"/>
      <c r="P9" s="9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955"/>
      <c r="S10" s="92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56"/>
      <c r="P12" s="323"/>
      <c r="R12" s="14"/>
      <c r="S12" s="958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57"/>
      <c r="P13" s="325"/>
      <c r="R13" s="14"/>
      <c r="S13" s="92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7" t="s">
        <v>1051</v>
      </c>
      <c r="D22" s="1" t="s">
        <v>1052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1053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338" t="s">
        <v>1055</v>
      </c>
      <c r="D23" s="328" t="s">
        <v>1056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1057</v>
      </c>
      <c r="D24" s="328" t="s">
        <v>1058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1059</v>
      </c>
      <c r="D25" s="328" t="s">
        <v>1060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1061</v>
      </c>
      <c r="D26" s="12" t="s">
        <v>1062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1063</v>
      </c>
      <c r="D27" s="12" t="s">
        <v>1064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1065</v>
      </c>
      <c r="D28" s="328" t="s">
        <v>1066</v>
      </c>
      <c r="E28" s="328" t="s">
        <v>59</v>
      </c>
      <c r="F28" s="344" t="s">
        <v>328</v>
      </c>
      <c r="G28" s="328"/>
      <c r="L28" s="921" t="s">
        <v>1067</v>
      </c>
      <c r="M28" s="953"/>
      <c r="N28" s="953"/>
      <c r="O28" s="953"/>
      <c r="P28" s="953"/>
      <c r="Q28" s="953"/>
      <c r="R28" s="953"/>
      <c r="S28" s="953"/>
      <c r="T28" s="953"/>
      <c r="U28" s="9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1072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1053</v>
      </c>
      <c r="D36" s="1" t="s">
        <v>1075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1077</v>
      </c>
      <c r="U36" s="305"/>
    </row>
    <row r="37" spans="1:21" ht="15.75" customHeight="1" x14ac:dyDescent="0.25">
      <c r="A37" s="1"/>
      <c r="B37" s="1"/>
      <c r="C37" s="12" t="s">
        <v>1078</v>
      </c>
      <c r="D37" s="12" t="s">
        <v>1079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1080</v>
      </c>
      <c r="D38" s="12" t="s">
        <v>1081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1082</v>
      </c>
      <c r="D39" s="12" t="s">
        <v>1083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1085</v>
      </c>
      <c r="D40" s="18" t="s">
        <v>1086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1087</v>
      </c>
      <c r="D41" s="18" t="s">
        <v>1088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21" t="s">
        <v>1089</v>
      </c>
      <c r="M48" s="953"/>
      <c r="N48" s="953"/>
      <c r="O48" s="953"/>
      <c r="P48" s="953"/>
      <c r="Q48" s="953"/>
      <c r="R48" s="953"/>
      <c r="S48" s="953"/>
      <c r="T48" s="953"/>
      <c r="U48" s="9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1094</v>
      </c>
      <c r="Q54" s="345" t="s">
        <v>1095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1097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1099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1102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21" t="s">
        <v>1103</v>
      </c>
      <c r="M81" s="953"/>
      <c r="N81" s="953"/>
      <c r="O81" s="953"/>
      <c r="P81" s="953"/>
      <c r="Q81" s="953"/>
      <c r="R81" s="953"/>
      <c r="S81" s="953"/>
      <c r="T81" s="953"/>
      <c r="U81" s="9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1115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21" t="s">
        <v>1117</v>
      </c>
      <c r="M104" s="953"/>
      <c r="N104" s="953"/>
      <c r="O104" s="953"/>
      <c r="P104" s="953"/>
      <c r="Q104" s="953"/>
      <c r="R104" s="953"/>
      <c r="S104" s="953"/>
      <c r="T104" s="953"/>
      <c r="U104" s="9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74825000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336712500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1057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21" t="s">
        <v>1127</v>
      </c>
      <c r="M128" s="953"/>
      <c r="N128" s="953"/>
      <c r="O128" s="953"/>
      <c r="P128" s="953"/>
      <c r="Q128" s="953"/>
      <c r="R128" s="953"/>
      <c r="S128" s="953"/>
      <c r="T128" s="953"/>
      <c r="U128" s="922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1134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1135</v>
      </c>
      <c r="U131" s="305"/>
      <c r="W131" s="12" t="s">
        <v>1136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1138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1115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21" t="s">
        <v>1149</v>
      </c>
      <c r="M162" s="953"/>
      <c r="N162" s="953"/>
      <c r="O162" s="953"/>
      <c r="P162" s="953"/>
      <c r="Q162" s="953"/>
      <c r="R162" s="953"/>
      <c r="S162" s="953"/>
      <c r="T162" s="953"/>
      <c r="U162" s="9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59" t="s">
        <v>1187</v>
      </c>
      <c r="E2" s="960"/>
      <c r="F2" s="960"/>
      <c r="G2" s="960"/>
      <c r="H2" s="961"/>
    </row>
    <row r="3" spans="1:23" x14ac:dyDescent="0.25">
      <c r="D3" s="426"/>
      <c r="E3" s="962" t="s">
        <v>1188</v>
      </c>
      <c r="F3" s="963"/>
      <c r="G3" s="962" t="s">
        <v>1189</v>
      </c>
      <c r="H3" s="963"/>
    </row>
    <row r="4" spans="1:23" x14ac:dyDescent="0.25">
      <c r="A4" s="12" t="s">
        <v>1190</v>
      </c>
      <c r="D4" s="2"/>
      <c r="E4" s="2" t="s">
        <v>1191</v>
      </c>
      <c r="F4" s="2" t="s">
        <v>1192</v>
      </c>
      <c r="G4" s="2" t="s">
        <v>1191</v>
      </c>
      <c r="H4" s="2" t="s">
        <v>1192</v>
      </c>
    </row>
    <row r="5" spans="1:23" x14ac:dyDescent="0.25">
      <c r="A5" s="12" t="s">
        <v>911</v>
      </c>
      <c r="B5" s="12">
        <v>15</v>
      </c>
      <c r="D5" s="16" t="s">
        <v>1193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1194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1195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1196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64" t="s">
        <v>1197</v>
      </c>
      <c r="O11" s="920"/>
      <c r="P11" s="920"/>
      <c r="Q11" s="920"/>
      <c r="R11" s="920"/>
      <c r="S11" s="920"/>
      <c r="T11" s="920"/>
      <c r="U11" s="920"/>
      <c r="V11" s="99"/>
      <c r="W11" s="99"/>
    </row>
    <row r="12" spans="1:23" ht="37.5" x14ac:dyDescent="0.25">
      <c r="A12" s="12" t="s">
        <v>1198</v>
      </c>
      <c r="C12" s="428" t="s">
        <v>1199</v>
      </c>
      <c r="D12" s="428" t="s">
        <v>1200</v>
      </c>
      <c r="E12" s="428" t="s">
        <v>1201</v>
      </c>
      <c r="F12" s="428" t="s">
        <v>1202</v>
      </c>
      <c r="G12" s="428" t="s">
        <v>1203</v>
      </c>
      <c r="H12" s="428" t="s">
        <v>1204</v>
      </c>
      <c r="I12" s="429"/>
      <c r="J12" s="428" t="s">
        <v>1205</v>
      </c>
      <c r="K12" s="430" t="s">
        <v>1206</v>
      </c>
      <c r="L12" s="430" t="s">
        <v>1207</v>
      </c>
      <c r="M12" s="430" t="s">
        <v>1208</v>
      </c>
      <c r="N12" s="428" t="s">
        <v>1209</v>
      </c>
      <c r="O12" s="428" t="s">
        <v>1210</v>
      </c>
      <c r="P12" s="428" t="s">
        <v>1211</v>
      </c>
      <c r="Q12" s="428" t="s">
        <v>1212</v>
      </c>
      <c r="R12" s="428" t="s">
        <v>1213</v>
      </c>
      <c r="S12" s="428" t="s">
        <v>1214</v>
      </c>
      <c r="T12" s="428" t="s">
        <v>1215</v>
      </c>
      <c r="U12" s="428" t="s">
        <v>1216</v>
      </c>
      <c r="V12" s="428" t="s">
        <v>1217</v>
      </c>
      <c r="W12" s="430" t="s">
        <v>1218</v>
      </c>
    </row>
    <row r="13" spans="1:23" x14ac:dyDescent="0.25">
      <c r="C13" s="431" t="s">
        <v>1219</v>
      </c>
      <c r="D13" s="432" t="s">
        <v>1220</v>
      </c>
      <c r="E13" s="432" t="s">
        <v>1221</v>
      </c>
      <c r="F13" s="432" t="s">
        <v>1222</v>
      </c>
      <c r="G13" s="433" t="s">
        <v>1223</v>
      </c>
      <c r="H13" s="431" t="s">
        <v>1099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1219</v>
      </c>
      <c r="D14" s="432" t="s">
        <v>1220</v>
      </c>
      <c r="E14" s="432" t="s">
        <v>1221</v>
      </c>
      <c r="F14" s="432" t="s">
        <v>1222</v>
      </c>
      <c r="G14" s="433" t="s">
        <v>1224</v>
      </c>
      <c r="H14" s="431" t="s">
        <v>1099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1219</v>
      </c>
      <c r="D15" s="432" t="s">
        <v>1220</v>
      </c>
      <c r="E15" s="432" t="s">
        <v>1225</v>
      </c>
      <c r="F15" s="432" t="s">
        <v>1226</v>
      </c>
      <c r="G15" s="433" t="s">
        <v>1227</v>
      </c>
      <c r="H15" s="431" t="s">
        <v>1099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1219</v>
      </c>
      <c r="D16" s="432" t="s">
        <v>1220</v>
      </c>
      <c r="E16" s="432" t="s">
        <v>1228</v>
      </c>
      <c r="F16" s="432" t="s">
        <v>1226</v>
      </c>
      <c r="G16" s="433" t="s">
        <v>1229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1219</v>
      </c>
      <c r="D17" s="432" t="s">
        <v>1220</v>
      </c>
      <c r="E17" s="432" t="s">
        <v>1230</v>
      </c>
      <c r="F17" s="432" t="s">
        <v>1226</v>
      </c>
      <c r="G17" s="433" t="s">
        <v>1231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1219</v>
      </c>
      <c r="D18" s="432" t="s">
        <v>1220</v>
      </c>
      <c r="E18" s="432" t="s">
        <v>1232</v>
      </c>
      <c r="F18" s="432" t="s">
        <v>1226</v>
      </c>
      <c r="G18" s="433" t="s">
        <v>1233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1219</v>
      </c>
      <c r="D19" s="432" t="s">
        <v>1220</v>
      </c>
      <c r="E19" s="432" t="s">
        <v>1232</v>
      </c>
      <c r="F19" s="432" t="s">
        <v>1226</v>
      </c>
      <c r="G19" s="433" t="s">
        <v>1234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1219</v>
      </c>
      <c r="D20" s="432" t="s">
        <v>1220</v>
      </c>
      <c r="E20" s="432" t="s">
        <v>1235</v>
      </c>
      <c r="F20" s="432" t="s">
        <v>1226</v>
      </c>
      <c r="G20" s="433" t="s">
        <v>1236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1219</v>
      </c>
      <c r="D21" s="432" t="s">
        <v>1220</v>
      </c>
      <c r="E21" s="432" t="s">
        <v>1237</v>
      </c>
      <c r="F21" s="432" t="s">
        <v>1226</v>
      </c>
      <c r="G21" s="433" t="s">
        <v>1238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1219</v>
      </c>
      <c r="D22" s="432" t="s">
        <v>1220</v>
      </c>
      <c r="E22" s="432" t="s">
        <v>1239</v>
      </c>
      <c r="F22" s="432" t="s">
        <v>1226</v>
      </c>
      <c r="G22" s="433" t="s">
        <v>1240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1219</v>
      </c>
      <c r="D23" s="432" t="s">
        <v>1220</v>
      </c>
      <c r="E23" s="432" t="s">
        <v>1239</v>
      </c>
      <c r="F23" s="432" t="s">
        <v>1226</v>
      </c>
      <c r="G23" s="433" t="s">
        <v>1241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1219</v>
      </c>
      <c r="D24" s="432" t="s">
        <v>1220</v>
      </c>
      <c r="E24" s="432" t="s">
        <v>1242</v>
      </c>
      <c r="F24" s="432" t="s">
        <v>1226</v>
      </c>
      <c r="G24" s="433" t="s">
        <v>1243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1219</v>
      </c>
      <c r="D25" s="432" t="s">
        <v>1220</v>
      </c>
      <c r="E25" s="432" t="s">
        <v>1244</v>
      </c>
      <c r="F25" s="432" t="s">
        <v>1245</v>
      </c>
      <c r="G25" s="433" t="s">
        <v>1244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1219</v>
      </c>
      <c r="D26" s="432" t="s">
        <v>1220</v>
      </c>
      <c r="E26" s="432" t="s">
        <v>1246</v>
      </c>
      <c r="F26" s="432" t="s">
        <v>1247</v>
      </c>
      <c r="G26" s="433" t="s">
        <v>1248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1219</v>
      </c>
      <c r="D27" s="432" t="s">
        <v>1220</v>
      </c>
      <c r="E27" s="432" t="s">
        <v>1249</v>
      </c>
      <c r="F27" s="432" t="s">
        <v>1247</v>
      </c>
      <c r="G27" s="433" t="s">
        <v>1250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1219</v>
      </c>
      <c r="D28" s="432" t="s">
        <v>1220</v>
      </c>
      <c r="E28" s="432" t="s">
        <v>1251</v>
      </c>
      <c r="F28" s="432" t="s">
        <v>1247</v>
      </c>
      <c r="G28" s="433" t="s">
        <v>1252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1219</v>
      </c>
      <c r="D29" s="432" t="s">
        <v>1220</v>
      </c>
      <c r="E29" s="432" t="s">
        <v>1253</v>
      </c>
      <c r="F29" s="432" t="s">
        <v>1247</v>
      </c>
      <c r="G29" s="433" t="s">
        <v>1254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1219</v>
      </c>
      <c r="D30" s="432" t="s">
        <v>1220</v>
      </c>
      <c r="E30" s="432" t="s">
        <v>1255</v>
      </c>
      <c r="F30" s="432" t="s">
        <v>1256</v>
      </c>
      <c r="G30" s="433" t="s">
        <v>1257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1219</v>
      </c>
      <c r="D31" s="432" t="s">
        <v>1220</v>
      </c>
      <c r="E31" s="432" t="s">
        <v>1258</v>
      </c>
      <c r="F31" s="432" t="s">
        <v>1256</v>
      </c>
      <c r="G31" s="433" t="s">
        <v>1259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1219</v>
      </c>
      <c r="D32" s="432" t="s">
        <v>1220</v>
      </c>
      <c r="E32" s="432" t="s">
        <v>1260</v>
      </c>
      <c r="F32" s="432" t="s">
        <v>1256</v>
      </c>
      <c r="G32" s="438" t="s">
        <v>1261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1262</v>
      </c>
      <c r="D33" s="242" t="s">
        <v>1220</v>
      </c>
      <c r="E33" s="242" t="s">
        <v>1263</v>
      </c>
      <c r="F33" s="242" t="s">
        <v>1264</v>
      </c>
      <c r="G33" s="440" t="s">
        <v>1265</v>
      </c>
      <c r="H33" s="441" t="s">
        <v>1099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1266</v>
      </c>
      <c r="D34" s="242" t="s">
        <v>1220</v>
      </c>
      <c r="E34" s="242" t="s">
        <v>1267</v>
      </c>
      <c r="F34" s="242" t="s">
        <v>1264</v>
      </c>
      <c r="G34" s="440" t="s">
        <v>1268</v>
      </c>
      <c r="H34" s="441" t="s">
        <v>1099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1266</v>
      </c>
      <c r="D35" s="242" t="s">
        <v>1220</v>
      </c>
      <c r="E35" s="242" t="s">
        <v>1267</v>
      </c>
      <c r="F35" s="242" t="s">
        <v>1264</v>
      </c>
      <c r="G35" s="440" t="s">
        <v>1269</v>
      </c>
      <c r="H35" s="441" t="s">
        <v>1099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1270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19" t="s">
        <v>7</v>
      </c>
      <c r="H59" s="920"/>
      <c r="J59" s="965" t="s">
        <v>686</v>
      </c>
      <c r="K59" s="920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1271</v>
      </c>
      <c r="F61" s="432" t="s">
        <v>1222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1272</v>
      </c>
      <c r="F62" s="432" t="s">
        <v>1226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1245</v>
      </c>
      <c r="F63" s="432" t="s">
        <v>1245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1273</v>
      </c>
      <c r="F64" s="432" t="s">
        <v>1247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1274</v>
      </c>
      <c r="F65" s="432" t="s">
        <v>1256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1220</v>
      </c>
      <c r="L80" s="12" t="s">
        <v>1275</v>
      </c>
    </row>
    <row r="81" spans="5:15" ht="15.75" customHeight="1" x14ac:dyDescent="0.25">
      <c r="E81" s="447" t="s">
        <v>1219</v>
      </c>
      <c r="F81" s="359" t="s">
        <v>1276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1219</v>
      </c>
      <c r="F82" s="359" t="s">
        <v>1277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1278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1279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1219</v>
      </c>
      <c r="F85" s="359" t="s">
        <v>1280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1219</v>
      </c>
      <c r="F86" s="359" t="s">
        <v>1281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1219</v>
      </c>
      <c r="F87" s="359" t="s">
        <v>1282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1219</v>
      </c>
      <c r="F88" s="359" t="s">
        <v>1283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1278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1219</v>
      </c>
      <c r="F90" s="359" t="s">
        <v>1284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1285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1286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1219</v>
      </c>
      <c r="F93" s="359" t="s">
        <v>1287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19" t="s">
        <v>1288</v>
      </c>
      <c r="F103" s="920"/>
    </row>
    <row r="104" spans="5:15" ht="15.75" customHeight="1" x14ac:dyDescent="0.25">
      <c r="E104" s="14"/>
      <c r="F104" s="14" t="s">
        <v>1220</v>
      </c>
      <c r="G104" s="12" t="s">
        <v>1289</v>
      </c>
      <c r="H104" s="12" t="s">
        <v>1290</v>
      </c>
      <c r="I104" s="12" t="s">
        <v>1291</v>
      </c>
      <c r="J104" s="12" t="s">
        <v>1292</v>
      </c>
      <c r="K104" s="12" t="s">
        <v>1293</v>
      </c>
      <c r="L104" s="12" t="s">
        <v>1294</v>
      </c>
      <c r="M104" s="12" t="s">
        <v>1295</v>
      </c>
      <c r="N104" s="12" t="s">
        <v>1296</v>
      </c>
      <c r="O104" s="12" t="s">
        <v>1297</v>
      </c>
    </row>
    <row r="105" spans="5:15" ht="15.75" customHeight="1" x14ac:dyDescent="0.25">
      <c r="E105" s="14" t="s">
        <v>1298</v>
      </c>
      <c r="F105" s="14" t="s">
        <v>1299</v>
      </c>
    </row>
    <row r="106" spans="5:15" ht="15.75" customHeight="1" x14ac:dyDescent="0.25">
      <c r="E106" s="13" t="s">
        <v>1265</v>
      </c>
      <c r="F106" s="14" t="s">
        <v>1300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1301</v>
      </c>
      <c r="F107" s="14" t="s">
        <v>1302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1303</v>
      </c>
      <c r="F108" s="14" t="s">
        <v>1299</v>
      </c>
    </row>
    <row r="109" spans="5:15" ht="15.75" customHeight="1" x14ac:dyDescent="0.25">
      <c r="E109" s="14" t="s">
        <v>1304</v>
      </c>
      <c r="F109" s="14" t="s">
        <v>1299</v>
      </c>
    </row>
    <row r="110" spans="5:15" ht="15.75" customHeight="1" x14ac:dyDescent="0.25">
      <c r="E110" s="14" t="s">
        <v>1305</v>
      </c>
      <c r="F110" s="14" t="s">
        <v>1299</v>
      </c>
    </row>
    <row r="111" spans="5:15" ht="15.75" customHeight="1" x14ac:dyDescent="0.25">
      <c r="E111" s="14" t="s">
        <v>1306</v>
      </c>
      <c r="F111" s="14" t="s">
        <v>1299</v>
      </c>
    </row>
    <row r="112" spans="5:15" ht="15.75" customHeight="1" x14ac:dyDescent="0.25">
      <c r="E112" s="13" t="s">
        <v>1269</v>
      </c>
      <c r="F112" s="14" t="s">
        <v>1300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1307</v>
      </c>
      <c r="F113" s="14" t="s">
        <v>1299</v>
      </c>
    </row>
    <row r="114" spans="5:6" ht="15.75" customHeight="1" x14ac:dyDescent="0.25">
      <c r="E114" s="14" t="s">
        <v>1308</v>
      </c>
      <c r="F114" s="14"/>
    </row>
    <row r="115" spans="5:6" ht="15.75" customHeight="1" x14ac:dyDescent="0.25">
      <c r="E115" s="14" t="s">
        <v>1309</v>
      </c>
      <c r="F115" s="14" t="s">
        <v>1299</v>
      </c>
    </row>
    <row r="116" spans="5:6" ht="15.75" customHeight="1" x14ac:dyDescent="0.25">
      <c r="E116" s="14" t="s">
        <v>1310</v>
      </c>
      <c r="F116" s="14" t="s">
        <v>1299</v>
      </c>
    </row>
    <row r="117" spans="5:6" ht="15.75" customHeight="1" x14ac:dyDescent="0.25">
      <c r="E117" s="14" t="s">
        <v>1311</v>
      </c>
      <c r="F117" s="14" t="s">
        <v>1299</v>
      </c>
    </row>
    <row r="118" spans="5:6" ht="15.75" customHeight="1" x14ac:dyDescent="0.25">
      <c r="E118" s="14" t="s">
        <v>1312</v>
      </c>
      <c r="F118" s="14" t="s">
        <v>1299</v>
      </c>
    </row>
    <row r="119" spans="5:6" ht="15.75" customHeight="1" x14ac:dyDescent="0.25">
      <c r="E119" s="14" t="s">
        <v>1313</v>
      </c>
      <c r="F119" s="14" t="s">
        <v>1299</v>
      </c>
    </row>
    <row r="120" spans="5:6" ht="15.75" customHeight="1" x14ac:dyDescent="0.25">
      <c r="E120" s="14" t="s">
        <v>1314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>
      <selection activeCell="J6" sqref="J6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1315</v>
      </c>
      <c r="T1" s="12">
        <v>5.7</v>
      </c>
      <c r="U1" s="12" t="s">
        <v>1316</v>
      </c>
    </row>
    <row r="2" spans="8:61" x14ac:dyDescent="0.25">
      <c r="L2" s="306"/>
      <c r="M2" s="306"/>
      <c r="Q2" s="12">
        <f>+Q1/1000</f>
        <v>6.0871741676095338E-3</v>
      </c>
      <c r="R2" s="12" t="s">
        <v>1317</v>
      </c>
      <c r="T2" s="12">
        <f>+T1/1000</f>
        <v>5.7000000000000002E-3</v>
      </c>
      <c r="U2" s="12" t="s">
        <v>1317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1318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1319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1319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1199</v>
      </c>
      <c r="I5" s="456" t="s">
        <v>1200</v>
      </c>
      <c r="J5" s="426" t="s">
        <v>1201</v>
      </c>
      <c r="K5" s="456" t="s">
        <v>1202</v>
      </c>
      <c r="L5" s="456" t="s">
        <v>1203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1320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1321</v>
      </c>
      <c r="AT5" s="446" t="s">
        <v>1322</v>
      </c>
      <c r="AU5" s="12" t="s">
        <v>1323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1321</v>
      </c>
    </row>
    <row r="6" spans="8:61" ht="15.75" x14ac:dyDescent="0.25">
      <c r="H6" s="431" t="s">
        <v>1219</v>
      </c>
      <c r="I6" s="432" t="s">
        <v>1220</v>
      </c>
      <c r="J6" s="432" t="s">
        <v>1221</v>
      </c>
      <c r="K6" s="432" t="s">
        <v>1222</v>
      </c>
      <c r="L6" s="433" t="s">
        <v>1223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1223</v>
      </c>
      <c r="AS6" s="205"/>
      <c r="AT6" s="472" t="s">
        <v>1324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1219</v>
      </c>
      <c r="I7" s="432" t="s">
        <v>1220</v>
      </c>
      <c r="J7" s="432" t="s">
        <v>1221</v>
      </c>
      <c r="K7" s="432" t="s">
        <v>1222</v>
      </c>
      <c r="L7" s="433" t="s">
        <v>1224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1224</v>
      </c>
      <c r="AT7" s="476" t="s">
        <v>1325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1219</v>
      </c>
      <c r="I8" s="432" t="s">
        <v>1220</v>
      </c>
      <c r="J8" s="432" t="s">
        <v>1225</v>
      </c>
      <c r="K8" s="432" t="s">
        <v>1226</v>
      </c>
      <c r="L8" s="433" t="s">
        <v>1227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1227</v>
      </c>
      <c r="AT8" s="479" t="s">
        <v>1326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1219</v>
      </c>
      <c r="I9" s="432" t="s">
        <v>1220</v>
      </c>
      <c r="J9" s="432" t="s">
        <v>1228</v>
      </c>
      <c r="K9" s="432" t="s">
        <v>1226</v>
      </c>
      <c r="L9" s="433" t="s">
        <v>1229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1229</v>
      </c>
      <c r="AT9" s="479" t="s">
        <v>1327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1219</v>
      </c>
      <c r="I10" s="432" t="s">
        <v>1220</v>
      </c>
      <c r="J10" s="432" t="s">
        <v>1230</v>
      </c>
      <c r="K10" s="432" t="s">
        <v>1226</v>
      </c>
      <c r="L10" s="433" t="s">
        <v>1231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1231</v>
      </c>
      <c r="AT10" s="479" t="s">
        <v>1328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1219</v>
      </c>
      <c r="I11" s="432" t="s">
        <v>1220</v>
      </c>
      <c r="J11" s="432" t="s">
        <v>1232</v>
      </c>
      <c r="K11" s="432" t="s">
        <v>1226</v>
      </c>
      <c r="L11" s="433" t="s">
        <v>1233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1233</v>
      </c>
      <c r="AT11" s="480" t="s">
        <v>1329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1219</v>
      </c>
      <c r="I12" s="432" t="s">
        <v>1220</v>
      </c>
      <c r="J12" s="432" t="s">
        <v>1232</v>
      </c>
      <c r="K12" s="432" t="s">
        <v>1226</v>
      </c>
      <c r="L12" s="433" t="s">
        <v>1234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1234</v>
      </c>
      <c r="AT12" s="484"/>
    </row>
    <row r="13" spans="8:61" x14ac:dyDescent="0.25">
      <c r="H13" s="431" t="s">
        <v>1219</v>
      </c>
      <c r="I13" s="432" t="s">
        <v>1220</v>
      </c>
      <c r="J13" s="432" t="s">
        <v>1235</v>
      </c>
      <c r="K13" s="432" t="s">
        <v>1226</v>
      </c>
      <c r="L13" s="433" t="s">
        <v>1236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1236</v>
      </c>
      <c r="AV13" s="293">
        <f>+SUM(AV6:BH11)</f>
        <v>5175.1741990991441</v>
      </c>
    </row>
    <row r="14" spans="8:61" ht="25.5" x14ac:dyDescent="0.25">
      <c r="H14" s="431" t="s">
        <v>1219</v>
      </c>
      <c r="I14" s="432" t="s">
        <v>1220</v>
      </c>
      <c r="J14" s="432" t="s">
        <v>1237</v>
      </c>
      <c r="K14" s="432" t="s">
        <v>1226</v>
      </c>
      <c r="L14" s="433" t="s">
        <v>1238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1238</v>
      </c>
    </row>
    <row r="15" spans="8:61" x14ac:dyDescent="0.25">
      <c r="H15" s="431" t="s">
        <v>1219</v>
      </c>
      <c r="I15" s="432" t="s">
        <v>1220</v>
      </c>
      <c r="J15" s="432" t="s">
        <v>1239</v>
      </c>
      <c r="K15" s="432" t="s">
        <v>1226</v>
      </c>
      <c r="L15" s="433" t="s">
        <v>1240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1240</v>
      </c>
      <c r="BI15" s="12">
        <f>15*BI11</f>
        <v>-10.906059809289212</v>
      </c>
    </row>
    <row r="16" spans="8:61" x14ac:dyDescent="0.25">
      <c r="H16" s="431" t="s">
        <v>1219</v>
      </c>
      <c r="I16" s="432" t="s">
        <v>1220</v>
      </c>
      <c r="J16" s="432" t="s">
        <v>1239</v>
      </c>
      <c r="K16" s="432" t="s">
        <v>1226</v>
      </c>
      <c r="L16" s="433" t="s">
        <v>1241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1241</v>
      </c>
      <c r="BI16" s="293">
        <f>+AV11+BI15</f>
        <v>11.839307116564433</v>
      </c>
    </row>
    <row r="17" spans="1:61" x14ac:dyDescent="0.25">
      <c r="H17" s="431" t="s">
        <v>1219</v>
      </c>
      <c r="I17" s="432" t="s">
        <v>1220</v>
      </c>
      <c r="J17" s="432" t="s">
        <v>1242</v>
      </c>
      <c r="K17" s="432" t="s">
        <v>1226</v>
      </c>
      <c r="L17" s="433" t="s">
        <v>1243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1243</v>
      </c>
      <c r="BH17" s="293"/>
    </row>
    <row r="18" spans="1:61" x14ac:dyDescent="0.25">
      <c r="H18" s="431" t="s">
        <v>1219</v>
      </c>
      <c r="I18" s="432" t="s">
        <v>1220</v>
      </c>
      <c r="J18" s="432" t="s">
        <v>1244</v>
      </c>
      <c r="K18" s="432" t="s">
        <v>1245</v>
      </c>
      <c r="L18" s="433" t="s">
        <v>1244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1244</v>
      </c>
      <c r="BI18" s="485"/>
    </row>
    <row r="19" spans="1:61" x14ac:dyDescent="0.25">
      <c r="H19" s="431" t="s">
        <v>1219</v>
      </c>
      <c r="I19" s="432" t="s">
        <v>1220</v>
      </c>
      <c r="J19" s="432" t="s">
        <v>1246</v>
      </c>
      <c r="K19" s="432" t="s">
        <v>1247</v>
      </c>
      <c r="L19" s="433" t="s">
        <v>1248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1248</v>
      </c>
    </row>
    <row r="20" spans="1:61" x14ac:dyDescent="0.25">
      <c r="H20" s="431" t="s">
        <v>1219</v>
      </c>
      <c r="I20" s="432" t="s">
        <v>1220</v>
      </c>
      <c r="J20" s="432" t="s">
        <v>1249</v>
      </c>
      <c r="K20" s="432" t="s">
        <v>1247</v>
      </c>
      <c r="L20" s="433" t="s">
        <v>1250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1250</v>
      </c>
    </row>
    <row r="21" spans="1:61" ht="15.75" customHeight="1" x14ac:dyDescent="0.25">
      <c r="H21" s="431" t="s">
        <v>1219</v>
      </c>
      <c r="I21" s="432" t="s">
        <v>1220</v>
      </c>
      <c r="J21" s="432" t="s">
        <v>1251</v>
      </c>
      <c r="K21" s="432" t="s">
        <v>1247</v>
      </c>
      <c r="L21" s="433" t="s">
        <v>1252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1252</v>
      </c>
    </row>
    <row r="22" spans="1:61" ht="15.75" customHeight="1" x14ac:dyDescent="0.25">
      <c r="H22" s="431" t="s">
        <v>1219</v>
      </c>
      <c r="I22" s="432" t="s">
        <v>1220</v>
      </c>
      <c r="J22" s="432" t="s">
        <v>1253</v>
      </c>
      <c r="K22" s="432" t="s">
        <v>1247</v>
      </c>
      <c r="L22" s="433" t="s">
        <v>1254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1254</v>
      </c>
    </row>
    <row r="23" spans="1:61" ht="15.75" customHeight="1" x14ac:dyDescent="0.25">
      <c r="H23" s="431" t="s">
        <v>1219</v>
      </c>
      <c r="I23" s="432" t="s">
        <v>1220</v>
      </c>
      <c r="J23" s="432" t="s">
        <v>1255</v>
      </c>
      <c r="K23" s="432" t="s">
        <v>1256</v>
      </c>
      <c r="L23" s="433" t="s">
        <v>1257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1257</v>
      </c>
    </row>
    <row r="24" spans="1:61" ht="15.75" customHeight="1" x14ac:dyDescent="0.25">
      <c r="H24" s="431" t="s">
        <v>1219</v>
      </c>
      <c r="I24" s="432" t="s">
        <v>1220</v>
      </c>
      <c r="J24" s="432" t="s">
        <v>1258</v>
      </c>
      <c r="K24" s="432" t="s">
        <v>1256</v>
      </c>
      <c r="L24" s="433" t="s">
        <v>1259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1259</v>
      </c>
    </row>
    <row r="25" spans="1:61" ht="15.75" customHeight="1" x14ac:dyDescent="0.25">
      <c r="H25" s="431" t="s">
        <v>1219</v>
      </c>
      <c r="I25" s="432" t="s">
        <v>1220</v>
      </c>
      <c r="J25" s="432" t="s">
        <v>1260</v>
      </c>
      <c r="K25" s="432" t="s">
        <v>1256</v>
      </c>
      <c r="L25" s="438" t="s">
        <v>1261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1261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1265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1265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1268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1268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1269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1269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1323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1330</v>
      </c>
      <c r="L35" s="306"/>
      <c r="M35" s="306"/>
    </row>
    <row r="36" spans="1:43" ht="15.75" customHeight="1" x14ac:dyDescent="0.25">
      <c r="I36" s="12">
        <v>1</v>
      </c>
      <c r="J36" s="12" t="s">
        <v>1331</v>
      </c>
      <c r="L36" s="306"/>
      <c r="M36" s="306"/>
    </row>
    <row r="37" spans="1:43" ht="15.75" customHeight="1" x14ac:dyDescent="0.25">
      <c r="D37" s="14" t="s">
        <v>1323</v>
      </c>
      <c r="E37" s="14" t="s">
        <v>1323</v>
      </c>
      <c r="L37" s="306"/>
      <c r="M37" s="492"/>
      <c r="N37" s="966" t="s">
        <v>1332</v>
      </c>
      <c r="O37" s="917"/>
      <c r="P37" s="917"/>
      <c r="Q37" s="917"/>
      <c r="R37" s="917"/>
      <c r="S37" s="917"/>
      <c r="T37" s="917"/>
      <c r="U37" s="917"/>
      <c r="V37" s="917"/>
      <c r="W37" s="918"/>
      <c r="X37" s="492"/>
      <c r="Y37" s="492"/>
      <c r="Z37" s="492"/>
      <c r="AE37" s="967" t="s">
        <v>1333</v>
      </c>
      <c r="AF37" s="917"/>
      <c r="AG37" s="917"/>
      <c r="AH37" s="917"/>
      <c r="AI37" s="917"/>
      <c r="AJ37" s="917"/>
      <c r="AK37" s="917"/>
      <c r="AL37" s="917"/>
      <c r="AM37" s="917"/>
      <c r="AN37" s="918"/>
      <c r="AO37" s="216"/>
      <c r="AP37" s="216"/>
      <c r="AQ37" s="216"/>
    </row>
    <row r="38" spans="1:43" ht="15.75" customHeight="1" x14ac:dyDescent="0.25">
      <c r="D38" s="12" t="s">
        <v>1334</v>
      </c>
      <c r="E38" s="493" t="str">
        <f>"-RR2050"</f>
        <v>-RR2050</v>
      </c>
      <c r="F38" s="446" t="s">
        <v>1335</v>
      </c>
      <c r="G38" s="446" t="s">
        <v>1336</v>
      </c>
      <c r="H38" s="446" t="s">
        <v>1337</v>
      </c>
      <c r="I38" s="446" t="s">
        <v>1338</v>
      </c>
      <c r="J38" s="446" t="s">
        <v>1339</v>
      </c>
      <c r="K38" s="446" t="s">
        <v>1340</v>
      </c>
      <c r="L38" s="494" t="s">
        <v>1341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1342</v>
      </c>
      <c r="AB38" s="466" t="s">
        <v>1343</v>
      </c>
      <c r="AC38" s="499" t="s">
        <v>1344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1345</v>
      </c>
      <c r="C39" s="12" t="s">
        <v>1241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1241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1345</v>
      </c>
      <c r="C40" s="12" t="s">
        <v>1243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1243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1345</v>
      </c>
      <c r="C41" s="12" t="s">
        <v>1346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1346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1345</v>
      </c>
      <c r="C42" s="12" t="s">
        <v>1224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1224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1345</v>
      </c>
      <c r="C43" s="12" t="s">
        <v>1248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1248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1345</v>
      </c>
      <c r="C44" s="1" t="s">
        <v>1347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1347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1345</v>
      </c>
      <c r="C45" s="1" t="s">
        <v>1348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1348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1349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1349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1350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1350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1240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1240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1351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1351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1223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1223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1352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1352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1353</v>
      </c>
      <c r="C52" s="1" t="s">
        <v>1354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1354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1355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1355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1353</v>
      </c>
      <c r="C54" s="1" t="s">
        <v>1356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1356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1357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1357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1353</v>
      </c>
      <c r="C56" s="1" t="s">
        <v>1358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1358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1353</v>
      </c>
      <c r="C57" s="1" t="s">
        <v>1359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1359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1360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1360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1353</v>
      </c>
      <c r="C59" s="1" t="s">
        <v>1361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1361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1362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1362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1227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1227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1363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1363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1254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1254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1244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1244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1364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1364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1365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1365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1236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1236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1259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1259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1366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1366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1261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1261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1252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1367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1265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1265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1268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1268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1269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1269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1368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1369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1370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1371</v>
      </c>
      <c r="M79" s="306"/>
    </row>
    <row r="80" spans="2:43" ht="15.75" customHeight="1" x14ac:dyDescent="0.25">
      <c r="F80" s="12" t="s">
        <v>1372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1373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1354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1355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66" t="s">
        <v>1332</v>
      </c>
      <c r="O86" s="917"/>
      <c r="P86" s="917"/>
      <c r="Q86" s="917"/>
      <c r="R86" s="917"/>
      <c r="S86" s="917"/>
      <c r="T86" s="917"/>
      <c r="U86" s="917"/>
      <c r="V86" s="917"/>
      <c r="W86" s="918"/>
      <c r="X86" s="492"/>
      <c r="Y86" s="492"/>
      <c r="Z86" s="492"/>
    </row>
    <row r="87" spans="3:26" ht="15.75" customHeight="1" x14ac:dyDescent="0.25">
      <c r="H87" s="456" t="s">
        <v>1199</v>
      </c>
      <c r="I87" s="456" t="s">
        <v>1200</v>
      </c>
      <c r="J87" s="426" t="s">
        <v>1201</v>
      </c>
      <c r="K87" s="456" t="s">
        <v>1202</v>
      </c>
      <c r="L87" s="456" t="s">
        <v>1203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1219</v>
      </c>
      <c r="I88" s="432" t="s">
        <v>1220</v>
      </c>
      <c r="J88" s="432" t="s">
        <v>1221</v>
      </c>
      <c r="K88" s="432" t="s">
        <v>1222</v>
      </c>
      <c r="L88" s="389" t="s">
        <v>1223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1219</v>
      </c>
      <c r="I89" s="432" t="s">
        <v>1220</v>
      </c>
      <c r="J89" s="432" t="s">
        <v>1221</v>
      </c>
      <c r="K89" s="432" t="s">
        <v>1222</v>
      </c>
      <c r="L89" s="389" t="s">
        <v>1224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1219</v>
      </c>
      <c r="I90" s="432" t="s">
        <v>1220</v>
      </c>
      <c r="J90" s="432" t="s">
        <v>1225</v>
      </c>
      <c r="K90" s="432" t="s">
        <v>1226</v>
      </c>
      <c r="L90" s="389" t="s">
        <v>1227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1219</v>
      </c>
      <c r="I91" s="432" t="s">
        <v>1220</v>
      </c>
      <c r="J91" s="432" t="s">
        <v>1228</v>
      </c>
      <c r="K91" s="432" t="s">
        <v>1226</v>
      </c>
      <c r="L91" s="389" t="s">
        <v>1229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1219</v>
      </c>
      <c r="I92" s="432" t="s">
        <v>1220</v>
      </c>
      <c r="J92" s="432" t="s">
        <v>1230</v>
      </c>
      <c r="K92" s="432" t="s">
        <v>1226</v>
      </c>
      <c r="L92" s="389" t="s">
        <v>1231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1219</v>
      </c>
      <c r="I93" s="432" t="s">
        <v>1220</v>
      </c>
      <c r="J93" s="432" t="s">
        <v>1232</v>
      </c>
      <c r="K93" s="432" t="s">
        <v>1226</v>
      </c>
      <c r="L93" s="389" t="s">
        <v>1233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1219</v>
      </c>
      <c r="I94" s="432" t="s">
        <v>1220</v>
      </c>
      <c r="J94" s="432" t="s">
        <v>1232</v>
      </c>
      <c r="K94" s="432" t="s">
        <v>1226</v>
      </c>
      <c r="L94" s="389" t="s">
        <v>1234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1219</v>
      </c>
      <c r="I95" s="432" t="s">
        <v>1220</v>
      </c>
      <c r="J95" s="432" t="s">
        <v>1235</v>
      </c>
      <c r="K95" s="432" t="s">
        <v>1226</v>
      </c>
      <c r="L95" s="389" t="s">
        <v>1236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1219</v>
      </c>
      <c r="I96" s="432" t="s">
        <v>1220</v>
      </c>
      <c r="J96" s="432" t="s">
        <v>1237</v>
      </c>
      <c r="K96" s="432" t="s">
        <v>1226</v>
      </c>
      <c r="L96" s="389" t="s">
        <v>1238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1219</v>
      </c>
      <c r="I97" s="432" t="s">
        <v>1220</v>
      </c>
      <c r="J97" s="432" t="s">
        <v>1239</v>
      </c>
      <c r="K97" s="432" t="s">
        <v>1226</v>
      </c>
      <c r="L97" s="389" t="s">
        <v>1240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1219</v>
      </c>
      <c r="I98" s="432" t="s">
        <v>1220</v>
      </c>
      <c r="J98" s="432" t="s">
        <v>1239</v>
      </c>
      <c r="K98" s="432" t="s">
        <v>1226</v>
      </c>
      <c r="L98" s="389" t="s">
        <v>1241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1219</v>
      </c>
      <c r="I99" s="432" t="s">
        <v>1220</v>
      </c>
      <c r="J99" s="432" t="s">
        <v>1242</v>
      </c>
      <c r="K99" s="432" t="s">
        <v>1226</v>
      </c>
      <c r="L99" s="389" t="s">
        <v>1243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1219</v>
      </c>
      <c r="I100" s="432" t="s">
        <v>1220</v>
      </c>
      <c r="J100" s="432" t="s">
        <v>1244</v>
      </c>
      <c r="K100" s="432" t="s">
        <v>1245</v>
      </c>
      <c r="L100" s="389" t="s">
        <v>1244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1219</v>
      </c>
      <c r="I101" s="432" t="s">
        <v>1220</v>
      </c>
      <c r="J101" s="432" t="s">
        <v>1246</v>
      </c>
      <c r="K101" s="432" t="s">
        <v>1247</v>
      </c>
      <c r="L101" s="389" t="s">
        <v>1248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1219</v>
      </c>
      <c r="I102" s="432" t="s">
        <v>1220</v>
      </c>
      <c r="J102" s="432" t="s">
        <v>1249</v>
      </c>
      <c r="K102" s="432" t="s">
        <v>1247</v>
      </c>
      <c r="L102" s="389" t="s">
        <v>1250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1219</v>
      </c>
      <c r="I103" s="432" t="s">
        <v>1220</v>
      </c>
      <c r="J103" s="432" t="s">
        <v>1251</v>
      </c>
      <c r="K103" s="432" t="s">
        <v>1247</v>
      </c>
      <c r="L103" s="389" t="s">
        <v>1252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1219</v>
      </c>
      <c r="I104" s="432" t="s">
        <v>1220</v>
      </c>
      <c r="J104" s="432" t="s">
        <v>1253</v>
      </c>
      <c r="K104" s="432" t="s">
        <v>1247</v>
      </c>
      <c r="L104" s="389" t="s">
        <v>1254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1219</v>
      </c>
      <c r="I105" s="432" t="s">
        <v>1220</v>
      </c>
      <c r="J105" s="432" t="s">
        <v>1255</v>
      </c>
      <c r="K105" s="432" t="s">
        <v>1256</v>
      </c>
      <c r="L105" s="389" t="s">
        <v>1257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1219</v>
      </c>
      <c r="I106" s="432" t="s">
        <v>1220</v>
      </c>
      <c r="J106" s="432" t="s">
        <v>1258</v>
      </c>
      <c r="K106" s="432" t="s">
        <v>1256</v>
      </c>
      <c r="L106" s="389" t="s">
        <v>1259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1219</v>
      </c>
      <c r="I107" s="432" t="s">
        <v>1220</v>
      </c>
      <c r="J107" s="432" t="s">
        <v>1260</v>
      </c>
      <c r="K107" s="432" t="s">
        <v>1256</v>
      </c>
      <c r="L107" s="389" t="s">
        <v>1261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1265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1268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1269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66" t="s">
        <v>1332</v>
      </c>
      <c r="O115" s="917"/>
      <c r="P115" s="917"/>
      <c r="Q115" s="917"/>
      <c r="R115" s="917"/>
      <c r="S115" s="917"/>
      <c r="T115" s="917"/>
      <c r="U115" s="917"/>
      <c r="V115" s="917"/>
      <c r="W115" s="91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1203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1223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1224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1227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1229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1231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1233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1234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1236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1238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1240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1241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1243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1244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1248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1250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1252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1254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1257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1259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1261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1265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1268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1269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L91" workbookViewId="0">
      <selection activeCell="T101" sqref="T101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1374</v>
      </c>
      <c r="O3" s="14" t="s">
        <v>1374</v>
      </c>
      <c r="P3" s="14" t="s">
        <v>1374</v>
      </c>
      <c r="Q3" s="14" t="s">
        <v>1374</v>
      </c>
      <c r="R3" s="14" t="s">
        <v>1374</v>
      </c>
      <c r="S3" s="14" t="s">
        <v>1374</v>
      </c>
      <c r="T3" s="14" t="s">
        <v>1374</v>
      </c>
      <c r="U3" s="14" t="s">
        <v>1374</v>
      </c>
      <c r="V3" s="14" t="s">
        <v>1374</v>
      </c>
      <c r="W3" s="14" t="s">
        <v>1374</v>
      </c>
      <c r="X3" s="14" t="s">
        <v>1374</v>
      </c>
      <c r="Y3" s="14" t="s">
        <v>1375</v>
      </c>
      <c r="Z3" s="14" t="s">
        <v>1374</v>
      </c>
      <c r="AA3" s="1"/>
      <c r="AB3" s="968">
        <v>2019</v>
      </c>
      <c r="AC3" s="917"/>
      <c r="AD3" s="917"/>
      <c r="AE3" s="917"/>
      <c r="AF3" s="91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1202</v>
      </c>
      <c r="J4" s="428" t="s">
        <v>1203</v>
      </c>
      <c r="K4" s="428" t="s">
        <v>1204</v>
      </c>
      <c r="L4" s="429"/>
      <c r="M4" s="428" t="str">
        <f>+'5. ANH'!J12</f>
        <v>Type of Oil producing</v>
      </c>
      <c r="N4" s="430" t="s">
        <v>1376</v>
      </c>
      <c r="O4" s="430" t="s">
        <v>1377</v>
      </c>
      <c r="P4" s="430" t="s">
        <v>1378</v>
      </c>
      <c r="Q4" s="428" t="s">
        <v>1379</v>
      </c>
      <c r="R4" s="428" t="s">
        <v>1380</v>
      </c>
      <c r="S4" s="428" t="s">
        <v>1381</v>
      </c>
      <c r="T4" s="428" t="s">
        <v>1382</v>
      </c>
      <c r="U4" s="428" t="s">
        <v>1383</v>
      </c>
      <c r="V4" s="428" t="s">
        <v>1384</v>
      </c>
      <c r="W4" s="428" t="s">
        <v>1385</v>
      </c>
      <c r="X4" s="428" t="s">
        <v>1386</v>
      </c>
      <c r="Y4" s="428" t="s">
        <v>1387</v>
      </c>
      <c r="Z4" s="430" t="s">
        <v>1388</v>
      </c>
      <c r="AA4" s="1"/>
      <c r="AB4" s="426" t="s">
        <v>1389</v>
      </c>
      <c r="AC4" s="214" t="s">
        <v>1390</v>
      </c>
      <c r="AD4" s="426" t="s">
        <v>1391</v>
      </c>
      <c r="AE4" s="426" t="s">
        <v>1392</v>
      </c>
      <c r="AF4" s="426" t="s">
        <v>1393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1222</v>
      </c>
      <c r="J5" s="433" t="s">
        <v>1223</v>
      </c>
      <c r="K5" s="431" t="s">
        <v>1099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1222</v>
      </c>
      <c r="J6" s="433" t="s">
        <v>1224</v>
      </c>
      <c r="K6" s="431" t="s">
        <v>1099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1226</v>
      </c>
      <c r="J7" s="433" t="s">
        <v>1227</v>
      </c>
      <c r="K7" s="431" t="s">
        <v>1099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1226</v>
      </c>
      <c r="J8" s="433" t="s">
        <v>1229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1226</v>
      </c>
      <c r="J9" s="433" t="s">
        <v>1231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1226</v>
      </c>
      <c r="J10" s="433" t="s">
        <v>1233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1226</v>
      </c>
      <c r="J11" s="433" t="s">
        <v>1234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1226</v>
      </c>
      <c r="J12" s="433" t="s">
        <v>1236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1226</v>
      </c>
      <c r="J13" s="433" t="s">
        <v>1238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1226</v>
      </c>
      <c r="J14" s="433" t="s">
        <v>1240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1226</v>
      </c>
      <c r="J15" s="433" t="s">
        <v>1241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1226</v>
      </c>
      <c r="J16" s="433" t="s">
        <v>1243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1245</v>
      </c>
      <c r="J17" s="433" t="s">
        <v>1244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1247</v>
      </c>
      <c r="J18" s="433" t="s">
        <v>1248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1247</v>
      </c>
      <c r="J19" s="433" t="s">
        <v>1250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1331</v>
      </c>
      <c r="D20" s="343">
        <v>6117863200</v>
      </c>
      <c r="E20" s="12" t="s">
        <v>1394</v>
      </c>
      <c r="I20" s="432" t="s">
        <v>1247</v>
      </c>
      <c r="J20" s="433" t="s">
        <v>1252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1331</v>
      </c>
      <c r="D21" s="343">
        <f>+D20*1000/(1000000000000)</f>
        <v>6.1178632000000004</v>
      </c>
      <c r="E21" s="12" t="s">
        <v>1315</v>
      </c>
      <c r="I21" s="432" t="s">
        <v>1247</v>
      </c>
      <c r="J21" s="433" t="s">
        <v>1254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1395</v>
      </c>
      <c r="I22" s="432" t="s">
        <v>1256</v>
      </c>
      <c r="J22" s="433" t="s">
        <v>1257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1256</v>
      </c>
      <c r="J23" s="433" t="s">
        <v>1259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1256</v>
      </c>
      <c r="J24" s="438" t="s">
        <v>1261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1264</v>
      </c>
      <c r="J25" s="438" t="s">
        <v>1265</v>
      </c>
      <c r="K25" s="431" t="s">
        <v>1099</v>
      </c>
      <c r="L25" s="434" t="s">
        <v>7</v>
      </c>
      <c r="M25" s="434" t="s">
        <v>1396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1264</v>
      </c>
      <c r="J26" s="438" t="s">
        <v>1268</v>
      </c>
      <c r="K26" s="431" t="s">
        <v>1099</v>
      </c>
      <c r="L26" s="434" t="s">
        <v>7</v>
      </c>
      <c r="M26" s="434" t="s">
        <v>1396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1264</v>
      </c>
      <c r="J27" s="438" t="s">
        <v>1269</v>
      </c>
      <c r="K27" s="431" t="s">
        <v>1099</v>
      </c>
      <c r="L27" s="434" t="s">
        <v>7</v>
      </c>
      <c r="M27" s="434" t="s">
        <v>1396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9">
        <f>+SUM(N5:N27)</f>
        <v>1814.1047397260272</v>
      </c>
      <c r="O28" s="839">
        <f t="shared" ref="O28:P28" si="8">+SUM(O5:O27)</f>
        <v>944.81832876712326</v>
      </c>
      <c r="P28" s="839">
        <f t="shared" si="8"/>
        <v>825.47967123287674</v>
      </c>
      <c r="Y28" s="839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68"/>
      <c r="AB33" s="917"/>
      <c r="AC33" s="917"/>
      <c r="AD33" s="917"/>
      <c r="AE33" s="917"/>
      <c r="AF33" s="917"/>
      <c r="AG33" s="917"/>
      <c r="AH33" s="917"/>
      <c r="AI33" s="917"/>
      <c r="AJ33" s="917"/>
      <c r="AK33" s="917"/>
      <c r="AL33" s="917"/>
      <c r="AM33" s="91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1202</v>
      </c>
      <c r="J34" s="428" t="s">
        <v>1203</v>
      </c>
      <c r="K34" s="428" t="s">
        <v>1204</v>
      </c>
      <c r="L34" s="429"/>
      <c r="M34" s="428" t="str">
        <f>+'5. ANH'!J12</f>
        <v>Type of Oil producing</v>
      </c>
      <c r="N34" s="430" t="s">
        <v>1397</v>
      </c>
      <c r="O34" s="430" t="s">
        <v>1398</v>
      </c>
      <c r="P34" s="430" t="s">
        <v>1399</v>
      </c>
      <c r="Q34" s="428" t="s">
        <v>1400</v>
      </c>
      <c r="R34" s="428" t="s">
        <v>1401</v>
      </c>
      <c r="S34" s="428" t="s">
        <v>1402</v>
      </c>
      <c r="T34" s="428" t="s">
        <v>1403</v>
      </c>
      <c r="U34" s="428" t="s">
        <v>1404</v>
      </c>
      <c r="V34" s="428" t="s">
        <v>1405</v>
      </c>
      <c r="W34" s="428" t="s">
        <v>1406</v>
      </c>
      <c r="X34" s="428" t="s">
        <v>1407</v>
      </c>
      <c r="Y34" s="428" t="s">
        <v>1408</v>
      </c>
      <c r="Z34" s="430" t="s">
        <v>1409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1222</v>
      </c>
      <c r="J35" s="433" t="s">
        <v>1223</v>
      </c>
      <c r="K35" s="431" t="s">
        <v>1099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1222</v>
      </c>
      <c r="J36" s="433" t="s">
        <v>1224</v>
      </c>
      <c r="K36" s="431" t="s">
        <v>1099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1226</v>
      </c>
      <c r="J37" s="433" t="s">
        <v>1227</v>
      </c>
      <c r="K37" s="431" t="s">
        <v>1099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1226</v>
      </c>
      <c r="J38" s="433" t="s">
        <v>1229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1226</v>
      </c>
      <c r="J39" s="433" t="s">
        <v>1231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1226</v>
      </c>
      <c r="J40" s="433" t="s">
        <v>1233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1226</v>
      </c>
      <c r="J41" s="433" t="s">
        <v>1234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1226</v>
      </c>
      <c r="J42" s="433" t="s">
        <v>1236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1226</v>
      </c>
      <c r="J43" s="433" t="s">
        <v>1238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1226</v>
      </c>
      <c r="J44" s="433" t="s">
        <v>1240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1226</v>
      </c>
      <c r="J45" s="433" t="s">
        <v>1241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1226</v>
      </c>
      <c r="J46" s="433" t="s">
        <v>1243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1245</v>
      </c>
      <c r="J47" s="433" t="s">
        <v>1244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1247</v>
      </c>
      <c r="J48" s="433" t="s">
        <v>1248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1247</v>
      </c>
      <c r="J49" s="433" t="s">
        <v>1250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1247</v>
      </c>
      <c r="J50" s="433" t="s">
        <v>1252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1247</v>
      </c>
      <c r="J51" s="433" t="s">
        <v>1254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1256</v>
      </c>
      <c r="J52" s="433" t="s">
        <v>1257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1256</v>
      </c>
      <c r="J53" s="433" t="s">
        <v>1259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1256</v>
      </c>
      <c r="J54" s="438" t="s">
        <v>1261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1264</v>
      </c>
      <c r="J55" s="440" t="s">
        <v>1265</v>
      </c>
      <c r="K55" s="431" t="s">
        <v>1099</v>
      </c>
      <c r="L55" s="434" t="s">
        <v>7</v>
      </c>
      <c r="M55" s="434" t="s">
        <v>1396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1264</v>
      </c>
      <c r="J56" s="440" t="s">
        <v>1268</v>
      </c>
      <c r="K56" s="431" t="s">
        <v>1099</v>
      </c>
      <c r="L56" s="434" t="s">
        <v>7</v>
      </c>
      <c r="M56" s="434" t="s">
        <v>1396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1264</v>
      </c>
      <c r="J57" s="440" t="s">
        <v>1269</v>
      </c>
      <c r="K57" s="431" t="s">
        <v>1099</v>
      </c>
      <c r="L57" s="434" t="s">
        <v>7</v>
      </c>
      <c r="M57" s="434" t="s">
        <v>1396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1410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69" t="s">
        <v>1411</v>
      </c>
      <c r="S64" s="917"/>
      <c r="T64" s="917"/>
      <c r="U64" s="917"/>
      <c r="V64" s="918"/>
      <c r="W64" s="970" t="s">
        <v>1412</v>
      </c>
      <c r="X64" s="917"/>
      <c r="Y64" s="917"/>
      <c r="Z64" s="918"/>
      <c r="AA64" s="541" t="s">
        <v>1413</v>
      </c>
      <c r="AB64" s="12" t="s">
        <v>1414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1415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1415</v>
      </c>
      <c r="X65" s="544" t="s">
        <v>1415</v>
      </c>
      <c r="Y65" s="544" t="s">
        <v>1415</v>
      </c>
      <c r="Z65" s="544" t="s">
        <v>1415</v>
      </c>
      <c r="AA65" s="263" t="s">
        <v>1415</v>
      </c>
      <c r="AB65" s="439" t="s">
        <v>59</v>
      </c>
      <c r="AC65" s="439" t="s">
        <v>1416</v>
      </c>
      <c r="AD65" s="542" t="s">
        <v>59</v>
      </c>
      <c r="AE65" s="542" t="s">
        <v>1416</v>
      </c>
      <c r="AF65" s="542" t="s">
        <v>59</v>
      </c>
      <c r="AG65" s="542" t="s">
        <v>1416</v>
      </c>
      <c r="AH65" s="14" t="s">
        <v>59</v>
      </c>
      <c r="AI65" s="971" t="s">
        <v>1417</v>
      </c>
      <c r="AJ65" s="953"/>
      <c r="AK65" s="953"/>
      <c r="AL65" s="953"/>
      <c r="AM65" s="953"/>
      <c r="AN65" s="953"/>
      <c r="AO65" s="953"/>
      <c r="AP65" s="953"/>
      <c r="AQ65" s="953"/>
      <c r="AR65" s="953"/>
      <c r="AS65" s="953"/>
      <c r="AT65" s="953"/>
      <c r="AU65" s="953"/>
      <c r="AV65" s="922"/>
      <c r="AW65" s="971" t="s">
        <v>1418</v>
      </c>
      <c r="AX65" s="953"/>
      <c r="AY65" s="953"/>
      <c r="AZ65" s="953"/>
      <c r="BA65" s="953"/>
      <c r="BB65" s="953"/>
      <c r="BC65" s="953"/>
      <c r="BD65" s="953"/>
      <c r="BE65" s="953"/>
      <c r="BF65" s="953"/>
      <c r="BG65" s="953"/>
      <c r="BH65" s="953"/>
      <c r="BI65" s="953"/>
      <c r="BJ65" s="922"/>
      <c r="BK65" s="971" t="s">
        <v>1419</v>
      </c>
      <c r="BL65" s="953"/>
      <c r="BM65" s="953"/>
      <c r="BN65" s="953"/>
      <c r="BO65" s="953"/>
      <c r="BP65" s="953"/>
      <c r="BQ65" s="953"/>
      <c r="BR65" s="953"/>
      <c r="BS65" s="953"/>
      <c r="BT65" s="953"/>
      <c r="BU65" s="953"/>
      <c r="BV65" s="953"/>
      <c r="BW65" s="953"/>
      <c r="BX65" s="922"/>
      <c r="BY65" s="545"/>
      <c r="BZ65" s="545"/>
      <c r="CA65" s="545"/>
      <c r="CB65" s="546" t="s">
        <v>1417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1418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1419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1202</v>
      </c>
      <c r="J66" s="428" t="s">
        <v>1203</v>
      </c>
      <c r="K66" s="428" t="s">
        <v>1204</v>
      </c>
      <c r="L66" s="429"/>
      <c r="M66" s="428" t="str">
        <f t="shared" ref="M66:M86" si="36">M34</f>
        <v>Type of Oil producing</v>
      </c>
      <c r="N66" s="428" t="s">
        <v>1420</v>
      </c>
      <c r="O66" s="428" t="s">
        <v>1421</v>
      </c>
      <c r="P66" s="549" t="s">
        <v>1422</v>
      </c>
      <c r="Q66" s="549" t="s">
        <v>1423</v>
      </c>
      <c r="R66" s="430" t="s">
        <v>1424</v>
      </c>
      <c r="S66" s="430" t="s">
        <v>1425</v>
      </c>
      <c r="T66" s="430" t="s">
        <v>1426</v>
      </c>
      <c r="U66" s="430" t="s">
        <v>1427</v>
      </c>
      <c r="V66" s="430" t="s">
        <v>1428</v>
      </c>
      <c r="W66" s="550" t="s">
        <v>1429</v>
      </c>
      <c r="X66" s="550" t="s">
        <v>1430</v>
      </c>
      <c r="Y66" s="550" t="s">
        <v>1431</v>
      </c>
      <c r="Z66" s="550" t="s">
        <v>1432</v>
      </c>
      <c r="AA66" s="551" t="s">
        <v>1433</v>
      </c>
      <c r="AB66" s="552" t="s">
        <v>1434</v>
      </c>
      <c r="AC66" s="552" t="s">
        <v>1435</v>
      </c>
      <c r="AD66" s="549" t="s">
        <v>1436</v>
      </c>
      <c r="AE66" s="549" t="s">
        <v>1437</v>
      </c>
      <c r="AF66" s="549" t="s">
        <v>1438</v>
      </c>
      <c r="AG66" s="549" t="s">
        <v>1439</v>
      </c>
      <c r="AH66" s="553" t="s">
        <v>1440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1222</v>
      </c>
      <c r="J67" s="433" t="s">
        <v>1223</v>
      </c>
      <c r="K67" s="431" t="s">
        <v>1099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1441</v>
      </c>
      <c r="DJ67" s="573" t="s">
        <v>1441</v>
      </c>
      <c r="DK67" s="573" t="s">
        <v>1441</v>
      </c>
      <c r="DL67" s="573" t="s">
        <v>1441</v>
      </c>
      <c r="DM67" s="573" t="s">
        <v>1441</v>
      </c>
      <c r="DN67" s="573" t="s">
        <v>1441</v>
      </c>
      <c r="DO67" s="573" t="s">
        <v>1441</v>
      </c>
      <c r="DP67" s="573" t="s">
        <v>1441</v>
      </c>
      <c r="DQ67" s="574" t="s">
        <v>1441</v>
      </c>
    </row>
    <row r="68" spans="1:121" ht="15.75" customHeight="1" x14ac:dyDescent="0.25">
      <c r="I68" s="432" t="s">
        <v>1222</v>
      </c>
      <c r="J68" s="433" t="s">
        <v>1224</v>
      </c>
      <c r="K68" s="431" t="s">
        <v>1099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1441</v>
      </c>
      <c r="DN68" s="573" t="s">
        <v>1441</v>
      </c>
      <c r="DO68" s="573" t="s">
        <v>1441</v>
      </c>
      <c r="DP68" s="573" t="s">
        <v>1441</v>
      </c>
      <c r="DQ68" s="574" t="s">
        <v>1441</v>
      </c>
    </row>
    <row r="69" spans="1:121" ht="15.75" customHeight="1" x14ac:dyDescent="0.25">
      <c r="I69" s="432" t="s">
        <v>1226</v>
      </c>
      <c r="J69" s="433" t="s">
        <v>1227</v>
      </c>
      <c r="K69" s="431" t="s">
        <v>1099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1441</v>
      </c>
      <c r="DJ69" s="573" t="s">
        <v>1441</v>
      </c>
      <c r="DK69" s="573" t="s">
        <v>1441</v>
      </c>
      <c r="DL69" s="573" t="s">
        <v>1441</v>
      </c>
      <c r="DM69" s="573" t="s">
        <v>1441</v>
      </c>
      <c r="DN69" s="573" t="s">
        <v>1441</v>
      </c>
      <c r="DO69" s="573" t="s">
        <v>1441</v>
      </c>
      <c r="DP69" s="573" t="s">
        <v>1441</v>
      </c>
      <c r="DQ69" s="574" t="s">
        <v>1441</v>
      </c>
    </row>
    <row r="70" spans="1:121" ht="15.75" customHeight="1" x14ac:dyDescent="0.25">
      <c r="I70" s="431" t="s">
        <v>1226</v>
      </c>
      <c r="J70" s="434" t="s">
        <v>1229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1226</v>
      </c>
      <c r="J71" s="434" t="s">
        <v>1231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1441</v>
      </c>
      <c r="DI71" s="573" t="s">
        <v>1441</v>
      </c>
      <c r="DJ71" s="573" t="s">
        <v>1441</v>
      </c>
      <c r="DK71" s="573" t="s">
        <v>1441</v>
      </c>
      <c r="DL71" s="573" t="s">
        <v>1441</v>
      </c>
      <c r="DM71" s="573" t="s">
        <v>1441</v>
      </c>
      <c r="DN71" s="573" t="s">
        <v>1441</v>
      </c>
      <c r="DO71" s="573" t="s">
        <v>1441</v>
      </c>
      <c r="DP71" s="573" t="s">
        <v>1441</v>
      </c>
      <c r="DQ71" s="574" t="s">
        <v>1441</v>
      </c>
    </row>
    <row r="72" spans="1:121" ht="15.75" customHeight="1" x14ac:dyDescent="0.25">
      <c r="I72" s="431" t="s">
        <v>1226</v>
      </c>
      <c r="J72" s="434" t="s">
        <v>1233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1441</v>
      </c>
      <c r="DO72" s="573" t="s">
        <v>1441</v>
      </c>
      <c r="DP72" s="573" t="s">
        <v>1441</v>
      </c>
      <c r="DQ72" s="574" t="s">
        <v>1441</v>
      </c>
    </row>
    <row r="73" spans="1:121" ht="15.75" customHeight="1" x14ac:dyDescent="0.25">
      <c r="I73" s="431" t="s">
        <v>1226</v>
      </c>
      <c r="J73" s="434" t="s">
        <v>1234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1226</v>
      </c>
      <c r="J74" s="434" t="s">
        <v>1236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1441</v>
      </c>
      <c r="DM74" s="573" t="s">
        <v>1441</v>
      </c>
      <c r="DN74" s="573" t="s">
        <v>1441</v>
      </c>
      <c r="DO74" s="573" t="s">
        <v>1441</v>
      </c>
      <c r="DP74" s="573" t="s">
        <v>1441</v>
      </c>
      <c r="DQ74" s="574" t="s">
        <v>1441</v>
      </c>
    </row>
    <row r="75" spans="1:121" ht="15.75" customHeight="1" x14ac:dyDescent="0.25">
      <c r="I75" s="431" t="s">
        <v>1226</v>
      </c>
      <c r="J75" s="434" t="s">
        <v>1238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1226</v>
      </c>
      <c r="J76" s="434" t="s">
        <v>1240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1441</v>
      </c>
      <c r="DP76" s="573" t="s">
        <v>1441</v>
      </c>
      <c r="DQ76" s="574" t="s">
        <v>1441</v>
      </c>
    </row>
    <row r="77" spans="1:121" ht="15.75" customHeight="1" x14ac:dyDescent="0.25">
      <c r="I77" s="431" t="s">
        <v>1226</v>
      </c>
      <c r="J77" s="434" t="s">
        <v>1241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1441</v>
      </c>
    </row>
    <row r="78" spans="1:121" ht="15.75" customHeight="1" x14ac:dyDescent="0.25">
      <c r="I78" s="431" t="s">
        <v>1226</v>
      </c>
      <c r="J78" s="434" t="s">
        <v>1243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1441</v>
      </c>
      <c r="DO78" s="573" t="s">
        <v>1441</v>
      </c>
      <c r="DP78" s="573" t="s">
        <v>1441</v>
      </c>
      <c r="DQ78" s="574" t="s">
        <v>1441</v>
      </c>
    </row>
    <row r="79" spans="1:121" ht="15.75" customHeight="1" x14ac:dyDescent="0.25">
      <c r="I79" s="431" t="s">
        <v>1245</v>
      </c>
      <c r="J79" s="434" t="s">
        <v>1244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1441</v>
      </c>
      <c r="DP79" s="573" t="s">
        <v>1441</v>
      </c>
      <c r="DQ79" s="574" t="s">
        <v>1441</v>
      </c>
    </row>
    <row r="80" spans="1:121" ht="15.75" customHeight="1" x14ac:dyDescent="0.25">
      <c r="I80" s="431" t="s">
        <v>1247</v>
      </c>
      <c r="J80" s="434" t="s">
        <v>1248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1441</v>
      </c>
    </row>
    <row r="81" spans="9:121" ht="15.75" customHeight="1" x14ac:dyDescent="0.25">
      <c r="I81" s="431" t="s">
        <v>1247</v>
      </c>
      <c r="J81" s="434" t="s">
        <v>1250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1441</v>
      </c>
      <c r="DQ81" s="574" t="s">
        <v>1441</v>
      </c>
    </row>
    <row r="82" spans="9:121" ht="15.75" customHeight="1" x14ac:dyDescent="0.25">
      <c r="I82" s="431" t="s">
        <v>1247</v>
      </c>
      <c r="J82" s="434" t="s">
        <v>1252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1247</v>
      </c>
      <c r="J83" s="434" t="s">
        <v>1254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1441</v>
      </c>
      <c r="DO83" s="573" t="s">
        <v>1441</v>
      </c>
      <c r="DP83" s="573" t="s">
        <v>1441</v>
      </c>
      <c r="DQ83" s="574" t="s">
        <v>1441</v>
      </c>
    </row>
    <row r="84" spans="9:121" ht="15.75" customHeight="1" x14ac:dyDescent="0.25">
      <c r="I84" s="431" t="s">
        <v>1256</v>
      </c>
      <c r="J84" s="434" t="s">
        <v>1257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1256</v>
      </c>
      <c r="J85" s="434" t="s">
        <v>1259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1256</v>
      </c>
      <c r="J86" s="434" t="s">
        <v>1261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1264</v>
      </c>
      <c r="J87" s="440" t="s">
        <v>1265</v>
      </c>
      <c r="K87" s="431" t="s">
        <v>1099</v>
      </c>
      <c r="L87" s="434" t="s">
        <v>7</v>
      </c>
      <c r="M87" s="434" t="s">
        <v>1396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1264</v>
      </c>
      <c r="J88" s="440" t="s">
        <v>1268</v>
      </c>
      <c r="K88" s="431" t="s">
        <v>1099</v>
      </c>
      <c r="L88" s="434" t="s">
        <v>7</v>
      </c>
      <c r="M88" s="434" t="s">
        <v>1396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1441</v>
      </c>
    </row>
    <row r="89" spans="9:121" ht="15.75" customHeight="1" x14ac:dyDescent="0.25">
      <c r="I89" s="432" t="s">
        <v>1264</v>
      </c>
      <c r="J89" s="440" t="s">
        <v>1269</v>
      </c>
      <c r="K89" s="431" t="s">
        <v>1099</v>
      </c>
      <c r="L89" s="434" t="s">
        <v>7</v>
      </c>
      <c r="M89" s="434" t="s">
        <v>1396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1441</v>
      </c>
      <c r="DO89" s="599" t="s">
        <v>1441</v>
      </c>
      <c r="DP89" s="599" t="s">
        <v>1441</v>
      </c>
      <c r="DQ89" s="600" t="s">
        <v>1441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1442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1443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69" t="s">
        <v>1411</v>
      </c>
      <c r="S96" s="917"/>
      <c r="T96" s="917"/>
      <c r="U96" s="917"/>
      <c r="V96" s="918"/>
      <c r="W96" s="970" t="s">
        <v>1412</v>
      </c>
      <c r="X96" s="917"/>
      <c r="Y96" s="917"/>
      <c r="Z96" s="918"/>
      <c r="AA96" s="541" t="s">
        <v>1413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1415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1415</v>
      </c>
      <c r="X97" s="544" t="s">
        <v>1415</v>
      </c>
      <c r="Y97" s="544" t="s">
        <v>1415</v>
      </c>
      <c r="Z97" s="544" t="s">
        <v>1415</v>
      </c>
      <c r="AA97" s="263" t="s">
        <v>1415</v>
      </c>
      <c r="AB97" s="439" t="s">
        <v>59</v>
      </c>
      <c r="AC97" s="439" t="s">
        <v>1416</v>
      </c>
      <c r="AD97" s="542" t="s">
        <v>59</v>
      </c>
      <c r="AE97" s="542" t="s">
        <v>1416</v>
      </c>
      <c r="AF97" s="542" t="s">
        <v>59</v>
      </c>
      <c r="AG97" s="542" t="s">
        <v>1416</v>
      </c>
      <c r="AH97" s="14" t="s">
        <v>59</v>
      </c>
      <c r="AI97" s="972" t="s">
        <v>1444</v>
      </c>
      <c r="AJ97" s="953"/>
      <c r="AK97" s="953"/>
      <c r="AL97" s="953"/>
      <c r="AM97" s="953"/>
      <c r="AN97" s="953"/>
      <c r="AO97" s="953"/>
      <c r="AP97" s="953"/>
      <c r="AQ97" s="953"/>
      <c r="AR97" s="953"/>
      <c r="AS97" s="953"/>
      <c r="AT97" s="953"/>
      <c r="AU97" s="953"/>
      <c r="AV97" s="922"/>
      <c r="AW97" s="972" t="s">
        <v>1445</v>
      </c>
      <c r="AX97" s="953"/>
      <c r="AY97" s="953"/>
      <c r="AZ97" s="953"/>
      <c r="BA97" s="953"/>
      <c r="BB97" s="953"/>
      <c r="BC97" s="953"/>
      <c r="BD97" s="953"/>
      <c r="BE97" s="953"/>
      <c r="BF97" s="953"/>
      <c r="BG97" s="953"/>
      <c r="BH97" s="953"/>
      <c r="BI97" s="953"/>
      <c r="BJ97" s="922"/>
      <c r="BK97" s="972" t="s">
        <v>1446</v>
      </c>
      <c r="BL97" s="953"/>
      <c r="BM97" s="953"/>
      <c r="BN97" s="953"/>
      <c r="BO97" s="953"/>
      <c r="BP97" s="953"/>
      <c r="BQ97" s="953"/>
      <c r="BR97" s="953"/>
      <c r="BS97" s="953"/>
      <c r="BT97" s="953"/>
      <c r="BU97" s="953"/>
      <c r="BV97" s="953"/>
      <c r="BW97" s="953"/>
      <c r="BX97" s="922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1202</v>
      </c>
      <c r="K98" s="608" t="s">
        <v>1447</v>
      </c>
      <c r="L98" s="608" t="s">
        <v>1448</v>
      </c>
      <c r="M98" s="608" t="str">
        <f>+M66</f>
        <v>Type of Oil producing</v>
      </c>
      <c r="N98" s="608" t="s">
        <v>1449</v>
      </c>
      <c r="O98" s="608" t="s">
        <v>1450</v>
      </c>
      <c r="P98" s="609" t="s">
        <v>1422</v>
      </c>
      <c r="Q98" s="609" t="s">
        <v>1451</v>
      </c>
      <c r="R98" s="610" t="s">
        <v>1452</v>
      </c>
      <c r="S98" s="610" t="s">
        <v>1453</v>
      </c>
      <c r="T98" s="610" t="s">
        <v>1454</v>
      </c>
      <c r="U98" s="610" t="s">
        <v>1455</v>
      </c>
      <c r="V98" s="610" t="s">
        <v>1456</v>
      </c>
      <c r="W98" s="611" t="s">
        <v>1457</v>
      </c>
      <c r="X98" s="611" t="s">
        <v>1458</v>
      </c>
      <c r="Y98" s="611" t="s">
        <v>1459</v>
      </c>
      <c r="Z98" s="611" t="s">
        <v>1460</v>
      </c>
      <c r="AA98" s="612" t="s">
        <v>1461</v>
      </c>
      <c r="AB98" s="552" t="s">
        <v>1462</v>
      </c>
      <c r="AC98" s="552" t="s">
        <v>1435</v>
      </c>
      <c r="AD98" s="549" t="s">
        <v>1463</v>
      </c>
      <c r="AE98" s="549" t="s">
        <v>1464</v>
      </c>
      <c r="AF98" s="549" t="s">
        <v>1465</v>
      </c>
      <c r="AG98" s="549" t="s">
        <v>1466</v>
      </c>
      <c r="AH98" s="553" t="s">
        <v>1467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1222</v>
      </c>
      <c r="K99" s="103" t="s">
        <v>1396</v>
      </c>
      <c r="L99" s="614" t="s">
        <v>6</v>
      </c>
      <c r="M99" s="615" t="s">
        <v>1468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1226</v>
      </c>
      <c r="K100" s="103" t="s">
        <v>1196</v>
      </c>
      <c r="L100" s="614" t="s">
        <v>12</v>
      </c>
      <c r="M100" s="626" t="s">
        <v>1469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1226</v>
      </c>
      <c r="K101" s="103" t="s">
        <v>1194</v>
      </c>
      <c r="L101" s="614" t="s">
        <v>16</v>
      </c>
      <c r="M101" s="34" t="s">
        <v>1470</v>
      </c>
      <c r="N101" s="616">
        <f t="shared" ref="N101:O101" si="198">+SUMIFS(N$67:N$89,$I$67:$I$89,$J101,$M$67:$M$89,$K101)</f>
        <v>724.65339318846713</v>
      </c>
      <c r="O101" s="616">
        <f t="shared" si="198"/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1245</v>
      </c>
      <c r="K102" s="103" t="s">
        <v>1196</v>
      </c>
      <c r="L102" s="614" t="s">
        <v>20</v>
      </c>
      <c r="M102" s="34" t="s">
        <v>1471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1247</v>
      </c>
      <c r="K103" s="103" t="s">
        <v>1195</v>
      </c>
      <c r="L103" s="614" t="s">
        <v>24</v>
      </c>
      <c r="M103" s="34" t="s">
        <v>1472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1256</v>
      </c>
      <c r="K104" s="103" t="s">
        <v>1195</v>
      </c>
      <c r="L104" s="614" t="s">
        <v>28</v>
      </c>
      <c r="M104" s="626" t="s">
        <v>1473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1264</v>
      </c>
      <c r="K105" s="103" t="s">
        <v>1396</v>
      </c>
      <c r="L105" s="614" t="s">
        <v>31</v>
      </c>
      <c r="M105" s="626" t="s">
        <v>1474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1226</v>
      </c>
      <c r="K106" s="103" t="s">
        <v>1195</v>
      </c>
      <c r="L106" s="614" t="s">
        <v>1475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1245</v>
      </c>
      <c r="K107" s="103" t="s">
        <v>1195</v>
      </c>
      <c r="L107" s="614" t="s">
        <v>1475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1245</v>
      </c>
      <c r="K108" s="103" t="s">
        <v>1194</v>
      </c>
      <c r="L108" s="614" t="s">
        <v>1475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1247</v>
      </c>
      <c r="K109" s="103" t="s">
        <v>1196</v>
      </c>
      <c r="L109" s="614" t="s">
        <v>1475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1247</v>
      </c>
      <c r="K110" s="103" t="s">
        <v>1194</v>
      </c>
      <c r="L110" s="614" t="s">
        <v>1475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1256</v>
      </c>
      <c r="K111" s="103" t="s">
        <v>1196</v>
      </c>
      <c r="L111" s="614" t="s">
        <v>1475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1256</v>
      </c>
      <c r="K112" s="103" t="s">
        <v>1194</v>
      </c>
      <c r="L112" s="614" t="s">
        <v>1475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73" t="s">
        <v>1476</v>
      </c>
      <c r="K116" s="974"/>
      <c r="L116" s="974"/>
      <c r="M116" s="974"/>
      <c r="N116" s="974"/>
      <c r="O116" s="974"/>
      <c r="P116" s="974"/>
      <c r="Q116" s="974"/>
      <c r="R116" s="974"/>
      <c r="S116" s="974"/>
      <c r="T116" s="974"/>
      <c r="U116" s="974"/>
      <c r="V116" s="974"/>
      <c r="W116" s="974"/>
      <c r="X116" s="974"/>
      <c r="Y116" s="974"/>
      <c r="Z116" s="974"/>
      <c r="AA116" s="974"/>
      <c r="AB116" s="974"/>
      <c r="AC116" s="974"/>
      <c r="AD116" s="974"/>
      <c r="AE116" s="974"/>
      <c r="AF116" s="974"/>
      <c r="AG116" s="975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1477</v>
      </c>
      <c r="AC118" s="12" t="s">
        <v>1478</v>
      </c>
      <c r="AF118" s="12">
        <f>+AF117*(1000/D8)/1000</f>
        <v>302.87191322450025</v>
      </c>
      <c r="AV118" s="47" t="s">
        <v>662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1479</v>
      </c>
      <c r="AC119" s="12" t="s">
        <v>1480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1481</v>
      </c>
      <c r="Y120" s="639" t="s">
        <v>1422</v>
      </c>
      <c r="Z120" s="639" t="s">
        <v>1482</v>
      </c>
      <c r="AA120" s="640" t="s">
        <v>1483</v>
      </c>
      <c r="AB120" s="640" t="s">
        <v>1484</v>
      </c>
      <c r="AC120" s="640" t="s">
        <v>1485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1486</v>
      </c>
      <c r="S121" s="12">
        <v>11.07</v>
      </c>
      <c r="U121" s="12">
        <f t="shared" ref="U121:U127" si="280">+S121*N121</f>
        <v>0.11714274000000001</v>
      </c>
      <c r="X121" s="615" t="s">
        <v>1468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1302</v>
      </c>
      <c r="AB121" s="12" t="s">
        <v>1302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1486</v>
      </c>
      <c r="S122" s="12">
        <v>363.69</v>
      </c>
      <c r="U122" s="12">
        <f t="shared" si="280"/>
        <v>3.8485675800000005</v>
      </c>
      <c r="X122" s="626" t="s">
        <v>1469</v>
      </c>
      <c r="Y122" s="400">
        <v>0.70411500249785086</v>
      </c>
      <c r="Z122" s="641">
        <v>209.74608813235034</v>
      </c>
      <c r="AA122" s="12" t="s">
        <v>1302</v>
      </c>
      <c r="AB122" s="12" t="s">
        <v>1302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1486</v>
      </c>
      <c r="S123" s="12">
        <v>726.7</v>
      </c>
      <c r="U123" s="12">
        <f t="shared" si="280"/>
        <v>10.899046600000002</v>
      </c>
      <c r="X123" s="34" t="s">
        <v>1470</v>
      </c>
      <c r="Y123" s="400">
        <v>2.8224919834781799E-3</v>
      </c>
      <c r="Z123" s="641">
        <v>0.23786180586758954</v>
      </c>
      <c r="AA123" s="12" t="s">
        <v>1302</v>
      </c>
      <c r="AB123" s="12" t="s">
        <v>607</v>
      </c>
      <c r="AC123" s="12" t="s">
        <v>1302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1486</v>
      </c>
      <c r="P124" s="1"/>
      <c r="S124" s="12">
        <v>5.64</v>
      </c>
      <c r="U124" s="12">
        <f t="shared" si="280"/>
        <v>5.9682480000000003E-2</v>
      </c>
      <c r="X124" s="34" t="s">
        <v>1471</v>
      </c>
      <c r="Y124" s="400">
        <v>0.2264193930205074</v>
      </c>
      <c r="Z124" s="641">
        <v>0</v>
      </c>
      <c r="AA124" s="12" t="s">
        <v>1302</v>
      </c>
      <c r="AB124" s="12" t="s">
        <v>607</v>
      </c>
      <c r="AC124" s="12" t="s">
        <v>1302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1486</v>
      </c>
      <c r="P125" s="1"/>
      <c r="S125" s="12">
        <v>165.44</v>
      </c>
      <c r="U125" s="12">
        <f t="shared" si="280"/>
        <v>1.7506860800000001</v>
      </c>
      <c r="X125" s="34" t="s">
        <v>1472</v>
      </c>
      <c r="Y125" s="400">
        <v>2.9005932398423979E-2</v>
      </c>
      <c r="Z125" s="641">
        <v>2.2768748695271519</v>
      </c>
      <c r="AA125" s="12" t="s">
        <v>1302</v>
      </c>
      <c r="AB125" s="12" t="s">
        <v>607</v>
      </c>
      <c r="AC125" s="12" t="s">
        <v>1302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1486</v>
      </c>
      <c r="P126" s="1"/>
      <c r="S126" s="12">
        <v>29.86</v>
      </c>
      <c r="U126" s="12">
        <f t="shared" si="280"/>
        <v>0.31597852000000004</v>
      </c>
      <c r="X126" s="626" t="s">
        <v>1473</v>
      </c>
      <c r="Y126" s="400">
        <v>4.9174002504380532E-2</v>
      </c>
      <c r="Z126" s="641">
        <v>0.61987830491387741</v>
      </c>
      <c r="AA126" s="12" t="s">
        <v>1302</v>
      </c>
      <c r="AB126" s="12" t="s">
        <v>607</v>
      </c>
      <c r="AC126" s="12" t="s">
        <v>1302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1264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1486</v>
      </c>
      <c r="P127" s="1"/>
      <c r="S127" s="12">
        <v>11.13</v>
      </c>
      <c r="U127" s="12">
        <f t="shared" si="280"/>
        <v>0.11777766000000002</v>
      </c>
      <c r="X127" s="626" t="s">
        <v>1474</v>
      </c>
      <c r="Y127" s="400">
        <v>0.99457310605335914</v>
      </c>
      <c r="Z127" s="641">
        <v>13.465657577297089</v>
      </c>
      <c r="AA127" s="12" t="s">
        <v>1302</v>
      </c>
      <c r="AB127" s="12" t="s">
        <v>1302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1487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1487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1487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1487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76" t="s">
        <v>1488</v>
      </c>
      <c r="K138" s="974"/>
      <c r="L138" s="974"/>
      <c r="M138" s="974"/>
      <c r="N138" s="974"/>
      <c r="O138" s="974"/>
      <c r="P138" s="974"/>
      <c r="Q138" s="974"/>
      <c r="R138" s="974"/>
      <c r="S138" s="974"/>
      <c r="T138" s="974"/>
      <c r="U138" s="974"/>
      <c r="V138" s="974"/>
      <c r="W138" s="974"/>
      <c r="X138" s="974"/>
      <c r="Y138" s="974"/>
      <c r="Z138" s="974"/>
      <c r="AA138" s="974"/>
      <c r="AB138" s="974"/>
      <c r="AC138" s="974"/>
      <c r="AD138" s="974"/>
      <c r="AE138" s="974"/>
      <c r="AF138" s="974"/>
      <c r="AG138" s="975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1489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5" t="s">
        <v>1640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1491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1483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1492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1485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1493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76" t="s">
        <v>1494</v>
      </c>
      <c r="K152" s="974"/>
      <c r="L152" s="974"/>
      <c r="M152" s="974"/>
      <c r="N152" s="974"/>
      <c r="O152" s="974"/>
      <c r="P152" s="974"/>
      <c r="Q152" s="974"/>
      <c r="R152" s="974"/>
      <c r="S152" s="974"/>
      <c r="T152" s="974"/>
      <c r="U152" s="974"/>
      <c r="V152" s="974"/>
      <c r="W152" s="974"/>
      <c r="X152" s="974"/>
      <c r="Y152" s="974"/>
      <c r="Z152" s="974"/>
      <c r="AA152" s="974"/>
      <c r="AB152" s="974"/>
      <c r="AC152" s="974"/>
      <c r="AD152" s="974"/>
      <c r="AE152" s="974"/>
      <c r="AF152" s="974"/>
      <c r="AG152" s="975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1495</v>
      </c>
      <c r="W154" s="282" t="s">
        <v>1496</v>
      </c>
      <c r="X154" s="282"/>
      <c r="Y154" s="282"/>
      <c r="Z154" s="282"/>
      <c r="AA154" s="282"/>
      <c r="AB154" s="282"/>
      <c r="AC154" s="282"/>
      <c r="AF154" s="282" t="s">
        <v>1497</v>
      </c>
      <c r="AG154" s="282"/>
      <c r="AH154" s="282"/>
      <c r="AI154" s="282"/>
      <c r="AJ154" s="282"/>
      <c r="AK154" s="282"/>
      <c r="AL154" s="282"/>
      <c r="AY154" s="282" t="s">
        <v>1498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65" t="s">
        <v>1499</v>
      </c>
      <c r="O155" s="920"/>
      <c r="P155" s="965" t="s">
        <v>1499</v>
      </c>
      <c r="Q155" s="920"/>
      <c r="R155" s="643" t="s">
        <v>1500</v>
      </c>
      <c r="S155" s="643" t="s">
        <v>1501</v>
      </c>
      <c r="W155" s="12" t="s">
        <v>1502</v>
      </c>
      <c r="X155" s="12" t="s">
        <v>1503</v>
      </c>
      <c r="Y155" s="12" t="s">
        <v>1243</v>
      </c>
      <c r="Z155" s="12" t="s">
        <v>1352</v>
      </c>
      <c r="AA155" s="12" t="s">
        <v>1356</v>
      </c>
      <c r="AB155" s="12" t="s">
        <v>1257</v>
      </c>
      <c r="AC155" s="12" t="s">
        <v>1504</v>
      </c>
      <c r="AF155" s="12" t="s">
        <v>1502</v>
      </c>
      <c r="AG155" s="12" t="s">
        <v>1503</v>
      </c>
      <c r="AH155" s="12" t="s">
        <v>1243</v>
      </c>
      <c r="AI155" s="12" t="s">
        <v>1352</v>
      </c>
      <c r="AJ155" s="12" t="s">
        <v>1356</v>
      </c>
      <c r="AK155" s="12" t="s">
        <v>1257</v>
      </c>
      <c r="AL155" s="12" t="s">
        <v>1504</v>
      </c>
      <c r="AO155" s="12" t="s">
        <v>1502</v>
      </c>
      <c r="AP155" s="12" t="s">
        <v>1503</v>
      </c>
      <c r="AQ155" s="12" t="s">
        <v>1243</v>
      </c>
      <c r="AR155" s="12" t="s">
        <v>1352</v>
      </c>
      <c r="AS155" s="12" t="s">
        <v>1356</v>
      </c>
      <c r="AT155" s="12" t="s">
        <v>1257</v>
      </c>
      <c r="AU155" s="12" t="s">
        <v>1504</v>
      </c>
      <c r="AY155" s="12" t="s">
        <v>1502</v>
      </c>
      <c r="AZ155" s="12" t="s">
        <v>1503</v>
      </c>
      <c r="BA155" s="12" t="s">
        <v>1243</v>
      </c>
      <c r="BB155" s="12" t="s">
        <v>1352</v>
      </c>
      <c r="BC155" s="12" t="s">
        <v>1356</v>
      </c>
      <c r="BD155" s="12" t="s">
        <v>1257</v>
      </c>
      <c r="BE155" s="12" t="s">
        <v>1504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585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585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585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585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585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585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585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1505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73" t="s">
        <v>1506</v>
      </c>
      <c r="K169" s="974"/>
      <c r="L169" s="974"/>
      <c r="M169" s="974"/>
      <c r="N169" s="974"/>
      <c r="O169" s="974"/>
      <c r="P169" s="974"/>
      <c r="Q169" s="974"/>
      <c r="R169" s="974"/>
      <c r="S169" s="974"/>
      <c r="T169" s="974"/>
      <c r="U169" s="974"/>
      <c r="V169" s="974"/>
      <c r="W169" s="974"/>
      <c r="X169" s="974"/>
      <c r="Y169" s="974"/>
      <c r="Z169" s="974"/>
      <c r="AA169" s="974"/>
      <c r="AB169" s="974"/>
      <c r="AC169" s="974"/>
      <c r="AD169" s="974"/>
      <c r="AE169" s="974"/>
      <c r="AF169" s="974"/>
      <c r="AG169" s="975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55" t="s">
        <v>1507</v>
      </c>
      <c r="K174" s="920"/>
      <c r="L174" s="920"/>
      <c r="M174" s="920"/>
      <c r="N174" s="920"/>
      <c r="O174" s="92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1508</v>
      </c>
      <c r="K176" s="12">
        <v>4.9000000000000004</v>
      </c>
      <c r="L176" s="12" t="s">
        <v>1509</v>
      </c>
      <c r="M176" s="12">
        <f>+K176/1000</f>
        <v>4.9000000000000007E-3</v>
      </c>
      <c r="N176" s="12" t="s">
        <v>1510</v>
      </c>
      <c r="P176" s="12" t="s">
        <v>1511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1512</v>
      </c>
      <c r="P177" s="12" t="s">
        <v>1513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1514</v>
      </c>
      <c r="P178" s="12" t="s">
        <v>1515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1516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1517</v>
      </c>
      <c r="U181" s="14" t="s">
        <v>1518</v>
      </c>
      <c r="V181" s="12" t="s">
        <v>1519</v>
      </c>
      <c r="Y181" s="215" t="s">
        <v>1520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1521</v>
      </c>
      <c r="U182" s="446" t="s">
        <v>1522</v>
      </c>
      <c r="V182" s="12" t="s">
        <v>63</v>
      </c>
      <c r="W182" s="12" t="s">
        <v>1523</v>
      </c>
      <c r="X182" s="12" t="s">
        <v>921</v>
      </c>
      <c r="Y182" s="215" t="s">
        <v>1524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1525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609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1526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1527</v>
      </c>
      <c r="Q193" s="330" t="s">
        <v>1528</v>
      </c>
      <c r="R193" s="12">
        <v>3.33</v>
      </c>
      <c r="S193" s="12" t="s">
        <v>1529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1530</v>
      </c>
      <c r="R194" s="12">
        <v>4.5</v>
      </c>
      <c r="S194" s="12" t="s">
        <v>1529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1531</v>
      </c>
      <c r="T197" s="12">
        <v>8.2176851262728707</v>
      </c>
      <c r="U197" s="12" t="s">
        <v>1529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1527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73" t="s">
        <v>1532</v>
      </c>
      <c r="K203" s="974"/>
      <c r="L203" s="974"/>
      <c r="M203" s="974"/>
      <c r="N203" s="974"/>
      <c r="O203" s="974"/>
      <c r="P203" s="974"/>
      <c r="Q203" s="974"/>
      <c r="R203" s="974"/>
      <c r="S203" s="974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5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65" t="s">
        <v>1533</v>
      </c>
      <c r="P206" s="920"/>
      <c r="Q206" s="920"/>
      <c r="R206" s="920"/>
      <c r="T206" s="919" t="s">
        <v>1534</v>
      </c>
      <c r="U206" s="920"/>
      <c r="V206" s="920"/>
      <c r="W206" s="920"/>
      <c r="Z206" s="977" t="s">
        <v>1535</v>
      </c>
      <c r="AA206" s="917"/>
      <c r="AB206" s="917"/>
      <c r="AC206" s="91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921</v>
      </c>
      <c r="Q207" s="446" t="s">
        <v>1536</v>
      </c>
      <c r="R207" s="446" t="s">
        <v>1096</v>
      </c>
      <c r="T207" s="446" t="s">
        <v>22</v>
      </c>
      <c r="U207" s="446" t="s">
        <v>921</v>
      </c>
      <c r="V207" s="446" t="s">
        <v>1536</v>
      </c>
      <c r="W207" s="446" t="s">
        <v>1096</v>
      </c>
      <c r="Z207" s="499" t="s">
        <v>22</v>
      </c>
      <c r="AA207" s="499" t="s">
        <v>921</v>
      </c>
      <c r="AB207" s="499" t="s">
        <v>1536</v>
      </c>
      <c r="AC207" s="499" t="s">
        <v>1096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1"/>
        <v>0.63071999999999984</v>
      </c>
      <c r="AA209" s="471">
        <f t="shared" ref="AA209:AC209" si="354">+(P209*24*365/1000)*0.0036</f>
        <v>4.7328116359723582</v>
      </c>
      <c r="AB209" s="471">
        <f t="shared" si="354"/>
        <v>1.5220623656853185</v>
      </c>
      <c r="AC209" s="471">
        <f t="shared" si="354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6">J196</f>
        <v>Putumayo</v>
      </c>
      <c r="K211" s="103" t="str">
        <f t="shared" si="356"/>
        <v>Light Oil</v>
      </c>
      <c r="L211" s="614" t="str">
        <f t="shared" si="356"/>
        <v>CAM4</v>
      </c>
      <c r="M211" s="34" t="str">
        <f t="shared" si="356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7">+(O211*24*365/1000)*0.0036</f>
        <v>0</v>
      </c>
      <c r="AA211" s="471">
        <f t="shared" si="357"/>
        <v>0</v>
      </c>
      <c r="AB211" s="471">
        <f t="shared" si="357"/>
        <v>0.66944714800759952</v>
      </c>
      <c r="AC211" s="471">
        <f t="shared" si="357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8">J197</f>
        <v>VMM</v>
      </c>
      <c r="K212" s="103" t="str">
        <f t="shared" si="358"/>
        <v>Medium Oil</v>
      </c>
      <c r="L212" s="614" t="str">
        <f t="shared" si="358"/>
        <v>CAM5</v>
      </c>
      <c r="M212" s="34" t="str">
        <f t="shared" si="358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9">+(O212*24*365/1000)*0.0036</f>
        <v>0</v>
      </c>
      <c r="AA212" s="471">
        <f t="shared" si="359"/>
        <v>0.61324097015441748</v>
      </c>
      <c r="AB212" s="471">
        <f t="shared" si="359"/>
        <v>1.3049984589915189</v>
      </c>
      <c r="AC212" s="471">
        <f t="shared" si="359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0">J198</f>
        <v>VSM</v>
      </c>
      <c r="K213" s="103" t="str">
        <f t="shared" si="360"/>
        <v>Medium Oil</v>
      </c>
      <c r="L213" s="614" t="str">
        <f t="shared" si="360"/>
        <v>CAM6</v>
      </c>
      <c r="M213" s="626" t="str">
        <f t="shared" si="360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1">+(O213*24*365/1000)*0.0036</f>
        <v>0</v>
      </c>
      <c r="AA213" s="471">
        <f t="shared" si="361"/>
        <v>7.2015258812680727E-2</v>
      </c>
      <c r="AB213" s="471">
        <f t="shared" si="361"/>
        <v>0.62054333297305764</v>
      </c>
      <c r="AC213" s="471">
        <f t="shared" si="361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2">J199</f>
        <v>VIM</v>
      </c>
      <c r="K214" s="103" t="str">
        <f t="shared" si="362"/>
        <v>Doesn't Apply</v>
      </c>
      <c r="L214" s="614" t="str">
        <f t="shared" si="362"/>
        <v>CAM7</v>
      </c>
      <c r="M214" s="626" t="str">
        <f t="shared" si="362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3">+(O214*24*365/1000)*0.0036</f>
        <v>0</v>
      </c>
      <c r="AA214" s="471">
        <f t="shared" si="363"/>
        <v>8.0173996489854554E-3</v>
      </c>
      <c r="AB214" s="471">
        <f t="shared" si="363"/>
        <v>0</v>
      </c>
      <c r="AC214" s="471">
        <f t="shared" si="363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16" t="s">
        <v>1537</v>
      </c>
      <c r="P218" s="917"/>
      <c r="Q218" s="918"/>
      <c r="T218" s="919" t="s">
        <v>1534</v>
      </c>
      <c r="U218" s="920"/>
      <c r="V218" s="920"/>
      <c r="W218" s="920"/>
      <c r="Z218" s="969" t="s">
        <v>1538</v>
      </c>
      <c r="AA218" s="917"/>
      <c r="AB218" s="91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4">J207</f>
        <v>Basin</v>
      </c>
      <c r="K219" s="608" t="str">
        <f t="shared" si="364"/>
        <v>Type Fluid</v>
      </c>
      <c r="L219" s="608" t="str">
        <f t="shared" si="364"/>
        <v>CAM</v>
      </c>
      <c r="M219" s="608" t="str">
        <f t="shared" si="364"/>
        <v>Type of Oil producing</v>
      </c>
      <c r="O219" s="429" t="s">
        <v>563</v>
      </c>
      <c r="P219" s="429" t="s">
        <v>1536</v>
      </c>
      <c r="Q219" s="429" t="s">
        <v>63</v>
      </c>
      <c r="T219" s="446" t="s">
        <v>22</v>
      </c>
      <c r="U219" s="446" t="s">
        <v>921</v>
      </c>
      <c r="V219" s="446" t="s">
        <v>1536</v>
      </c>
      <c r="W219" s="446" t="s">
        <v>1096</v>
      </c>
      <c r="Z219" s="652" t="s">
        <v>563</v>
      </c>
      <c r="AA219" s="652" t="s">
        <v>1536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5">J208</f>
        <v>Guajira</v>
      </c>
      <c r="K220" s="103" t="str">
        <f t="shared" si="365"/>
        <v>Doesn't Apply</v>
      </c>
      <c r="L220" s="614" t="str">
        <f t="shared" si="365"/>
        <v>CAM1</v>
      </c>
      <c r="M220" s="615" t="str">
        <f t="shared" si="365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6">+(P220*24*0.365)*0.0036</f>
        <v>0</v>
      </c>
      <c r="AB220" s="654">
        <f t="shared" si="366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7">J209</f>
        <v>Llanos Orientales</v>
      </c>
      <c r="K221" s="103" t="str">
        <f t="shared" si="367"/>
        <v>Light Oil</v>
      </c>
      <c r="L221" s="614" t="str">
        <f t="shared" si="367"/>
        <v>CAM2</v>
      </c>
      <c r="M221" s="626" t="str">
        <f t="shared" si="367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8">+(O221*24*0.365)*0.0036</f>
        <v>8.5591327795199984E-2</v>
      </c>
      <c r="AA221" s="654">
        <f t="shared" si="368"/>
        <v>0.34236531118079994</v>
      </c>
      <c r="AB221" s="654">
        <f t="shared" si="368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9">J210</f>
        <v>Llanos Orientales</v>
      </c>
      <c r="K222" s="103" t="str">
        <f t="shared" si="369"/>
        <v>Heavy Oil</v>
      </c>
      <c r="L222" s="614" t="str">
        <f t="shared" si="369"/>
        <v>CAM3</v>
      </c>
      <c r="M222" s="34" t="str">
        <f t="shared" si="369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0">J211</f>
        <v>Putumayo</v>
      </c>
      <c r="K223" s="103" t="str">
        <f t="shared" si="370"/>
        <v>Light Oil</v>
      </c>
      <c r="L223" s="614" t="str">
        <f t="shared" si="370"/>
        <v>CAM4</v>
      </c>
      <c r="M223" s="34" t="str">
        <f t="shared" si="370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1">+(O223*24*0.365)*0.0036</f>
        <v>1.1095172121600003E-2</v>
      </c>
      <c r="AA223" s="654">
        <f t="shared" si="371"/>
        <v>4.4380688486400012E-2</v>
      </c>
      <c r="AB223" s="654">
        <f t="shared" si="371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2">J212</f>
        <v>VMM</v>
      </c>
      <c r="K224" s="103" t="str">
        <f t="shared" si="372"/>
        <v>Medium Oil</v>
      </c>
      <c r="L224" s="614" t="str">
        <f t="shared" si="372"/>
        <v>CAM5</v>
      </c>
      <c r="M224" s="34" t="str">
        <f t="shared" si="372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3">+(O224*24*0.365)*0.0036</f>
        <v>2.8530442598399999E-2</v>
      </c>
      <c r="AA224" s="654">
        <f t="shared" si="373"/>
        <v>0.1141217703936</v>
      </c>
      <c r="AB224" s="654">
        <f t="shared" si="373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4">J213</f>
        <v>VSM</v>
      </c>
      <c r="K225" s="103" t="str">
        <f t="shared" si="374"/>
        <v>Medium Oil</v>
      </c>
      <c r="L225" s="614" t="str">
        <f t="shared" si="374"/>
        <v>CAM6</v>
      </c>
      <c r="M225" s="626" t="str">
        <f t="shared" si="374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5">+(O225*24*0.365)*0.0036</f>
        <v>1.1095172121600003E-2</v>
      </c>
      <c r="AA225" s="654">
        <f t="shared" si="375"/>
        <v>4.4380688486400012E-2</v>
      </c>
      <c r="AB225" s="654">
        <f t="shared" si="375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6">J214</f>
        <v>VIM</v>
      </c>
      <c r="K226" s="103" t="str">
        <f t="shared" si="376"/>
        <v>Doesn't Apply</v>
      </c>
      <c r="L226" s="614" t="str">
        <f t="shared" si="376"/>
        <v>CAM7</v>
      </c>
      <c r="M226" s="626" t="str">
        <f t="shared" si="376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7">+(O226*24*0.365)*0.0036</f>
        <v>3.1700491776000001E-3</v>
      </c>
      <c r="AA226" s="654">
        <f t="shared" si="377"/>
        <v>1.26801967104E-2</v>
      </c>
      <c r="AB226" s="654">
        <f t="shared" si="377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CR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78" t="s">
        <v>1539</v>
      </c>
      <c r="D3" s="920"/>
      <c r="E3" s="920"/>
      <c r="F3" s="920"/>
      <c r="G3" s="920"/>
      <c r="H3" s="920"/>
      <c r="I3" s="657"/>
      <c r="K3" s="116"/>
      <c r="L3" s="978" t="s">
        <v>1540</v>
      </c>
      <c r="M3" s="920"/>
      <c r="N3" s="920"/>
      <c r="O3" s="920"/>
      <c r="P3" s="920"/>
      <c r="Q3" s="920"/>
      <c r="R3" s="920"/>
      <c r="S3" s="920"/>
      <c r="T3" s="920"/>
      <c r="U3" s="920"/>
      <c r="V3" s="920"/>
      <c r="W3" s="920"/>
      <c r="X3" s="658"/>
      <c r="Y3" s="658"/>
      <c r="Z3" s="658"/>
      <c r="AA3" s="658"/>
      <c r="AB3" s="657"/>
      <c r="AC3" s="380"/>
      <c r="AD3" s="116"/>
      <c r="AE3" s="978" t="s">
        <v>1541</v>
      </c>
      <c r="AF3" s="920"/>
      <c r="AG3" s="920"/>
      <c r="AH3" s="920"/>
      <c r="AI3" s="920"/>
      <c r="AJ3" s="920"/>
      <c r="AK3" s="920"/>
      <c r="AL3" s="655"/>
      <c r="AM3" s="1"/>
      <c r="AN3" s="979" t="s">
        <v>1542</v>
      </c>
      <c r="AO3" s="917"/>
      <c r="AP3" s="917"/>
      <c r="AQ3" s="917"/>
      <c r="AR3" s="917"/>
      <c r="AS3" s="917"/>
      <c r="AT3" s="917"/>
      <c r="AU3" s="917"/>
      <c r="AV3" s="917"/>
      <c r="AW3" s="917"/>
      <c r="AX3" s="917"/>
      <c r="AY3" s="917"/>
      <c r="AZ3" s="917"/>
      <c r="BA3" s="917"/>
      <c r="BB3" s="917"/>
      <c r="BC3" s="917"/>
      <c r="BD3" s="917"/>
      <c r="BE3" s="917"/>
      <c r="BF3" s="917"/>
      <c r="BG3" s="917"/>
      <c r="BH3" s="917"/>
      <c r="BI3" s="917"/>
      <c r="BJ3" s="918"/>
      <c r="BK3" s="43"/>
      <c r="BL3" s="116"/>
      <c r="BM3" s="978" t="s">
        <v>1543</v>
      </c>
      <c r="BN3" s="920"/>
      <c r="BO3" s="920"/>
      <c r="BP3" s="920"/>
      <c r="BQ3" s="920"/>
      <c r="BR3" s="920"/>
      <c r="BS3" s="920"/>
      <c r="BT3" s="920"/>
      <c r="BU3" s="658"/>
      <c r="BV3" s="658"/>
      <c r="BW3" s="658"/>
      <c r="BX3" s="655"/>
      <c r="BZ3" s="659"/>
      <c r="CA3" s="978" t="s">
        <v>1544</v>
      </c>
      <c r="CB3" s="920"/>
      <c r="CC3" s="920"/>
      <c r="CD3" s="920"/>
      <c r="CE3" s="920"/>
      <c r="CF3" s="920"/>
      <c r="CG3" s="920"/>
      <c r="CH3" s="920"/>
      <c r="CI3" s="920"/>
      <c r="CJ3" s="920"/>
      <c r="CK3" s="920"/>
      <c r="CL3" s="920"/>
      <c r="CM3" s="920"/>
      <c r="CN3" s="920"/>
      <c r="CO3" s="288"/>
      <c r="CP3" s="305"/>
      <c r="CR3" s="116"/>
      <c r="CS3" s="978" t="s">
        <v>1545</v>
      </c>
      <c r="CT3" s="920"/>
      <c r="CU3" s="920"/>
      <c r="CV3" s="920"/>
      <c r="CW3" s="920"/>
      <c r="CX3" s="920"/>
      <c r="CY3" s="920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1546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81" t="s">
        <v>1547</v>
      </c>
      <c r="M5" s="920"/>
      <c r="N5" s="920"/>
      <c r="O5" s="920"/>
      <c r="P5" s="660"/>
      <c r="Q5" s="981" t="s">
        <v>1548</v>
      </c>
      <c r="R5" s="920"/>
      <c r="S5" s="920"/>
      <c r="T5" s="660"/>
      <c r="U5" s="981" t="s">
        <v>1549</v>
      </c>
      <c r="V5" s="920"/>
      <c r="W5" s="660"/>
      <c r="X5" s="664"/>
      <c r="Y5" s="980" t="s">
        <v>1550</v>
      </c>
      <c r="Z5" s="917"/>
      <c r="AA5" s="918"/>
      <c r="AB5" s="662"/>
      <c r="AC5" s="380"/>
      <c r="AD5" s="661"/>
      <c r="AE5" s="981" t="s">
        <v>1551</v>
      </c>
      <c r="AF5" s="920"/>
      <c r="AG5" s="920"/>
      <c r="AH5" s="660"/>
      <c r="AI5" s="981" t="s">
        <v>1552</v>
      </c>
      <c r="AJ5" s="920"/>
      <c r="AK5" s="920"/>
      <c r="AL5" s="662"/>
      <c r="AM5" s="665"/>
      <c r="AN5" s="981" t="s">
        <v>1553</v>
      </c>
      <c r="AO5" s="920"/>
      <c r="AP5" s="920"/>
      <c r="AQ5" s="920"/>
      <c r="AR5" s="665"/>
      <c r="AS5" s="980" t="s">
        <v>1554</v>
      </c>
      <c r="AT5" s="917"/>
      <c r="AU5" s="917"/>
      <c r="AV5" s="917"/>
      <c r="AW5" s="917"/>
      <c r="AX5" s="917"/>
      <c r="AY5" s="917"/>
      <c r="AZ5" s="918"/>
      <c r="BA5" s="665"/>
      <c r="BB5" s="666" t="s">
        <v>1555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81" t="s">
        <v>1556</v>
      </c>
      <c r="BN5" s="920"/>
      <c r="BO5" s="920"/>
      <c r="BP5" s="660"/>
      <c r="BQ5" s="668" t="s">
        <v>1557</v>
      </c>
      <c r="BR5" s="660"/>
      <c r="BS5" s="663"/>
      <c r="BT5" s="663"/>
      <c r="BU5" s="666" t="s">
        <v>1558</v>
      </c>
      <c r="BV5" s="664"/>
      <c r="BW5" s="664"/>
      <c r="BX5" s="662"/>
      <c r="BY5" s="660"/>
      <c r="BZ5" s="669"/>
      <c r="CA5" s="982" t="s">
        <v>1559</v>
      </c>
      <c r="CB5" s="983"/>
      <c r="CC5" s="983"/>
      <c r="CD5" s="983"/>
      <c r="CE5" s="983"/>
      <c r="CF5" s="983"/>
      <c r="CG5" s="984"/>
      <c r="CH5" s="665"/>
      <c r="CI5" s="981" t="s">
        <v>1560</v>
      </c>
      <c r="CJ5" s="920"/>
      <c r="CK5" s="920"/>
      <c r="CL5" s="920"/>
      <c r="CM5" s="920"/>
      <c r="CN5" s="920"/>
      <c r="CO5" s="920"/>
      <c r="CP5" s="670"/>
      <c r="CQ5" s="660"/>
      <c r="CR5" s="661"/>
      <c r="CS5" s="982" t="s">
        <v>1561</v>
      </c>
      <c r="CT5" s="983"/>
      <c r="CU5" s="983"/>
      <c r="CV5" s="983"/>
      <c r="CW5" s="983"/>
      <c r="CX5" s="983"/>
      <c r="CY5" s="983"/>
      <c r="CZ5" s="984"/>
      <c r="DA5" s="668" t="s">
        <v>1562</v>
      </c>
      <c r="DB5" s="664"/>
      <c r="DC5" s="664"/>
      <c r="DD5" s="980" t="s">
        <v>1563</v>
      </c>
      <c r="DE5" s="917"/>
      <c r="DF5" s="917"/>
      <c r="DG5" s="918"/>
      <c r="DH5" s="662"/>
      <c r="DI5" s="660"/>
      <c r="DJ5" s="661"/>
      <c r="DK5" s="660" t="s">
        <v>1564</v>
      </c>
      <c r="DL5" s="660"/>
      <c r="DM5" s="660"/>
      <c r="DN5" s="660"/>
      <c r="DO5" s="660"/>
      <c r="DP5" s="660" t="s">
        <v>1565</v>
      </c>
      <c r="DQ5" s="660"/>
      <c r="DR5" s="660"/>
      <c r="DS5" s="660"/>
      <c r="DT5" s="660"/>
      <c r="DU5" s="660" t="s">
        <v>1565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880</v>
      </c>
      <c r="I7" s="655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5"/>
      <c r="AC7" s="1"/>
      <c r="AD7" s="116"/>
      <c r="AE7" s="381" t="s">
        <v>880</v>
      </c>
      <c r="AI7" s="381" t="s">
        <v>880</v>
      </c>
      <c r="AL7" s="655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5"/>
      <c r="BZ7" s="656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5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1" t="s">
        <v>882</v>
      </c>
      <c r="E8" s="671" t="s">
        <v>46</v>
      </c>
      <c r="F8" s="671" t="s">
        <v>1566</v>
      </c>
      <c r="G8" s="671" t="s">
        <v>1567</v>
      </c>
      <c r="H8" s="671" t="s">
        <v>930</v>
      </c>
      <c r="I8" s="672"/>
      <c r="K8" s="116"/>
      <c r="L8" s="354" t="s">
        <v>312</v>
      </c>
      <c r="M8" s="355" t="s">
        <v>928</v>
      </c>
      <c r="N8" s="355" t="s">
        <v>1114</v>
      </c>
      <c r="O8" s="355" t="s">
        <v>973</v>
      </c>
      <c r="Q8" s="673" t="s">
        <v>312</v>
      </c>
      <c r="R8" s="671" t="s">
        <v>881</v>
      </c>
      <c r="S8" s="671" t="s">
        <v>943</v>
      </c>
      <c r="U8" s="354" t="s">
        <v>312</v>
      </c>
      <c r="V8" s="674" t="s">
        <v>882</v>
      </c>
      <c r="W8" s="674" t="s">
        <v>930</v>
      </c>
      <c r="X8" s="426"/>
      <c r="Y8" s="354" t="s">
        <v>312</v>
      </c>
      <c r="Z8" s="674" t="s">
        <v>1567</v>
      </c>
      <c r="AA8" s="426"/>
      <c r="AB8" s="675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1568</v>
      </c>
      <c r="AL8" s="676"/>
      <c r="AM8" s="677"/>
      <c r="AN8" s="371" t="s">
        <v>312</v>
      </c>
      <c r="AO8" s="371" t="s">
        <v>881</v>
      </c>
      <c r="AP8" s="678" t="s">
        <v>882</v>
      </c>
      <c r="AQ8" s="679" t="s">
        <v>930</v>
      </c>
      <c r="AR8" s="677"/>
      <c r="AS8" s="371" t="s">
        <v>312</v>
      </c>
      <c r="AT8" s="371" t="s">
        <v>881</v>
      </c>
      <c r="AU8" s="678" t="s">
        <v>882</v>
      </c>
      <c r="AV8" s="679" t="s">
        <v>930</v>
      </c>
      <c r="AW8" s="1"/>
      <c r="AX8" s="371" t="s">
        <v>312</v>
      </c>
      <c r="AY8" s="680" t="s">
        <v>1115</v>
      </c>
      <c r="AZ8" s="680" t="s">
        <v>46</v>
      </c>
      <c r="BA8" s="681"/>
      <c r="BB8" s="682" t="s">
        <v>312</v>
      </c>
      <c r="BC8" s="682" t="s">
        <v>881</v>
      </c>
      <c r="BD8" s="683" t="s">
        <v>882</v>
      </c>
      <c r="BE8" s="684" t="s">
        <v>930</v>
      </c>
      <c r="BF8" s="681"/>
      <c r="BG8" s="682" t="s">
        <v>312</v>
      </c>
      <c r="BH8" s="685" t="s">
        <v>1115</v>
      </c>
      <c r="BI8" s="685" t="s">
        <v>46</v>
      </c>
      <c r="BJ8" s="677"/>
      <c r="BK8" s="43"/>
      <c r="BL8" s="116"/>
      <c r="BM8" s="334" t="s">
        <v>312</v>
      </c>
      <c r="BN8" s="371" t="s">
        <v>46</v>
      </c>
      <c r="BO8" s="680" t="s">
        <v>1115</v>
      </c>
      <c r="BQ8" s="334" t="s">
        <v>312</v>
      </c>
      <c r="BR8" s="678" t="s">
        <v>881</v>
      </c>
      <c r="BS8" s="678" t="s">
        <v>930</v>
      </c>
      <c r="BU8" s="334" t="s">
        <v>312</v>
      </c>
      <c r="BV8" s="678" t="s">
        <v>882</v>
      </c>
      <c r="BW8" s="678" t="s">
        <v>1568</v>
      </c>
      <c r="BX8" s="686"/>
      <c r="BZ8" s="687"/>
      <c r="CA8" s="688" t="s">
        <v>312</v>
      </c>
      <c r="CB8" s="689" t="s">
        <v>881</v>
      </c>
      <c r="CC8" s="688" t="s">
        <v>1050</v>
      </c>
      <c r="CD8" s="677"/>
      <c r="CE8" s="690" t="s">
        <v>312</v>
      </c>
      <c r="CF8" s="689" t="s">
        <v>882</v>
      </c>
      <c r="CG8" s="691" t="s">
        <v>930</v>
      </c>
      <c r="CH8" s="677"/>
      <c r="CI8" s="371" t="s">
        <v>312</v>
      </c>
      <c r="CJ8" s="678" t="s">
        <v>881</v>
      </c>
      <c r="CK8" s="371" t="s">
        <v>1050</v>
      </c>
      <c r="CM8" s="334" t="s">
        <v>312</v>
      </c>
      <c r="CN8" s="678" t="s">
        <v>882</v>
      </c>
      <c r="CO8" s="372" t="s">
        <v>930</v>
      </c>
      <c r="CP8" s="305"/>
      <c r="CR8" s="116"/>
      <c r="CS8" s="692" t="s">
        <v>312</v>
      </c>
      <c r="CT8" s="683" t="s">
        <v>881</v>
      </c>
      <c r="CU8" s="677"/>
      <c r="CW8" s="692" t="s">
        <v>312</v>
      </c>
      <c r="CX8" s="683" t="s">
        <v>882</v>
      </c>
      <c r="CY8" s="684" t="s">
        <v>930</v>
      </c>
      <c r="CZ8" s="693"/>
      <c r="DA8" s="334" t="s">
        <v>312</v>
      </c>
      <c r="DB8" s="678" t="s">
        <v>881</v>
      </c>
      <c r="DC8" s="677"/>
      <c r="DE8" s="334" t="s">
        <v>312</v>
      </c>
      <c r="DF8" s="678" t="s">
        <v>882</v>
      </c>
      <c r="DG8" s="679" t="s">
        <v>930</v>
      </c>
      <c r="DH8" s="694"/>
      <c r="DJ8" s="116"/>
      <c r="DK8" s="334" t="s">
        <v>312</v>
      </c>
      <c r="DL8" s="678" t="s">
        <v>881</v>
      </c>
      <c r="DM8" s="678" t="s">
        <v>882</v>
      </c>
      <c r="DN8" s="371" t="s">
        <v>930</v>
      </c>
      <c r="DP8" s="334" t="s">
        <v>312</v>
      </c>
      <c r="DQ8" s="678" t="s">
        <v>881</v>
      </c>
      <c r="DR8" s="678" t="s">
        <v>882</v>
      </c>
      <c r="DS8" s="371" t="s">
        <v>930</v>
      </c>
      <c r="DU8" s="334" t="s">
        <v>312</v>
      </c>
      <c r="DV8" s="678" t="s">
        <v>881</v>
      </c>
      <c r="DW8" s="678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1115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1569</v>
      </c>
      <c r="AK9" s="11">
        <f>+('5. Data'!O99-'5. Data'!S99)/('5. Data'!AH99-'5. Data'!S99)</f>
        <v>1</v>
      </c>
      <c r="AL9" s="701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2" t="str">
        <f t="array" ref="AS9:AS11">+PROCESS!N157:N159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+PROCESS!N116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1569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1569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+PROCESS!N85:N90</f>
        <v>COMPRA-ELC-CAM1</v>
      </c>
      <c r="DL9" s="12" t="str">
        <f>+'1. EXP_IMP'!$K$66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EXP_IMP'!$K$66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EXP_IMP'!$K$66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1115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1570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EXP_IMP'!$K$66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EXP_IMP'!$K$66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EXP_IMP'!$K$66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1115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+PROCESS!N117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EXP_IMP'!$K$66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EXP_IMP'!$K$66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EXP_IMP'!$K$66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1115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+PROCESS!N164:N175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8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EXP_IMP'!$K$66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EXP_IMP'!$K$66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EXP_IMP'!$K$66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1115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+PROCESS!N118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EXP_IMP'!$K$66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EXP_IMP'!$K$66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EXP_IMP'!$K$66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1115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EXP_IMP'!$K$66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EXP_IMP'!$K$66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EXP_IMP'!$K$66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1115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+PROCESS!N119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+PROCESS!N114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1115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1115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+PROCESS!N120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1115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556</v>
      </c>
    </row>
    <row r="19" spans="2:127" x14ac:dyDescent="0.25">
      <c r="B19" s="116"/>
      <c r="I19" s="655"/>
      <c r="K19" s="116"/>
      <c r="L19" s="214"/>
      <c r="M19" s="214" t="s">
        <v>1115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1571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1115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5"/>
      <c r="K21" s="116"/>
      <c r="L21" s="214"/>
      <c r="M21" s="214" t="s">
        <v>1115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312</v>
      </c>
      <c r="DL21" s="337" t="s">
        <v>882</v>
      </c>
      <c r="DM21" s="337" t="s">
        <v>1054</v>
      </c>
      <c r="DP21" s="337" t="s">
        <v>312</v>
      </c>
      <c r="DQ21" s="337" t="s">
        <v>882</v>
      </c>
      <c r="DR21" s="337" t="s">
        <v>1054</v>
      </c>
      <c r="DU21" s="337" t="s">
        <v>312</v>
      </c>
      <c r="DV21" s="337" t="s">
        <v>882</v>
      </c>
      <c r="DW21" s="337" t="s">
        <v>1054</v>
      </c>
    </row>
    <row r="22" spans="2:127" ht="15.75" customHeight="1" x14ac:dyDescent="0.25">
      <c r="B22" s="116"/>
      <c r="I22" s="655"/>
      <c r="K22" s="116"/>
      <c r="L22" s="214"/>
      <c r="M22" s="214" t="s">
        <v>1115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1572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1572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1572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1115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312</v>
      </c>
      <c r="CN23" s="713" t="s">
        <v>1567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1115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1054</v>
      </c>
      <c r="X24" s="677"/>
      <c r="Y24" s="677"/>
      <c r="Z24" s="677"/>
      <c r="AA24" s="677"/>
      <c r="AB24" s="676"/>
      <c r="AC24" s="1"/>
      <c r="AD24" s="116"/>
      <c r="AE24" s="381" t="s">
        <v>880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1115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312</v>
      </c>
      <c r="AF25" s="337" t="s">
        <v>882</v>
      </c>
      <c r="AG25" s="337" t="s">
        <v>1054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312</v>
      </c>
      <c r="CT25" s="683" t="s">
        <v>881</v>
      </c>
      <c r="CU25" s="715" t="s">
        <v>1050</v>
      </c>
      <c r="CZ25" s="1"/>
      <c r="DA25" s="334" t="s">
        <v>312</v>
      </c>
      <c r="DB25" s="678" t="s">
        <v>881</v>
      </c>
      <c r="DC25" s="371" t="s">
        <v>1050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1115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1115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1115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8" t="s">
        <v>882</v>
      </c>
      <c r="AV28" s="679" t="s">
        <v>930</v>
      </c>
      <c r="AW28" s="1"/>
      <c r="AX28" s="1"/>
      <c r="AY28" s="1"/>
      <c r="AZ28" s="1"/>
      <c r="BA28" s="1"/>
      <c r="BB28" s="682" t="s">
        <v>312</v>
      </c>
      <c r="BC28" s="682" t="s">
        <v>881</v>
      </c>
      <c r="BD28" s="683" t="s">
        <v>882</v>
      </c>
      <c r="BE28" s="684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1571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1115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1115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1115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7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1115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1643</v>
      </c>
      <c r="DL32">
        <v>1646</v>
      </c>
      <c r="DM32" t="s">
        <v>599</v>
      </c>
      <c r="DN32">
        <f>+DL32*0.0036</f>
        <v>5.9256000000000002</v>
      </c>
      <c r="DO32" t="s">
        <v>59</v>
      </c>
      <c r="DP32" s="381" t="s">
        <v>880</v>
      </c>
    </row>
    <row r="33" spans="2:121" ht="15.75" customHeight="1" x14ac:dyDescent="0.25">
      <c r="B33" s="116"/>
      <c r="I33" s="655"/>
      <c r="K33" s="116"/>
      <c r="M33" s="214" t="s">
        <v>1115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19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1644</v>
      </c>
      <c r="DL33">
        <v>509</v>
      </c>
      <c r="DM33" t="s">
        <v>599</v>
      </c>
      <c r="DN33">
        <f>+DL33*0.0036</f>
        <v>1.8324</v>
      </c>
      <c r="DO33" t="s">
        <v>59</v>
      </c>
      <c r="DP33" s="334" t="s">
        <v>312</v>
      </c>
      <c r="DQ33" s="334" t="s">
        <v>1115</v>
      </c>
    </row>
    <row r="34" spans="2:121" ht="15.75" customHeight="1" x14ac:dyDescent="0.25">
      <c r="B34" s="116"/>
      <c r="I34" s="655"/>
      <c r="K34" s="116"/>
      <c r="M34" s="214" t="s">
        <v>1115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1645</v>
      </c>
      <c r="DL34" s="812">
        <f>3566038/1000000</f>
        <v>3.5660379999999998</v>
      </c>
      <c r="DM34" t="s">
        <v>599</v>
      </c>
      <c r="DN34" s="811">
        <f>+DL34*0.0036</f>
        <v>1.2837736799999999E-2</v>
      </c>
      <c r="DO34" t="s">
        <v>59</v>
      </c>
      <c r="DP34" s="813" t="str">
        <f>+'1. EXP_IMP'!I66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1115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599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1115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1115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1646</v>
      </c>
      <c r="DL37">
        <v>725000</v>
      </c>
      <c r="DM37" t="s">
        <v>1649</v>
      </c>
    </row>
    <row r="38" spans="2:121" ht="15.75" customHeight="1" x14ac:dyDescent="0.25">
      <c r="B38" s="116"/>
      <c r="I38" s="655"/>
      <c r="K38" s="116"/>
      <c r="M38" s="214" t="s">
        <v>1115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1647</v>
      </c>
    </row>
    <row r="39" spans="2:121" ht="15.75" customHeight="1" x14ac:dyDescent="0.25">
      <c r="B39" s="116"/>
      <c r="I39" s="655"/>
      <c r="K39" s="116"/>
      <c r="M39" s="214" t="s">
        <v>1115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1648</v>
      </c>
      <c r="DL39">
        <v>168813</v>
      </c>
      <c r="DM39" t="s">
        <v>615</v>
      </c>
    </row>
    <row r="40" spans="2:121" ht="15.75" customHeight="1" x14ac:dyDescent="0.25">
      <c r="B40" s="116"/>
      <c r="I40" s="655"/>
      <c r="K40" s="116"/>
      <c r="M40" s="214" t="s">
        <v>1115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1115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1115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1115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1115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1115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1115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1115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1115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1115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1115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1115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1115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1115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1115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1115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1115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1115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1115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1115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1115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1115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1115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1115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1115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1115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1115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1115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1115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1115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1115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1115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1115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1115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1115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1573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1115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1115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1115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1115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1115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1115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1115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1115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1115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1115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1115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1115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1115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1115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1115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1115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1115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1115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1115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1115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1115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1115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1115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1115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1115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1115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1115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1115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1115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1115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1115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1115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1574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54" t="s">
        <v>1575</v>
      </c>
      <c r="K6" s="953"/>
      <c r="L6" s="922"/>
      <c r="M6" s="730" t="s">
        <v>1576</v>
      </c>
      <c r="N6" s="729"/>
      <c r="O6" s="1"/>
      <c r="P6" s="728"/>
      <c r="Q6" s="1"/>
      <c r="R6" s="954" t="s">
        <v>1577</v>
      </c>
      <c r="S6" s="953"/>
      <c r="T6" s="922"/>
      <c r="U6" s="730" t="s">
        <v>1578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1579</v>
      </c>
      <c r="E7" s="732" t="s">
        <v>1580</v>
      </c>
      <c r="F7" s="733" t="s">
        <v>1576</v>
      </c>
      <c r="G7" s="1"/>
      <c r="H7" s="728"/>
      <c r="I7" s="538"/>
      <c r="J7" s="734" t="s">
        <v>1490</v>
      </c>
      <c r="K7" s="735" t="s">
        <v>1581</v>
      </c>
      <c r="L7" s="736" t="s">
        <v>996</v>
      </c>
      <c r="M7" s="737" t="s">
        <v>996</v>
      </c>
      <c r="N7" s="729"/>
      <c r="O7" s="1"/>
      <c r="P7" s="728"/>
      <c r="Q7" s="538"/>
      <c r="R7" s="734" t="s">
        <v>1490</v>
      </c>
      <c r="S7" s="735" t="s">
        <v>1581</v>
      </c>
      <c r="T7" s="736" t="s">
        <v>996</v>
      </c>
      <c r="U7" s="737" t="s">
        <v>996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1582</v>
      </c>
      <c r="D8" s="739">
        <f>+D9+D10+D11</f>
        <v>38.799999999999997</v>
      </c>
      <c r="E8" s="740"/>
      <c r="F8" s="741"/>
      <c r="G8" s="1"/>
      <c r="H8" s="728"/>
      <c r="I8" s="742" t="s">
        <v>1491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1491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1483</v>
      </c>
      <c r="D9" s="656">
        <v>14.3</v>
      </c>
      <c r="E9" s="655">
        <v>0.74</v>
      </c>
      <c r="F9" s="748">
        <v>0.3</v>
      </c>
      <c r="G9" s="1"/>
      <c r="H9" s="728"/>
      <c r="I9" s="749" t="s">
        <v>1483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1483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1484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1492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1492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1485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1485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1485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1583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1493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1493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1579</v>
      </c>
      <c r="E13" s="762" t="s">
        <v>1580</v>
      </c>
      <c r="F13" s="763" t="s">
        <v>1576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1584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1513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1515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1575</v>
      </c>
      <c r="K16" s="730" t="s">
        <v>1576</v>
      </c>
      <c r="L16" s="1"/>
      <c r="M16" s="1"/>
      <c r="N16" s="729"/>
      <c r="O16" s="1"/>
      <c r="P16" s="728"/>
      <c r="Q16" s="1"/>
      <c r="R16" s="766" t="s">
        <v>1577</v>
      </c>
      <c r="S16" s="730" t="s">
        <v>1576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1585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1586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1586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1579</v>
      </c>
      <c r="E18" s="762" t="s">
        <v>1580</v>
      </c>
      <c r="F18" s="763" t="s">
        <v>1576</v>
      </c>
      <c r="G18" s="1"/>
      <c r="H18" s="728"/>
      <c r="I18" s="749" t="s">
        <v>1587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1587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1588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1589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1589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1549</v>
      </c>
      <c r="D20" s="656">
        <v>0.5</v>
      </c>
      <c r="E20" s="655"/>
      <c r="F20" s="748">
        <v>0.03</v>
      </c>
      <c r="G20" s="1"/>
      <c r="H20" s="728"/>
      <c r="I20" s="752" t="s">
        <v>1590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1590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1591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1592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1593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1594</v>
      </c>
      <c r="D24" s="656">
        <v>11.83</v>
      </c>
      <c r="E24" s="655"/>
      <c r="F24" s="748">
        <v>0.17</v>
      </c>
      <c r="G24" s="1"/>
      <c r="H24" s="728"/>
      <c r="I24" s="1"/>
      <c r="J24" s="62" t="s">
        <v>1575</v>
      </c>
      <c r="K24" s="62" t="s">
        <v>1576</v>
      </c>
      <c r="L24" s="1"/>
      <c r="M24" s="1"/>
      <c r="N24" s="729"/>
      <c r="O24" s="1"/>
      <c r="P24" s="728"/>
      <c r="Q24" s="1"/>
      <c r="R24" s="62" t="s">
        <v>1577</v>
      </c>
      <c r="S24" s="62" t="s">
        <v>1576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1595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1588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1588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1596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1597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1597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1598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1599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1599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1600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1582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1483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1484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1485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1583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85" t="s">
        <v>1601</v>
      </c>
      <c r="J5" s="927"/>
      <c r="K5" s="927"/>
      <c r="L5" s="927"/>
      <c r="M5" s="927"/>
      <c r="N5" s="927"/>
      <c r="O5" s="927"/>
      <c r="P5" s="927"/>
      <c r="Q5" s="927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1602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1603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1604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1605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1606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1607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1608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1609</v>
      </c>
      <c r="J16" s="40" t="s">
        <v>1099</v>
      </c>
      <c r="K16" s="785">
        <v>0.29699999999999999</v>
      </c>
      <c r="L16" s="40" t="s">
        <v>1099</v>
      </c>
      <c r="M16" s="40" t="s">
        <v>1099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1610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1611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1612</v>
      </c>
    </row>
    <row r="21" spans="2:17" ht="15.75" customHeight="1" x14ac:dyDescent="0.25">
      <c r="C21" s="12" t="s">
        <v>1331</v>
      </c>
      <c r="D21" s="343">
        <v>6117863200</v>
      </c>
      <c r="E21" s="12" t="s">
        <v>1394</v>
      </c>
      <c r="I21" s="112" t="s">
        <v>1613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1331</v>
      </c>
      <c r="D22" s="343">
        <f>+D21*1000/(1000000000000)</f>
        <v>6.1178632000000004</v>
      </c>
      <c r="E22" s="12" t="s">
        <v>1315</v>
      </c>
      <c r="I22" s="12" t="s">
        <v>1614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1615</v>
      </c>
      <c r="I23" s="12" t="s">
        <v>1616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1617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1618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1619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1435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1620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1621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1622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1623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85" t="s">
        <v>1624</v>
      </c>
      <c r="J44" s="927"/>
      <c r="K44" s="927"/>
      <c r="L44" s="927"/>
      <c r="M44" s="927"/>
      <c r="N44" s="927"/>
      <c r="O44" s="927"/>
      <c r="P44" s="927"/>
      <c r="Q44" s="99"/>
    </row>
    <row r="45" spans="9:17" ht="15.75" customHeight="1" x14ac:dyDescent="0.25">
      <c r="I45" s="118"/>
      <c r="J45" s="986" t="s">
        <v>1625</v>
      </c>
      <c r="K45" s="927"/>
      <c r="L45" s="986" t="s">
        <v>1626</v>
      </c>
      <c r="M45" s="925"/>
      <c r="N45" s="792"/>
      <c r="O45" s="49" t="s">
        <v>1627</v>
      </c>
      <c r="P45" s="793" t="s">
        <v>1626</v>
      </c>
    </row>
    <row r="46" spans="9:17" ht="15.75" customHeight="1" x14ac:dyDescent="0.25">
      <c r="I46" s="12" t="s">
        <v>1628</v>
      </c>
      <c r="J46" s="14">
        <v>2234</v>
      </c>
      <c r="K46" s="14" t="s">
        <v>1629</v>
      </c>
      <c r="L46" s="402">
        <f>+('5. Data'!AF100+'5. Data'!AF101)*$D$7</f>
        <v>1536.6908880451988</v>
      </c>
      <c r="M46" s="14" t="s">
        <v>1629</v>
      </c>
      <c r="N46" s="794" t="s">
        <v>1628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1264</v>
      </c>
      <c r="J47" s="14">
        <v>508</v>
      </c>
      <c r="K47" s="14" t="s">
        <v>1629</v>
      </c>
      <c r="L47" s="14" t="s">
        <v>1099</v>
      </c>
      <c r="M47" s="14"/>
      <c r="N47" s="794" t="s">
        <v>1264</v>
      </c>
      <c r="O47" s="295">
        <f t="shared" si="10"/>
        <v>0.13575628006413681</v>
      </c>
      <c r="P47" s="795" t="s">
        <v>1099</v>
      </c>
    </row>
    <row r="48" spans="9:17" ht="15.75" customHeight="1" x14ac:dyDescent="0.25">
      <c r="I48" s="12" t="s">
        <v>1222</v>
      </c>
      <c r="J48" s="14">
        <v>584</v>
      </c>
      <c r="K48" s="14" t="s">
        <v>1629</v>
      </c>
      <c r="L48" s="402">
        <f>+'5. Data'!AF99-'5. Data'!AF69</f>
        <v>243.24624083200007</v>
      </c>
      <c r="M48" s="14" t="s">
        <v>1629</v>
      </c>
      <c r="N48" s="794" t="s">
        <v>1222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1247</v>
      </c>
      <c r="J49" s="14">
        <v>226</v>
      </c>
      <c r="K49" s="14" t="s">
        <v>1629</v>
      </c>
      <c r="L49" s="402">
        <f>+'5. Data'!AF103</f>
        <v>30.707442634670208</v>
      </c>
      <c r="M49" s="14" t="s">
        <v>1629</v>
      </c>
      <c r="N49" s="794" t="s">
        <v>1247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1630</v>
      </c>
      <c r="J50" s="14">
        <v>168</v>
      </c>
      <c r="K50" s="14" t="s">
        <v>1629</v>
      </c>
      <c r="L50" s="402">
        <f>+'5. Data'!AF69</f>
        <v>23.492594688000001</v>
      </c>
      <c r="M50" s="14" t="s">
        <v>1629</v>
      </c>
      <c r="N50" s="794" t="s">
        <v>1630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1256</v>
      </c>
      <c r="J51" s="14">
        <v>22</v>
      </c>
      <c r="K51" s="14" t="s">
        <v>1629</v>
      </c>
      <c r="L51" s="402">
        <f>+'5. Data'!AF104</f>
        <v>13.932585988360662</v>
      </c>
      <c r="M51" s="14" t="s">
        <v>1629</v>
      </c>
      <c r="N51" s="794" t="s">
        <v>1256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1631</v>
      </c>
      <c r="J52" s="49" t="s">
        <v>1099</v>
      </c>
      <c r="K52" s="49"/>
      <c r="L52" s="788">
        <f>+'5. Data'!AF102</f>
        <v>10.111980967983444</v>
      </c>
      <c r="M52" s="793" t="s">
        <v>1629</v>
      </c>
      <c r="N52" s="792" t="s">
        <v>1631</v>
      </c>
      <c r="O52" s="796" t="s">
        <v>1099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1629</v>
      </c>
      <c r="L53" s="402">
        <f>+SUM(L46:L52)</f>
        <v>1858.1817331562133</v>
      </c>
      <c r="M53" s="14" t="s">
        <v>1629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85" t="s">
        <v>1632</v>
      </c>
      <c r="J57" s="927"/>
      <c r="K57" s="927"/>
      <c r="L57" s="927"/>
      <c r="M57" s="927"/>
      <c r="N57" s="927"/>
      <c r="O57" s="927"/>
      <c r="P57" s="927"/>
    </row>
    <row r="58" spans="9:16" ht="15.75" customHeight="1" x14ac:dyDescent="0.25">
      <c r="J58" s="798" t="s">
        <v>1633</v>
      </c>
      <c r="K58" s="798" t="s">
        <v>1634</v>
      </c>
      <c r="L58" s="798" t="s">
        <v>1635</v>
      </c>
      <c r="M58" s="799" t="s">
        <v>1633</v>
      </c>
      <c r="N58" s="798" t="s">
        <v>1634</v>
      </c>
      <c r="O58" s="800" t="s">
        <v>1635</v>
      </c>
    </row>
    <row r="59" spans="9:16" ht="15.75" customHeight="1" x14ac:dyDescent="0.25">
      <c r="I59" s="12" t="s">
        <v>1628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1264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1222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1247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1630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1256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1631</v>
      </c>
      <c r="J65" s="214" t="s">
        <v>1099</v>
      </c>
      <c r="K65" s="214" t="s">
        <v>1099</v>
      </c>
      <c r="L65" s="214" t="s">
        <v>1099</v>
      </c>
      <c r="M65" s="801"/>
      <c r="N65" s="228"/>
      <c r="O65" s="363"/>
    </row>
    <row r="66" spans="9:17" ht="15.75" customHeight="1" x14ac:dyDescent="0.25">
      <c r="I66" s="12" t="s">
        <v>1636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1637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1638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1639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1620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1633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1634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1635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2022-12-29T21:54:02Z</dcterms:modified>
</cp:coreProperties>
</file>