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ULIAN\Music\TIMES-UIS-v1-Nov\DataBases\"/>
    </mc:Choice>
  </mc:AlternateContent>
  <xr:revisionPtr revIDLastSave="0" documentId="13_ncr:1_{FECCC209-8CCA-43B4-80A0-67A5A2AB4C6D}" xr6:coauthVersionLast="47" xr6:coauthVersionMax="47" xr10:uidLastSave="{00000000-0000-0000-0000-000000000000}"/>
  <bookViews>
    <workbookView xWindow="-28920" yWindow="-120" windowWidth="29040" windowHeight="15840" activeTab="2" xr2:uid="{00000000-000D-0000-FFFF-FFFF00000000}"/>
  </bookViews>
  <sheets>
    <sheet name="Autogeneracion Fuels" sheetId="1" r:id="rId1"/>
    <sheet name="Produccion Fuels" sheetId="3" r:id="rId2"/>
    <sheet name="Transporte Oil Fuels" sheetId="4" r:id="rId3"/>
    <sheet name="Hoja2" sheetId="5" r:id="rId4"/>
    <sheet name="Hoja1" sheetId="2" r:id="rId5"/>
    <sheet name="Report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4" l="1"/>
  <c r="M19" i="4"/>
  <c r="M20" i="4"/>
  <c r="M21" i="4"/>
  <c r="M17" i="4"/>
  <c r="M17" i="3"/>
  <c r="H8" i="5"/>
  <c r="J33" i="4"/>
  <c r="H33" i="4"/>
  <c r="I33" i="4"/>
  <c r="H34" i="4"/>
  <c r="I34" i="4"/>
  <c r="J34" i="4"/>
  <c r="H35" i="4"/>
  <c r="I35" i="4"/>
  <c r="J35" i="4"/>
  <c r="H36" i="4"/>
  <c r="I36" i="4"/>
  <c r="J36" i="4"/>
  <c r="I32" i="4"/>
  <c r="J32" i="4"/>
  <c r="H32" i="4"/>
  <c r="I30" i="4"/>
  <c r="R24" i="4"/>
  <c r="H22" i="4"/>
  <c r="H21" i="4"/>
  <c r="H20" i="4"/>
  <c r="H19" i="4"/>
  <c r="H18" i="4"/>
  <c r="H17" i="4"/>
  <c r="R21" i="4"/>
  <c r="R20" i="4"/>
  <c r="R18" i="4"/>
  <c r="R17" i="4"/>
  <c r="Q29" i="4"/>
  <c r="H23" i="5"/>
  <c r="R19" i="4"/>
  <c r="L74" i="2"/>
  <c r="L73" i="2"/>
  <c r="R17" i="3"/>
  <c r="P17" i="6"/>
  <c r="P18" i="6"/>
  <c r="P16" i="6"/>
  <c r="M16" i="6"/>
  <c r="M17" i="6"/>
  <c r="M18" i="6"/>
  <c r="M15" i="6"/>
  <c r="L18" i="6"/>
  <c r="L17" i="6"/>
  <c r="L16" i="6"/>
  <c r="K18" i="6"/>
  <c r="K17" i="6"/>
  <c r="K16" i="6"/>
  <c r="K15" i="6"/>
  <c r="V4" i="3"/>
  <c r="W4" i="3"/>
  <c r="X4" i="3"/>
  <c r="Y4" i="3"/>
  <c r="V5" i="3"/>
  <c r="W5" i="3"/>
  <c r="X5" i="3"/>
  <c r="Y5" i="3"/>
  <c r="V6" i="3"/>
  <c r="W6" i="3"/>
  <c r="X6" i="3"/>
  <c r="Y6" i="3"/>
  <c r="V7" i="3"/>
  <c r="W7" i="3"/>
  <c r="X7" i="3"/>
  <c r="Y7" i="3"/>
  <c r="W3" i="3"/>
  <c r="X3" i="3"/>
  <c r="Y3" i="3"/>
  <c r="V3" i="3"/>
  <c r="AK18" i="4"/>
  <c r="AG18" i="4"/>
  <c r="Z15" i="4"/>
  <c r="I72" i="2"/>
  <c r="I75" i="2"/>
  <c r="Y18" i="3"/>
  <c r="X18" i="3" s="1"/>
  <c r="Y19" i="3"/>
  <c r="X19" i="3" s="1"/>
  <c r="Y20" i="3"/>
  <c r="X20" i="3" s="1"/>
  <c r="X17" i="3"/>
  <c r="W17" i="3"/>
  <c r="H41" i="3"/>
  <c r="V17" i="3"/>
  <c r="S20" i="3"/>
  <c r="S18" i="3"/>
  <c r="S17" i="3"/>
  <c r="R21" i="3"/>
  <c r="S21" i="3" s="1"/>
  <c r="R20" i="3"/>
  <c r="R19" i="3"/>
  <c r="S19" i="3" s="1"/>
  <c r="R18" i="3"/>
  <c r="AI17" i="3"/>
  <c r="AL19" i="3"/>
  <c r="AL21" i="3"/>
  <c r="AO21" i="3"/>
  <c r="AO20" i="3"/>
  <c r="AO19" i="3"/>
  <c r="AO18" i="3"/>
  <c r="AO17" i="3"/>
  <c r="AK17" i="3"/>
  <c r="AI18" i="3"/>
  <c r="AJ18" i="3"/>
  <c r="AI19" i="3"/>
  <c r="AJ19" i="3"/>
  <c r="AI20" i="3"/>
  <c r="AJ20" i="3"/>
  <c r="AI21" i="3"/>
  <c r="AJ21" i="3"/>
  <c r="AK21" i="3"/>
  <c r="AF17" i="3"/>
  <c r="AD18" i="3"/>
  <c r="AE18" i="3"/>
  <c r="AD19" i="3"/>
  <c r="AE19" i="3"/>
  <c r="AG19" i="3"/>
  <c r="AD20" i="3"/>
  <c r="AE20" i="3"/>
  <c r="AD21" i="3"/>
  <c r="AE21" i="3"/>
  <c r="AF21" i="3"/>
  <c r="AG21" i="3"/>
  <c r="I56" i="2"/>
  <c r="J30" i="3"/>
  <c r="M22" i="4" l="1"/>
  <c r="AF19" i="3"/>
  <c r="AK19" i="3"/>
  <c r="AM19" i="3" s="1"/>
  <c r="AQ19" i="3" s="1"/>
  <c r="AK18" i="3"/>
  <c r="AF18" i="3"/>
  <c r="AF20" i="3"/>
  <c r="AK20" i="3"/>
  <c r="AM20" i="3" s="1"/>
  <c r="AQ20" i="3" s="1"/>
  <c r="AG18" i="3"/>
  <c r="AL18" i="3"/>
  <c r="AG20" i="3"/>
  <c r="AL20" i="3"/>
  <c r="AE23" i="3"/>
  <c r="AM21" i="3"/>
  <c r="AQ21" i="3" s="1"/>
  <c r="AD17" i="3"/>
  <c r="AD23" i="3" s="1"/>
  <c r="AM18" i="3"/>
  <c r="AQ18" i="3" s="1"/>
  <c r="J27" i="3" l="1"/>
  <c r="J28" i="3"/>
  <c r="J29" i="3"/>
  <c r="J31" i="3"/>
  <c r="H36" i="5" l="1"/>
  <c r="H38" i="5" s="1"/>
  <c r="P38" i="1"/>
  <c r="L39" i="1"/>
  <c r="L40" i="1"/>
  <c r="L41" i="1"/>
  <c r="L42" i="1"/>
  <c r="L38" i="1"/>
  <c r="J38" i="1"/>
  <c r="J43" i="1"/>
  <c r="D6" i="3"/>
  <c r="C13" i="3" s="1"/>
  <c r="D17" i="3" s="1"/>
  <c r="C10" i="4"/>
  <c r="C31" i="4"/>
  <c r="E10" i="4"/>
  <c r="G10" i="4" s="1"/>
  <c r="I10" i="4" s="1"/>
  <c r="D6" i="4"/>
  <c r="C13" i="4" s="1"/>
  <c r="C31" i="3"/>
  <c r="D20" i="4" l="1"/>
  <c r="D21" i="4"/>
  <c r="T18" i="4" s="1"/>
  <c r="D25" i="4"/>
  <c r="D29" i="4"/>
  <c r="G13" i="4"/>
  <c r="I13" i="4" s="1"/>
  <c r="E13" i="4"/>
  <c r="D17" i="4"/>
  <c r="D27" i="4"/>
  <c r="D23" i="4"/>
  <c r="D19" i="4"/>
  <c r="D30" i="4"/>
  <c r="D26" i="4"/>
  <c r="D22" i="4"/>
  <c r="D18" i="4"/>
  <c r="D28" i="4"/>
  <c r="D24" i="4"/>
  <c r="D30" i="3"/>
  <c r="H21" i="3" s="1"/>
  <c r="D22" i="3"/>
  <c r="D29" i="3"/>
  <c r="D25" i="3"/>
  <c r="D21" i="3"/>
  <c r="H18" i="3" s="1"/>
  <c r="M18" i="3" s="1"/>
  <c r="O18" i="3" s="1"/>
  <c r="AA18" i="3" s="1"/>
  <c r="D18" i="3"/>
  <c r="D26" i="3"/>
  <c r="D28" i="3"/>
  <c r="D24" i="3"/>
  <c r="D20" i="3"/>
  <c r="H20" i="3" s="1"/>
  <c r="D27" i="3"/>
  <c r="D23" i="3"/>
  <c r="D19" i="3"/>
  <c r="O18" i="4" l="1"/>
  <c r="O21" i="4"/>
  <c r="T21" i="4"/>
  <c r="O20" i="4"/>
  <c r="T20" i="4"/>
  <c r="X27" i="3"/>
  <c r="V27" i="3"/>
  <c r="W27" i="3"/>
  <c r="Y27" i="3"/>
  <c r="H17" i="3"/>
  <c r="M20" i="3"/>
  <c r="O20" i="3" s="1"/>
  <c r="M21" i="3"/>
  <c r="O21" i="3" s="1"/>
  <c r="T19" i="4"/>
  <c r="H19" i="3"/>
  <c r="M19" i="3" s="1"/>
  <c r="O19" i="3" s="1"/>
  <c r="Y21" i="4" l="1"/>
  <c r="AA21" i="4"/>
  <c r="AG21" i="4" s="1"/>
  <c r="AK21" i="4" s="1"/>
  <c r="Z21" i="4"/>
  <c r="AF21" i="4" s="1"/>
  <c r="AJ21" i="4" s="1"/>
  <c r="AA20" i="4"/>
  <c r="AG20" i="4" s="1"/>
  <c r="AK20" i="4" s="1"/>
  <c r="Y20" i="4"/>
  <c r="Z20" i="4"/>
  <c r="AF20" i="4" s="1"/>
  <c r="AJ20" i="4" s="1"/>
  <c r="Y18" i="4"/>
  <c r="Z18" i="4"/>
  <c r="AF18" i="4" s="1"/>
  <c r="AJ18" i="4" s="1"/>
  <c r="T17" i="4"/>
  <c r="T24" i="4"/>
  <c r="T25" i="4" s="1"/>
  <c r="O19" i="4"/>
  <c r="O17" i="4"/>
  <c r="Y17" i="4" s="1"/>
  <c r="AE17" i="4" s="1"/>
  <c r="O22" i="4"/>
  <c r="O17" i="3"/>
  <c r="V29" i="3"/>
  <c r="Y29" i="3"/>
  <c r="W29" i="3"/>
  <c r="W28" i="3"/>
  <c r="AA19" i="3"/>
  <c r="X28" i="3"/>
  <c r="Y28" i="3"/>
  <c r="V28" i="3"/>
  <c r="Y30" i="3"/>
  <c r="V30" i="3"/>
  <c r="W30" i="3"/>
  <c r="AA21" i="3"/>
  <c r="X30" i="3"/>
  <c r="H22" i="3"/>
  <c r="AE21" i="4" l="1"/>
  <c r="AI21" i="4" s="1"/>
  <c r="AC21" i="4"/>
  <c r="AE20" i="4"/>
  <c r="AI20" i="4" s="1"/>
  <c r="AC20" i="4"/>
  <c r="AA19" i="4"/>
  <c r="AG19" i="4" s="1"/>
  <c r="AK19" i="4" s="1"/>
  <c r="Y19" i="4"/>
  <c r="Z19" i="4"/>
  <c r="AF19" i="4" s="1"/>
  <c r="AJ19" i="4" s="1"/>
  <c r="AE18" i="4"/>
  <c r="AI18" i="4" s="1"/>
  <c r="AC18" i="4"/>
  <c r="AA17" i="4"/>
  <c r="AG17" i="4" s="1"/>
  <c r="AK17" i="4" s="1"/>
  <c r="Z17" i="4"/>
  <c r="AF17" i="4" s="1"/>
  <c r="AJ17" i="4" s="1"/>
  <c r="AJ23" i="4" s="1"/>
  <c r="X26" i="3"/>
  <c r="V26" i="3"/>
  <c r="H37" i="3"/>
  <c r="K37" i="3" s="1"/>
  <c r="H34" i="3"/>
  <c r="H38" i="3"/>
  <c r="K38" i="3" s="1"/>
  <c r="H36" i="3"/>
  <c r="K36" i="3" s="1"/>
  <c r="H35" i="3"/>
  <c r="K35" i="3" s="1"/>
  <c r="M22" i="3"/>
  <c r="O22" i="3" s="1"/>
  <c r="AK23" i="4" l="1"/>
  <c r="AE19" i="4"/>
  <c r="AI19" i="4" s="1"/>
  <c r="AC19" i="4"/>
  <c r="AC17" i="4"/>
  <c r="AI17" i="4"/>
  <c r="K34" i="3"/>
  <c r="AE17" i="3"/>
  <c r="X29" i="3"/>
  <c r="AA20" i="3"/>
  <c r="P11" i="1"/>
  <c r="N12" i="1"/>
  <c r="N11" i="1"/>
  <c r="L12" i="1"/>
  <c r="L11" i="1"/>
  <c r="E21" i="1"/>
  <c r="G21" i="1" s="1"/>
  <c r="I21" i="1" s="1"/>
  <c r="N21" i="1" s="1"/>
  <c r="E10" i="3"/>
  <c r="E13" i="3" s="1"/>
  <c r="K57" i="1"/>
  <c r="K58" i="1"/>
  <c r="K59" i="1"/>
  <c r="K60" i="1"/>
  <c r="K56" i="1"/>
  <c r="P39" i="1"/>
  <c r="P40" i="1"/>
  <c r="P41" i="1"/>
  <c r="P42" i="1"/>
  <c r="I54" i="2"/>
  <c r="C51" i="1"/>
  <c r="I40" i="2"/>
  <c r="I37" i="2"/>
  <c r="G14" i="2"/>
  <c r="G30" i="2"/>
  <c r="AI23" i="4" l="1"/>
  <c r="AJ17" i="3"/>
  <c r="AM17" i="3" s="1"/>
  <c r="AQ17" i="3" s="1"/>
  <c r="AQ23" i="3" s="1"/>
  <c r="W26" i="3"/>
  <c r="G10" i="3"/>
  <c r="Q40" i="1"/>
  <c r="Q41" i="1"/>
  <c r="Q38" i="1"/>
  <c r="Q39" i="1"/>
  <c r="Q42" i="1"/>
  <c r="L44" i="1"/>
  <c r="G13" i="3" l="1"/>
  <c r="I13" i="3" s="1"/>
  <c r="I10" i="3"/>
  <c r="Q44" i="1"/>
  <c r="L50" i="1"/>
  <c r="L48" i="1"/>
  <c r="L51" i="1"/>
  <c r="L47" i="1"/>
  <c r="L49" i="1"/>
  <c r="O48" i="1" l="1"/>
  <c r="E22" i="1"/>
  <c r="G22" i="1" s="1"/>
  <c r="I22" i="1" s="1"/>
  <c r="E23" i="1"/>
  <c r="G23" i="1" s="1"/>
  <c r="I23" i="1" s="1"/>
  <c r="E24" i="1"/>
  <c r="G24" i="1" s="1"/>
  <c r="I24" i="1" s="1"/>
  <c r="K24" i="1" s="1"/>
  <c r="N23" i="1" l="1"/>
  <c r="C29" i="1"/>
  <c r="I26" i="1"/>
  <c r="K21" i="1"/>
  <c r="K23" i="1"/>
  <c r="N22" i="1" l="1"/>
  <c r="K22" i="1"/>
  <c r="N26" i="1" l="1"/>
  <c r="N27" i="1" s="1"/>
  <c r="C28" i="1"/>
  <c r="C34" i="1" s="1"/>
  <c r="D37" i="1" l="1"/>
  <c r="D38" i="1"/>
  <c r="D41" i="1"/>
  <c r="H41" i="1" s="1"/>
  <c r="S41" i="1" s="1"/>
  <c r="U41" i="1" s="1"/>
  <c r="D43" i="1"/>
  <c r="D40" i="1"/>
  <c r="H40" i="1" s="1"/>
  <c r="S40" i="1" s="1"/>
  <c r="U40" i="1" s="1"/>
  <c r="D42" i="1"/>
  <c r="D45" i="1"/>
  <c r="D47" i="1"/>
  <c r="D44" i="1"/>
  <c r="D46" i="1"/>
  <c r="D49" i="1"/>
  <c r="D48" i="1"/>
  <c r="D50" i="1"/>
  <c r="H42" i="1" s="1"/>
  <c r="S42" i="1" s="1"/>
  <c r="U42" i="1" s="1"/>
  <c r="D39" i="1"/>
  <c r="H38" i="1" l="1"/>
  <c r="S38" i="1" s="1"/>
  <c r="U38" i="1" s="1"/>
  <c r="H39" i="1"/>
  <c r="S39" i="1" s="1"/>
  <c r="U39" i="1" s="1"/>
  <c r="H44" i="1" l="1"/>
  <c r="AA17" i="3"/>
  <c r="Y17" i="3"/>
  <c r="AG17" i="3" s="1"/>
  <c r="Y2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</author>
  </authors>
  <commentList>
    <comment ref="C4" authorId="0" shapeId="0" xr:uid="{6FCF77ED-2248-419B-BD22-4F1A812FA140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Edgar</t>
        </r>
      </text>
    </comment>
    <comment ref="C6" authorId="0" shapeId="0" xr:uid="{4F8C8EB9-6049-40F3-B476-D0AB6CBCB3C2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Ecopetrol, Hocol, y Meta Petroleum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</author>
  </authors>
  <commentList>
    <comment ref="C4" authorId="0" shapeId="0" xr:uid="{51671330-B4D8-4017-A683-BC99AFCC1BB6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Edgar</t>
        </r>
      </text>
    </comment>
    <comment ref="C6" authorId="0" shapeId="0" xr:uid="{D4C88346-0744-4B4C-981F-46EDF28F99C3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Ecopetrol, Hocol, y Meta Petroleum
</t>
        </r>
      </text>
    </comment>
  </commentList>
</comments>
</file>

<file path=xl/sharedStrings.xml><?xml version="1.0" encoding="utf-8"?>
<sst xmlns="http://schemas.openxmlformats.org/spreadsheetml/2006/main" count="768" uniqueCount="172">
  <si>
    <t>Sector Petróleo</t>
  </si>
  <si>
    <t>Cuencas</t>
  </si>
  <si>
    <t>VMM</t>
  </si>
  <si>
    <t>LLO</t>
  </si>
  <si>
    <t>VIM</t>
  </si>
  <si>
    <t>VSM</t>
  </si>
  <si>
    <t>PU</t>
  </si>
  <si>
    <t>En el 2019 se requiere ELC en un valor de</t>
  </si>
  <si>
    <t>Gas</t>
  </si>
  <si>
    <t>Produccion</t>
  </si>
  <si>
    <t>Transporte</t>
  </si>
  <si>
    <t>Refinación</t>
  </si>
  <si>
    <t>MW</t>
  </si>
  <si>
    <t>Eff, asum</t>
  </si>
  <si>
    <t>Factor de utilización</t>
  </si>
  <si>
    <t>Cap Instal</t>
  </si>
  <si>
    <t>Cap Neta</t>
  </si>
  <si>
    <t>Gen, anual</t>
  </si>
  <si>
    <t>Gwh</t>
  </si>
  <si>
    <t>PJ</t>
  </si>
  <si>
    <t>Consumo combustibles</t>
  </si>
  <si>
    <t>Consumo de Gas</t>
  </si>
  <si>
    <t>Table Name:</t>
  </si>
  <si>
    <t>Unsaved_103812</t>
  </si>
  <si>
    <t>Attribute</t>
  </si>
  <si>
    <t>Commodity</t>
  </si>
  <si>
    <t>Process</t>
  </si>
  <si>
    <t>VAR_FIn</t>
  </si>
  <si>
    <t>ELC-CAM1</t>
  </si>
  <si>
    <t>PROF-CAM1</t>
  </si>
  <si>
    <t>ELC-CAM2</t>
  </si>
  <si>
    <t>PROF-CAM2</t>
  </si>
  <si>
    <t>ELC-CAM3</t>
  </si>
  <si>
    <t>PROF-CAM3</t>
  </si>
  <si>
    <t>ELC-CAM4</t>
  </si>
  <si>
    <t>PROF-CAM4</t>
  </si>
  <si>
    <t>ELC-CAM5</t>
  </si>
  <si>
    <t>PROF-CAM5</t>
  </si>
  <si>
    <t>ELC-CAM6</t>
  </si>
  <si>
    <t>PROF-CAM6</t>
  </si>
  <si>
    <t>ELC-CAM7</t>
  </si>
  <si>
    <t>PROF-CAM7</t>
  </si>
  <si>
    <t>Producción</t>
  </si>
  <si>
    <t>Gen, auto</t>
  </si>
  <si>
    <t>Modelo, Consumo</t>
  </si>
  <si>
    <t>VAR_FOut</t>
  </si>
  <si>
    <t>ELC-COLOIL-CAM2</t>
  </si>
  <si>
    <t>COMPRA-ELC-COL-CAM2</t>
  </si>
  <si>
    <t>ELC-COLOIL-CAM3</t>
  </si>
  <si>
    <t>COMPRA-ELC-COL-CAM3</t>
  </si>
  <si>
    <t>ELC-COLOIL-CAM5</t>
  </si>
  <si>
    <t>COMPRA-ELC-COL-CAM5</t>
  </si>
  <si>
    <t>COLFUEL-HOIL-CAM3</t>
  </si>
  <si>
    <t>FUEL-COLOIL-CAM3</t>
  </si>
  <si>
    <t>HOIL-CAM3</t>
  </si>
  <si>
    <t>COLFUEL-LOIL-CAM2</t>
  </si>
  <si>
    <t>FUEL-COLOIL-CAM2</t>
  </si>
  <si>
    <t>LOIL-CAM2</t>
  </si>
  <si>
    <t>COLFUEL-LOIL-CAM4</t>
  </si>
  <si>
    <t>FUEL-COLOIL-CAM4</t>
  </si>
  <si>
    <t>LOIL-CAM4</t>
  </si>
  <si>
    <t>COLFUEL-MOIL-CAM5</t>
  </si>
  <si>
    <t>FUEL-COLOIL-CAM5</t>
  </si>
  <si>
    <t>MOIL-CAM5</t>
  </si>
  <si>
    <t>COLFUEL-MOIL-CAM6</t>
  </si>
  <si>
    <t>FUEL-COLOIL-CAM6</t>
  </si>
  <si>
    <t>MOIL-CAM6</t>
  </si>
  <si>
    <t>COL-GAS-CAM1</t>
  </si>
  <si>
    <t>FUEL-GAS-CAM1</t>
  </si>
  <si>
    <t>GAS-CAM1</t>
  </si>
  <si>
    <t>COL-GAS-CAM2</t>
  </si>
  <si>
    <t>FUEL-GAS-CAM2</t>
  </si>
  <si>
    <t>GAS-CAM2</t>
  </si>
  <si>
    <t>COL-GAS-CAM5</t>
  </si>
  <si>
    <t>FUEL-GAS-CAM5</t>
  </si>
  <si>
    <t>GAS-CAM5</t>
  </si>
  <si>
    <t>COL-GAS-CAM6</t>
  </si>
  <si>
    <t>FUEL-GAS-CAM6</t>
  </si>
  <si>
    <t>GAS-CAM6</t>
  </si>
  <si>
    <t>COL-GAS-CAM7</t>
  </si>
  <si>
    <t>FUEL-GAS-CAM7</t>
  </si>
  <si>
    <t>GAS-CAM7</t>
  </si>
  <si>
    <t>Meta</t>
  </si>
  <si>
    <t>Santander</t>
  </si>
  <si>
    <t>Casanare</t>
  </si>
  <si>
    <t>Huila</t>
  </si>
  <si>
    <t>Putumayo</t>
  </si>
  <si>
    <t>Boyaca</t>
  </si>
  <si>
    <t>Tolima</t>
  </si>
  <si>
    <t>Norte de Santander</t>
  </si>
  <si>
    <t>Antioquia</t>
  </si>
  <si>
    <t>Magdalena</t>
  </si>
  <si>
    <t>Arauca</t>
  </si>
  <si>
    <t>Bolivar</t>
  </si>
  <si>
    <t>Cordoba</t>
  </si>
  <si>
    <t>Cesar</t>
  </si>
  <si>
    <t>-</t>
  </si>
  <si>
    <t>Campo asociado</t>
  </si>
  <si>
    <t>PRODUCCIÓN</t>
  </si>
  <si>
    <t>Modelo</t>
  </si>
  <si>
    <t>R-CAM1</t>
  </si>
  <si>
    <t>R-CAM2</t>
  </si>
  <si>
    <t>R-CAM3</t>
  </si>
  <si>
    <t>R-CAM4</t>
  </si>
  <si>
    <t>R-CAM5</t>
  </si>
  <si>
    <t>R-CAM6</t>
  </si>
  <si>
    <t>R-CAM7</t>
  </si>
  <si>
    <t>Compras</t>
  </si>
  <si>
    <t>AUTO</t>
  </si>
  <si>
    <t>Uso de Gas</t>
  </si>
  <si>
    <t>Uso de combustibles</t>
  </si>
  <si>
    <t>Uso de otros</t>
  </si>
  <si>
    <t>Crudo</t>
  </si>
  <si>
    <t>Diésel</t>
  </si>
  <si>
    <t>GLP</t>
  </si>
  <si>
    <t>Fuel Oil</t>
  </si>
  <si>
    <t>Otros combust</t>
  </si>
  <si>
    <t>A</t>
  </si>
  <si>
    <t>EFF</t>
  </si>
  <si>
    <t>Factor de Utilización</t>
  </si>
  <si>
    <t>Capacidad Instalada</t>
  </si>
  <si>
    <t>Capacidad Neta</t>
  </si>
  <si>
    <t>Generacion anual</t>
  </si>
  <si>
    <t>Unsaved_114738</t>
  </si>
  <si>
    <t>Total de la capacidad Instalada</t>
  </si>
  <si>
    <t>Gen, anual, ECP</t>
  </si>
  <si>
    <t>Producción ECP</t>
  </si>
  <si>
    <t>Producción Col</t>
  </si>
  <si>
    <t>Petroleo</t>
  </si>
  <si>
    <t>2019, kboe/d</t>
  </si>
  <si>
    <t>%ECP/Col</t>
  </si>
  <si>
    <t>Total</t>
  </si>
  <si>
    <t>Producción, ECP</t>
  </si>
  <si>
    <t>% dek inventario que corresponde a ECP*</t>
  </si>
  <si>
    <t>Producción Inventario UPME</t>
  </si>
  <si>
    <t>De acuerdo al Inventario</t>
  </si>
  <si>
    <t>Capacidad Instalada En Producción</t>
  </si>
  <si>
    <t>Campo asociado en el Modelo</t>
  </si>
  <si>
    <t>Participación</t>
  </si>
  <si>
    <t>Transporte, ECP</t>
  </si>
  <si>
    <t>Capacidad Instalada En Transporte</t>
  </si>
  <si>
    <t>Cuenca</t>
  </si>
  <si>
    <t>Generación Neta total</t>
  </si>
  <si>
    <t>Uso de combustibles fosiles</t>
  </si>
  <si>
    <t>Gas Natural</t>
  </si>
  <si>
    <t>Unsaved_15643</t>
  </si>
  <si>
    <t>T</t>
  </si>
  <si>
    <t>GAS</t>
  </si>
  <si>
    <t>CRUDO</t>
  </si>
  <si>
    <t>Distribución de combustibles, UPME</t>
  </si>
  <si>
    <t>Distribución Combustibles, Modelo</t>
  </si>
  <si>
    <t>Capacidad Instalada Modelo</t>
  </si>
  <si>
    <t>Energia consumida</t>
  </si>
  <si>
    <t>Energia producida</t>
  </si>
  <si>
    <t>Total Transporte</t>
  </si>
  <si>
    <t>Consumo ELC</t>
  </si>
  <si>
    <t>P`J</t>
  </si>
  <si>
    <t>Compra ELC</t>
  </si>
  <si>
    <t>Uso de combustibles que falta</t>
  </si>
  <si>
    <t>Crudo/Diesel</t>
  </si>
  <si>
    <t>MW crudo/ MW Diesel</t>
  </si>
  <si>
    <t>Diesel</t>
  </si>
  <si>
    <t>Compra</t>
  </si>
  <si>
    <t>pj</t>
  </si>
  <si>
    <t>kt</t>
  </si>
  <si>
    <t>CONSUMO DE COMBUSTIBLES</t>
  </si>
  <si>
    <t>Capacidad en PJ</t>
  </si>
  <si>
    <t>Capacidad en MW</t>
  </si>
  <si>
    <t>CAPACIDAD EN MW</t>
  </si>
  <si>
    <t>Calculado</t>
  </si>
  <si>
    <t>Error</t>
  </si>
  <si>
    <t>Consumo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</si>
</sst>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2" fillId="0" borderId="0" xfId="0" applyFont="1"/>
    <xf numFmtId="9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9" fontId="0" fillId="0" borderId="0" xfId="1" applyFon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0" fontId="0" fillId="0" borderId="0" xfId="0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2" fontId="0" fillId="0" borderId="6" xfId="0" applyNumberFormat="1" applyBorder="1"/>
    <xf numFmtId="2" fontId="0" fillId="0" borderId="8" xfId="0" applyNumberFormat="1" applyBorder="1"/>
    <xf numFmtId="0" fontId="0" fillId="0" borderId="10" xfId="0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166" fontId="0" fillId="0" borderId="0" xfId="0" applyNumberFormat="1"/>
    <xf numFmtId="164" fontId="0" fillId="0" borderId="3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2" fillId="3" borderId="0" xfId="0" applyFont="1" applyFill="1"/>
    <xf numFmtId="0" fontId="2" fillId="3" borderId="6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2" fontId="0" fillId="0" borderId="7" xfId="0" applyNumberFormat="1" applyBorder="1"/>
    <xf numFmtId="2" fontId="0" fillId="0" borderId="9" xfId="0" applyNumberFormat="1" applyBorder="1"/>
    <xf numFmtId="0" fontId="0" fillId="3" borderId="0" xfId="0" applyFill="1"/>
    <xf numFmtId="0" fontId="0" fillId="0" borderId="3" xfId="0" applyBorder="1" applyAlignment="1">
      <alignment horizontal="center" vertical="center" wrapText="1"/>
    </xf>
    <xf numFmtId="0" fontId="0" fillId="0" borderId="3" xfId="0" applyBorder="1"/>
    <xf numFmtId="2" fontId="0" fillId="0" borderId="4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8" xfId="0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5" fillId="4" borderId="0" xfId="0" applyFont="1" applyFill="1"/>
    <xf numFmtId="0" fontId="5" fillId="4" borderId="0" xfId="0" applyFont="1" applyFill="1" applyAlignment="1">
      <alignment horizontal="center"/>
    </xf>
    <xf numFmtId="2" fontId="5" fillId="4" borderId="0" xfId="0" applyNumberFormat="1" applyFont="1" applyFill="1"/>
    <xf numFmtId="0" fontId="6" fillId="4" borderId="0" xfId="0" applyFont="1" applyFill="1" applyAlignment="1">
      <alignment horizontal="center" vertical="center" wrapText="1"/>
    </xf>
    <xf numFmtId="0" fontId="0" fillId="4" borderId="0" xfId="0" applyFill="1"/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2" fontId="0" fillId="4" borderId="0" xfId="0" applyNumberFormat="1" applyFill="1"/>
    <xf numFmtId="0" fontId="0" fillId="4" borderId="1" xfId="0" applyFill="1" applyBorder="1"/>
    <xf numFmtId="0" fontId="2" fillId="4" borderId="6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2" fontId="0" fillId="4" borderId="6" xfId="0" applyNumberFormat="1" applyFill="1" applyBorder="1"/>
    <xf numFmtId="2" fontId="0" fillId="4" borderId="7" xfId="0" applyNumberFormat="1" applyFill="1" applyBorder="1"/>
    <xf numFmtId="2" fontId="0" fillId="4" borderId="8" xfId="0" applyNumberFormat="1" applyFill="1" applyBorder="1"/>
    <xf numFmtId="2" fontId="0" fillId="4" borderId="1" xfId="0" applyNumberFormat="1" applyFill="1" applyBorder="1"/>
    <xf numFmtId="2" fontId="0" fillId="4" borderId="9" xfId="0" applyNumberForma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3"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17</xdr:row>
      <xdr:rowOff>123825</xdr:rowOff>
    </xdr:from>
    <xdr:to>
      <xdr:col>5</xdr:col>
      <xdr:colOff>685800</xdr:colOff>
      <xdr:row>19</xdr:row>
      <xdr:rowOff>133350</xdr:rowOff>
    </xdr:to>
    <xdr:sp macro="" textlink="">
      <xdr:nvSpPr>
        <xdr:cNvPr id="2" name="Flecha: a la derecha 1">
          <a:extLst>
            <a:ext uri="{FF2B5EF4-FFF2-40B4-BE49-F238E27FC236}">
              <a16:creationId xmlns:a16="http://schemas.microsoft.com/office/drawing/2014/main" id="{60631391-DD7C-9A72-533B-BD296152A764}"/>
            </a:ext>
          </a:extLst>
        </xdr:cNvPr>
        <xdr:cNvSpPr/>
      </xdr:nvSpPr>
      <xdr:spPr>
        <a:xfrm>
          <a:off x="7343775" y="3552825"/>
          <a:ext cx="542925" cy="3905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152400</xdr:colOff>
      <xdr:row>17</xdr:row>
      <xdr:rowOff>28575</xdr:rowOff>
    </xdr:from>
    <xdr:to>
      <xdr:col>10</xdr:col>
      <xdr:colOff>228600</xdr:colOff>
      <xdr:row>19</xdr:row>
      <xdr:rowOff>38100</xdr:rowOff>
    </xdr:to>
    <xdr:sp macro="" textlink="">
      <xdr:nvSpPr>
        <xdr:cNvPr id="3" name="Flecha: a la derecha 2">
          <a:extLst>
            <a:ext uri="{FF2B5EF4-FFF2-40B4-BE49-F238E27FC236}">
              <a16:creationId xmlns:a16="http://schemas.microsoft.com/office/drawing/2014/main" id="{2D14884E-F454-3B81-F6E0-D73D1226C777}"/>
            </a:ext>
          </a:extLst>
        </xdr:cNvPr>
        <xdr:cNvSpPr/>
      </xdr:nvSpPr>
      <xdr:spPr>
        <a:xfrm>
          <a:off x="10820400" y="3457575"/>
          <a:ext cx="752475" cy="3905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17</xdr:row>
      <xdr:rowOff>47625</xdr:rowOff>
    </xdr:from>
    <xdr:to>
      <xdr:col>5</xdr:col>
      <xdr:colOff>847725</xdr:colOff>
      <xdr:row>19</xdr:row>
      <xdr:rowOff>57150</xdr:rowOff>
    </xdr:to>
    <xdr:sp macro="" textlink="">
      <xdr:nvSpPr>
        <xdr:cNvPr id="2" name="Flecha: a la derecha 1">
          <a:extLst>
            <a:ext uri="{FF2B5EF4-FFF2-40B4-BE49-F238E27FC236}">
              <a16:creationId xmlns:a16="http://schemas.microsoft.com/office/drawing/2014/main" id="{85336581-590A-4D26-BD36-5462389D4AA6}"/>
            </a:ext>
          </a:extLst>
        </xdr:cNvPr>
        <xdr:cNvSpPr/>
      </xdr:nvSpPr>
      <xdr:spPr>
        <a:xfrm>
          <a:off x="5543550" y="3667125"/>
          <a:ext cx="542925" cy="3905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60"/>
  <sheetViews>
    <sheetView showGridLines="0" topLeftCell="F22" zoomScaleNormal="100" workbookViewId="0">
      <selection activeCell="V38" sqref="G38:V42"/>
    </sheetView>
  </sheetViews>
  <sheetFormatPr baseColWidth="10" defaultColWidth="9.140625" defaultRowHeight="15" x14ac:dyDescent="0.25"/>
  <cols>
    <col min="1" max="1" width="15.140625" customWidth="1"/>
    <col min="2" max="2" width="11.5703125" customWidth="1"/>
    <col min="10" max="10" width="16.5703125" customWidth="1"/>
    <col min="14" max="14" width="12" bestFit="1" customWidth="1"/>
    <col min="15" max="15" width="5.140625" customWidth="1"/>
    <col min="16" max="16" width="5.28515625" customWidth="1"/>
    <col min="20" max="20" width="5.140625" customWidth="1"/>
  </cols>
  <sheetData>
    <row r="2" spans="2:16" x14ac:dyDescent="0.25">
      <c r="B2" t="s">
        <v>7</v>
      </c>
    </row>
    <row r="5" spans="2:16" x14ac:dyDescent="0.25">
      <c r="G5" t="s">
        <v>21</v>
      </c>
    </row>
    <row r="6" spans="2:16" x14ac:dyDescent="0.25">
      <c r="G6">
        <v>34</v>
      </c>
      <c r="H6" t="s">
        <v>19</v>
      </c>
    </row>
    <row r="9" spans="2:16" x14ac:dyDescent="0.25">
      <c r="B9" s="1" t="s">
        <v>1</v>
      </c>
      <c r="K9" t="s">
        <v>129</v>
      </c>
    </row>
    <row r="10" spans="2:16" x14ac:dyDescent="0.25">
      <c r="B10" t="s">
        <v>3</v>
      </c>
      <c r="K10" t="s">
        <v>128</v>
      </c>
      <c r="L10" t="s">
        <v>8</v>
      </c>
      <c r="N10" t="s">
        <v>131</v>
      </c>
      <c r="P10" t="s">
        <v>130</v>
      </c>
    </row>
    <row r="11" spans="2:16" x14ac:dyDescent="0.25">
      <c r="B11" t="s">
        <v>2</v>
      </c>
      <c r="J11" t="s">
        <v>126</v>
      </c>
      <c r="K11">
        <v>548</v>
      </c>
      <c r="L11">
        <f>725-548</f>
        <v>177</v>
      </c>
      <c r="N11">
        <f>+K11+L11</f>
        <v>725</v>
      </c>
      <c r="P11">
        <f>+N11/N12</f>
        <v>0.67767565041283695</v>
      </c>
    </row>
    <row r="12" spans="2:16" x14ac:dyDescent="0.25">
      <c r="B12" t="s">
        <v>4</v>
      </c>
      <c r="J12" t="s">
        <v>127</v>
      </c>
      <c r="K12">
        <v>893</v>
      </c>
      <c r="L12" s="8">
        <f>+(1061*(1000000)/6000)/1000</f>
        <v>176.83333333333334</v>
      </c>
      <c r="N12" s="8">
        <f>+K12+L12</f>
        <v>1069.8333333333333</v>
      </c>
    </row>
    <row r="13" spans="2:16" x14ac:dyDescent="0.25">
      <c r="B13" t="s">
        <v>5</v>
      </c>
      <c r="E13" t="s">
        <v>13</v>
      </c>
      <c r="G13" s="2">
        <v>0.35</v>
      </c>
    </row>
    <row r="14" spans="2:16" x14ac:dyDescent="0.25">
      <c r="B14" t="s">
        <v>6</v>
      </c>
      <c r="E14" t="s">
        <v>14</v>
      </c>
      <c r="G14" s="2">
        <v>1</v>
      </c>
    </row>
    <row r="15" spans="2:16" x14ac:dyDescent="0.25">
      <c r="E15" t="s">
        <v>124</v>
      </c>
      <c r="G15" s="2">
        <v>0.6</v>
      </c>
    </row>
    <row r="17" spans="2:15" x14ac:dyDescent="0.25">
      <c r="B17" s="1" t="s">
        <v>0</v>
      </c>
    </row>
    <row r="20" spans="2:15" x14ac:dyDescent="0.25">
      <c r="C20" t="s">
        <v>15</v>
      </c>
      <c r="E20" t="s">
        <v>16</v>
      </c>
      <c r="G20" s="79" t="s">
        <v>17</v>
      </c>
      <c r="H20" s="79"/>
      <c r="I20" s="79"/>
      <c r="J20" s="79"/>
      <c r="K20" t="s">
        <v>20</v>
      </c>
      <c r="N20" t="s">
        <v>125</v>
      </c>
    </row>
    <row r="21" spans="2:15" x14ac:dyDescent="0.25">
      <c r="B21" s="14"/>
      <c r="C21" s="14">
        <v>994</v>
      </c>
      <c r="D21" s="14" t="s">
        <v>12</v>
      </c>
      <c r="E21" s="14">
        <f>+C21*$G$14</f>
        <v>994</v>
      </c>
      <c r="F21" s="14" t="s">
        <v>12</v>
      </c>
      <c r="G21" s="14">
        <f>+E21*24*365/1000</f>
        <v>8707.44</v>
      </c>
      <c r="H21" s="14" t="s">
        <v>18</v>
      </c>
      <c r="I21" s="14">
        <f>+G21*0.0036</f>
        <v>31.346784</v>
      </c>
      <c r="J21" s="14" t="s">
        <v>19</v>
      </c>
      <c r="K21" s="16">
        <f>+I21/$G$13</f>
        <v>89.562240000000003</v>
      </c>
      <c r="L21" s="14" t="s">
        <v>19</v>
      </c>
      <c r="M21" s="14"/>
      <c r="N21" s="14">
        <f>+I21*$G$15</f>
        <v>18.808070399999998</v>
      </c>
    </row>
    <row r="22" spans="2:15" x14ac:dyDescent="0.25">
      <c r="B22" t="s">
        <v>9</v>
      </c>
      <c r="C22">
        <v>789</v>
      </c>
      <c r="D22" t="s">
        <v>12</v>
      </c>
      <c r="E22">
        <f>+C22*$G$14</f>
        <v>789</v>
      </c>
      <c r="F22" t="s">
        <v>12</v>
      </c>
      <c r="G22">
        <f>+E22*24*365/1000</f>
        <v>6911.64</v>
      </c>
      <c r="H22" t="s">
        <v>18</v>
      </c>
      <c r="I22">
        <f>+G22*0.0036</f>
        <v>24.881904000000002</v>
      </c>
      <c r="J22" t="s">
        <v>19</v>
      </c>
      <c r="K22" s="4">
        <f>+I22/$G$13</f>
        <v>71.091154285714296</v>
      </c>
      <c r="L22" t="s">
        <v>19</v>
      </c>
      <c r="N22">
        <f>+I22*$G$15</f>
        <v>14.9291424</v>
      </c>
    </row>
    <row r="23" spans="2:15" x14ac:dyDescent="0.25">
      <c r="B23" t="s">
        <v>10</v>
      </c>
      <c r="C23">
        <v>111</v>
      </c>
      <c r="D23" t="s">
        <v>12</v>
      </c>
      <c r="E23">
        <f>+C23*$G$14</f>
        <v>111</v>
      </c>
      <c r="F23" t="s">
        <v>12</v>
      </c>
      <c r="G23">
        <f>+E23*24*365/1000</f>
        <v>972.36</v>
      </c>
      <c r="H23" t="s">
        <v>18</v>
      </c>
      <c r="I23">
        <f t="shared" ref="I23:I24" si="0">+G23*0.0036</f>
        <v>3.5004960000000001</v>
      </c>
      <c r="J23" t="s">
        <v>19</v>
      </c>
      <c r="K23" s="4">
        <f>+I23/$G$13</f>
        <v>10.001417142857143</v>
      </c>
      <c r="L23" t="s">
        <v>19</v>
      </c>
      <c r="N23">
        <f>+I23*$G$15</f>
        <v>2.1002975999999998</v>
      </c>
    </row>
    <row r="24" spans="2:15" x14ac:dyDescent="0.25">
      <c r="B24" t="s">
        <v>11</v>
      </c>
      <c r="C24">
        <v>54</v>
      </c>
      <c r="D24" t="s">
        <v>12</v>
      </c>
      <c r="E24">
        <f>+C24*$G$14</f>
        <v>54</v>
      </c>
      <c r="F24" t="s">
        <v>12</v>
      </c>
      <c r="G24">
        <f t="shared" ref="G24" si="1">+E24*24*365/1000</f>
        <v>473.04</v>
      </c>
      <c r="H24" t="s">
        <v>18</v>
      </c>
      <c r="I24">
        <f t="shared" si="0"/>
        <v>1.702944</v>
      </c>
      <c r="J24" t="s">
        <v>19</v>
      </c>
      <c r="K24" s="4">
        <f>+I24/$G$13</f>
        <v>4.8655542857142864</v>
      </c>
      <c r="L24" t="s">
        <v>19</v>
      </c>
    </row>
    <row r="26" spans="2:15" x14ac:dyDescent="0.25">
      <c r="I26">
        <f>+G22+G23</f>
        <v>7884</v>
      </c>
      <c r="J26" t="s">
        <v>18</v>
      </c>
      <c r="N26">
        <f>+N23+N22</f>
        <v>17.029440000000001</v>
      </c>
      <c r="O26" t="s">
        <v>19</v>
      </c>
    </row>
    <row r="27" spans="2:15" x14ac:dyDescent="0.25">
      <c r="C27" t="s">
        <v>43</v>
      </c>
      <c r="E27" t="s">
        <v>44</v>
      </c>
      <c r="N27">
        <f>+N26/0.0036</f>
        <v>4730.4000000000005</v>
      </c>
      <c r="O27" t="s">
        <v>18</v>
      </c>
    </row>
    <row r="28" spans="2:15" x14ac:dyDescent="0.25">
      <c r="B28" t="s">
        <v>42</v>
      </c>
      <c r="C28" s="4">
        <f>+N22</f>
        <v>14.9291424</v>
      </c>
      <c r="D28" t="s">
        <v>19</v>
      </c>
      <c r="E28" s="4">
        <v>20.856631177169554</v>
      </c>
      <c r="F28" t="s">
        <v>19</v>
      </c>
    </row>
    <row r="29" spans="2:15" x14ac:dyDescent="0.25">
      <c r="B29" t="s">
        <v>10</v>
      </c>
      <c r="C29" s="4">
        <f>+I23</f>
        <v>3.5004960000000001</v>
      </c>
      <c r="D29" t="s">
        <v>19</v>
      </c>
      <c r="E29" s="4">
        <v>2.8118998573086809</v>
      </c>
      <c r="F29" t="s">
        <v>19</v>
      </c>
    </row>
    <row r="31" spans="2:15" x14ac:dyDescent="0.25">
      <c r="B31" s="80" t="s">
        <v>98</v>
      </c>
      <c r="C31" s="80"/>
      <c r="D31" s="80"/>
      <c r="E31" s="80"/>
      <c r="F31" s="80"/>
      <c r="G31" s="80"/>
      <c r="H31" s="80"/>
      <c r="I31" s="80"/>
      <c r="J31" s="80"/>
    </row>
    <row r="33" spans="1:22" x14ac:dyDescent="0.25">
      <c r="C33" t="s">
        <v>43</v>
      </c>
    </row>
    <row r="34" spans="1:22" x14ac:dyDescent="0.25">
      <c r="B34" t="s">
        <v>42</v>
      </c>
      <c r="C34" s="4">
        <f>+C28</f>
        <v>14.9291424</v>
      </c>
      <c r="D34" t="s">
        <v>19</v>
      </c>
    </row>
    <row r="36" spans="1:22" x14ac:dyDescent="0.25">
      <c r="A36" t="s">
        <v>97</v>
      </c>
    </row>
    <row r="37" spans="1:22" x14ac:dyDescent="0.25">
      <c r="A37" t="s">
        <v>3</v>
      </c>
      <c r="B37" t="s">
        <v>82</v>
      </c>
      <c r="C37" s="2">
        <v>0.35</v>
      </c>
      <c r="D37" s="4">
        <f>+C37*$C$34</f>
        <v>5.2251998399999993</v>
      </c>
      <c r="E37" t="s">
        <v>19</v>
      </c>
      <c r="H37" s="79" t="s">
        <v>108</v>
      </c>
      <c r="I37" s="79"/>
      <c r="J37" s="79" t="s">
        <v>99</v>
      </c>
      <c r="K37" s="79"/>
      <c r="L37" s="79" t="s">
        <v>110</v>
      </c>
      <c r="M37" s="79"/>
      <c r="N37" s="79" t="s">
        <v>109</v>
      </c>
      <c r="O37" s="79"/>
      <c r="P37" s="79"/>
      <c r="Q37" s="79" t="s">
        <v>111</v>
      </c>
      <c r="R37" s="79"/>
      <c r="S37" s="79" t="s">
        <v>107</v>
      </c>
      <c r="T37" s="79"/>
      <c r="U37" s="79"/>
      <c r="V37" s="79"/>
    </row>
    <row r="38" spans="1:22" x14ac:dyDescent="0.25">
      <c r="A38" t="s">
        <v>2</v>
      </c>
      <c r="B38" t="s">
        <v>83</v>
      </c>
      <c r="C38" s="2">
        <v>0.11</v>
      </c>
      <c r="D38" s="4">
        <f t="shared" ref="D38:D50" si="2">+C38*$C$34</f>
        <v>1.642205664</v>
      </c>
      <c r="E38" t="s">
        <v>19</v>
      </c>
      <c r="G38" t="s">
        <v>3</v>
      </c>
      <c r="H38">
        <f>+SUMIF($A$37:$A$50,G38,$D$37:$D$50)</f>
        <v>8.0617368959999993</v>
      </c>
      <c r="I38" t="s">
        <v>19</v>
      </c>
      <c r="J38">
        <f>3.84+10.89</f>
        <v>14.73</v>
      </c>
      <c r="K38" t="s">
        <v>19</v>
      </c>
      <c r="L38">
        <f>+H38/$G$13</f>
        <v>23.033533988571428</v>
      </c>
      <c r="M38" t="s">
        <v>19</v>
      </c>
      <c r="N38">
        <v>29.164809345040933</v>
      </c>
      <c r="O38" t="s">
        <v>19</v>
      </c>
      <c r="P38" s="5">
        <f>+N38/L38</f>
        <v>1.2661890858568063</v>
      </c>
      <c r="Q38">
        <f>+L38-N38</f>
        <v>-6.1312753564695051</v>
      </c>
      <c r="R38" t="s">
        <v>19</v>
      </c>
      <c r="S38">
        <f>+J38-H38</f>
        <v>6.6682631040000011</v>
      </c>
      <c r="T38" t="s">
        <v>19</v>
      </c>
      <c r="U38">
        <f>+S38/0.0036</f>
        <v>1852.2953066666671</v>
      </c>
      <c r="V38" t="s">
        <v>18</v>
      </c>
    </row>
    <row r="39" spans="1:22" x14ac:dyDescent="0.25">
      <c r="A39" t="s">
        <v>3</v>
      </c>
      <c r="B39" t="s">
        <v>84</v>
      </c>
      <c r="C39" s="2">
        <v>0.11</v>
      </c>
      <c r="D39" s="4">
        <f t="shared" si="2"/>
        <v>1.642205664</v>
      </c>
      <c r="E39" t="s">
        <v>19</v>
      </c>
      <c r="G39" t="s">
        <v>2</v>
      </c>
      <c r="H39">
        <f>+SUMIF($A$37:$A$50,G39,$D$37:$D$50)</f>
        <v>2.6872456319999998</v>
      </c>
      <c r="I39" t="s">
        <v>19</v>
      </c>
      <c r="J39">
        <v>1.75</v>
      </c>
      <c r="K39" t="s">
        <v>19</v>
      </c>
      <c r="L39">
        <f t="shared" ref="L39:L42" si="3">+H39/$G$13</f>
        <v>7.6778446628571428</v>
      </c>
      <c r="M39" t="s">
        <v>19</v>
      </c>
      <c r="N39">
        <v>1.7521170575840492</v>
      </c>
      <c r="O39" t="s">
        <v>19</v>
      </c>
      <c r="P39" s="5">
        <f t="shared" ref="P39:P42" si="4">+N39/L39</f>
        <v>0.2282042857756954</v>
      </c>
      <c r="Q39">
        <f>+L39-N39</f>
        <v>5.9257276052730941</v>
      </c>
      <c r="R39" t="s">
        <v>19</v>
      </c>
      <c r="S39">
        <f>+J39-H39</f>
        <v>-0.93724563199999977</v>
      </c>
      <c r="T39" t="s">
        <v>19</v>
      </c>
      <c r="U39">
        <f t="shared" ref="U39:U42" si="5">+S39/0.0036</f>
        <v>-260.34600888888883</v>
      </c>
      <c r="V39" t="s">
        <v>18</v>
      </c>
    </row>
    <row r="40" spans="1:22" x14ac:dyDescent="0.25">
      <c r="A40" t="s">
        <v>5</v>
      </c>
      <c r="B40" t="s">
        <v>85</v>
      </c>
      <c r="C40" s="2">
        <v>7.0000000000000007E-2</v>
      </c>
      <c r="D40" s="4">
        <f t="shared" si="2"/>
        <v>1.045039968</v>
      </c>
      <c r="E40" t="s">
        <v>19</v>
      </c>
      <c r="G40" t="s">
        <v>5</v>
      </c>
      <c r="H40">
        <f>+SUMIF($A$37:$A$50,G40,$D$37:$D$50)</f>
        <v>1.045039968</v>
      </c>
      <c r="I40" t="s">
        <v>19</v>
      </c>
      <c r="J40">
        <v>0.159</v>
      </c>
      <c r="K40" t="s">
        <v>19</v>
      </c>
      <c r="L40">
        <f t="shared" si="3"/>
        <v>2.9858284800000003</v>
      </c>
      <c r="M40" t="s">
        <v>19</v>
      </c>
      <c r="N40">
        <v>0.20575788232194489</v>
      </c>
      <c r="O40" t="s">
        <v>19</v>
      </c>
      <c r="P40" s="5">
        <f t="shared" si="4"/>
        <v>6.891148761563988E-2</v>
      </c>
      <c r="Q40">
        <f>+L40-N40</f>
        <v>2.7800705976780553</v>
      </c>
      <c r="R40" t="s">
        <v>19</v>
      </c>
      <c r="S40">
        <f>+J40-H40</f>
        <v>-0.88603996799999996</v>
      </c>
      <c r="T40" t="s">
        <v>19</v>
      </c>
      <c r="U40">
        <f t="shared" si="5"/>
        <v>-246.12221333333332</v>
      </c>
    </row>
    <row r="41" spans="1:22" x14ac:dyDescent="0.25">
      <c r="A41" t="s">
        <v>6</v>
      </c>
      <c r="B41" t="s">
        <v>86</v>
      </c>
      <c r="C41" s="2">
        <v>7.0000000000000007E-2</v>
      </c>
      <c r="D41" s="4">
        <f t="shared" si="2"/>
        <v>1.045039968</v>
      </c>
      <c r="E41" t="s">
        <v>19</v>
      </c>
      <c r="G41" t="s">
        <v>6</v>
      </c>
      <c r="H41">
        <f>+SUMIF($A$37:$A$50,G41,$D$37:$D$50)</f>
        <v>1.045039968</v>
      </c>
      <c r="I41" t="s">
        <v>19</v>
      </c>
      <c r="J41">
        <v>5.8999999999999997E-2</v>
      </c>
      <c r="K41" t="s">
        <v>19</v>
      </c>
      <c r="L41">
        <f t="shared" si="3"/>
        <v>2.9858284800000003</v>
      </c>
      <c r="M41" t="s">
        <v>19</v>
      </c>
      <c r="N41">
        <v>0</v>
      </c>
      <c r="O41" t="s">
        <v>19</v>
      </c>
      <c r="P41" s="5">
        <f t="shared" si="4"/>
        <v>0</v>
      </c>
      <c r="Q41">
        <f>+L41-N41</f>
        <v>2.9858284800000003</v>
      </c>
      <c r="R41" t="s">
        <v>19</v>
      </c>
      <c r="S41">
        <f>+J41-H41</f>
        <v>-0.98603996800000004</v>
      </c>
      <c r="T41" t="s">
        <v>19</v>
      </c>
      <c r="U41">
        <f t="shared" si="5"/>
        <v>-273.89999111111115</v>
      </c>
    </row>
    <row r="42" spans="1:22" x14ac:dyDescent="0.25">
      <c r="A42" t="s">
        <v>3</v>
      </c>
      <c r="B42" t="s">
        <v>87</v>
      </c>
      <c r="C42" s="2">
        <v>0.05</v>
      </c>
      <c r="D42" s="4">
        <f t="shared" si="2"/>
        <v>0.74645712000000009</v>
      </c>
      <c r="E42" t="s">
        <v>19</v>
      </c>
      <c r="G42" t="s">
        <v>4</v>
      </c>
      <c r="H42">
        <f>+SUMIF($A$37:$A$50,G42,$D$37:$D$50)</f>
        <v>0.29858284800000001</v>
      </c>
      <c r="I42" t="s">
        <v>19</v>
      </c>
      <c r="J42">
        <v>0.11700000000000001</v>
      </c>
      <c r="K42" t="s">
        <v>19</v>
      </c>
      <c r="L42">
        <f t="shared" si="3"/>
        <v>0.85309385142857153</v>
      </c>
      <c r="M42" t="s">
        <v>19</v>
      </c>
      <c r="N42">
        <v>2.2906856139958444E-2</v>
      </c>
      <c r="O42" t="s">
        <v>19</v>
      </c>
      <c r="P42" s="5">
        <f t="shared" si="4"/>
        <v>2.6851507722859734E-2</v>
      </c>
      <c r="Q42">
        <f>+L42-N42</f>
        <v>0.83018699528861306</v>
      </c>
      <c r="R42" t="s">
        <v>19</v>
      </c>
      <c r="S42">
        <f>+J42-H42</f>
        <v>-0.18158284800000002</v>
      </c>
      <c r="T42" t="s">
        <v>19</v>
      </c>
      <c r="U42">
        <f t="shared" si="5"/>
        <v>-50.43968000000001</v>
      </c>
    </row>
    <row r="43" spans="1:22" x14ac:dyDescent="0.25">
      <c r="A43" t="s">
        <v>96</v>
      </c>
      <c r="B43" t="s">
        <v>88</v>
      </c>
      <c r="C43" s="2">
        <v>0.03</v>
      </c>
      <c r="D43" s="4">
        <f t="shared" si="2"/>
        <v>0.44787427199999996</v>
      </c>
      <c r="E43" t="s">
        <v>19</v>
      </c>
      <c r="J43">
        <f>+SUM(J38:J42)</f>
        <v>16.815000000000001</v>
      </c>
    </row>
    <row r="44" spans="1:22" x14ac:dyDescent="0.25">
      <c r="A44" t="s">
        <v>3</v>
      </c>
      <c r="B44" t="s">
        <v>89</v>
      </c>
      <c r="C44" s="2">
        <v>0.03</v>
      </c>
      <c r="D44" s="4">
        <f t="shared" si="2"/>
        <v>0.44787427199999996</v>
      </c>
      <c r="E44" t="s">
        <v>19</v>
      </c>
      <c r="H44">
        <f>+SUM(H38:H42)</f>
        <v>13.137645311999998</v>
      </c>
      <c r="I44" t="s">
        <v>19</v>
      </c>
      <c r="L44">
        <f>+SUM(L38:L42)</f>
        <v>37.536129462857147</v>
      </c>
      <c r="M44" t="s">
        <v>19</v>
      </c>
      <c r="Q44">
        <f>+SUM(Q38:Q42)</f>
        <v>6.3905383217702569</v>
      </c>
      <c r="R44" t="s">
        <v>19</v>
      </c>
    </row>
    <row r="45" spans="1:22" x14ac:dyDescent="0.25">
      <c r="A45" t="s">
        <v>2</v>
      </c>
      <c r="B45" t="s">
        <v>90</v>
      </c>
      <c r="C45" s="2">
        <v>0.03</v>
      </c>
      <c r="D45" s="4">
        <f t="shared" si="2"/>
        <v>0.44787427199999996</v>
      </c>
      <c r="E45" t="s">
        <v>19</v>
      </c>
    </row>
    <row r="46" spans="1:22" x14ac:dyDescent="0.25">
      <c r="A46" t="s">
        <v>96</v>
      </c>
      <c r="B46" t="s">
        <v>91</v>
      </c>
      <c r="C46" s="2">
        <v>0.03</v>
      </c>
      <c r="D46" s="4">
        <f t="shared" si="2"/>
        <v>0.44787427199999996</v>
      </c>
      <c r="E46" t="s">
        <v>19</v>
      </c>
    </row>
    <row r="47" spans="1:22" x14ac:dyDescent="0.25">
      <c r="A47" t="s">
        <v>96</v>
      </c>
      <c r="B47" t="s">
        <v>92</v>
      </c>
      <c r="C47" s="2">
        <v>0.04</v>
      </c>
      <c r="D47" s="4">
        <f t="shared" si="2"/>
        <v>0.59716569600000002</v>
      </c>
      <c r="E47" t="s">
        <v>19</v>
      </c>
      <c r="K47" t="s">
        <v>8</v>
      </c>
      <c r="L47">
        <f>+$L$44*0.44</f>
        <v>16.515896963657145</v>
      </c>
      <c r="M47" t="s">
        <v>19</v>
      </c>
    </row>
    <row r="48" spans="1:22" x14ac:dyDescent="0.25">
      <c r="A48" t="s">
        <v>2</v>
      </c>
      <c r="B48" t="s">
        <v>93</v>
      </c>
      <c r="C48" s="2">
        <v>0.04</v>
      </c>
      <c r="D48" s="4">
        <f t="shared" si="2"/>
        <v>0.59716569600000002</v>
      </c>
      <c r="E48" t="s">
        <v>19</v>
      </c>
      <c r="K48" t="s">
        <v>112</v>
      </c>
      <c r="L48">
        <f>+$L$44*36%</f>
        <v>13.513006606628572</v>
      </c>
      <c r="M48" t="s">
        <v>19</v>
      </c>
      <c r="N48" t="s">
        <v>116</v>
      </c>
      <c r="O48">
        <f>+SUM(L48:L51)</f>
        <v>21.020232499200002</v>
      </c>
      <c r="P48" t="s">
        <v>19</v>
      </c>
    </row>
    <row r="49" spans="1:13" x14ac:dyDescent="0.25">
      <c r="A49" t="s">
        <v>96</v>
      </c>
      <c r="B49" t="s">
        <v>94</v>
      </c>
      <c r="C49" s="2">
        <v>0.02</v>
      </c>
      <c r="D49" s="4">
        <f t="shared" si="2"/>
        <v>0.29858284800000001</v>
      </c>
      <c r="E49" t="s">
        <v>19</v>
      </c>
      <c r="K49" t="s">
        <v>113</v>
      </c>
      <c r="L49">
        <f>+L44*17%</f>
        <v>6.3811420086857158</v>
      </c>
      <c r="M49" t="s">
        <v>19</v>
      </c>
    </row>
    <row r="50" spans="1:13" x14ac:dyDescent="0.25">
      <c r="A50" t="s">
        <v>4</v>
      </c>
      <c r="B50" t="s">
        <v>95</v>
      </c>
      <c r="C50" s="2">
        <v>0.02</v>
      </c>
      <c r="D50" s="4">
        <f t="shared" si="2"/>
        <v>0.29858284800000001</v>
      </c>
      <c r="E50" t="s">
        <v>19</v>
      </c>
      <c r="K50" t="s">
        <v>114</v>
      </c>
      <c r="L50">
        <f>+L44*0.02</f>
        <v>0.75072258925714297</v>
      </c>
      <c r="M50" t="s">
        <v>19</v>
      </c>
    </row>
    <row r="51" spans="1:13" x14ac:dyDescent="0.25">
      <c r="C51" s="2">
        <f>+SUM(C37:C50)</f>
        <v>1.0000000000000002</v>
      </c>
      <c r="K51" t="s">
        <v>115</v>
      </c>
      <c r="L51">
        <f>+L44*0.01</f>
        <v>0.37536129462857148</v>
      </c>
      <c r="M51" t="s">
        <v>19</v>
      </c>
    </row>
    <row r="55" spans="1:13" x14ac:dyDescent="0.25">
      <c r="I55" s="79" t="s">
        <v>109</v>
      </c>
      <c r="J55" s="79"/>
      <c r="K55" s="79"/>
    </row>
    <row r="56" spans="1:13" x14ac:dyDescent="0.25">
      <c r="H56" t="s">
        <v>3</v>
      </c>
      <c r="I56">
        <v>29.164809345040933</v>
      </c>
      <c r="J56" t="s">
        <v>19</v>
      </c>
      <c r="K56" s="5">
        <f>+I56/SUM($I$56:$I$60)</f>
        <v>0.93640249796277175</v>
      </c>
    </row>
    <row r="57" spans="1:13" x14ac:dyDescent="0.25">
      <c r="H57" t="s">
        <v>2</v>
      </c>
      <c r="I57">
        <v>1.7521170575840492</v>
      </c>
      <c r="J57" t="s">
        <v>19</v>
      </c>
      <c r="K57" s="5">
        <f t="shared" ref="K57:K60" si="6">+I57/SUM($I$56:$I$60)</f>
        <v>5.6255700835701201E-2</v>
      </c>
    </row>
    <row r="58" spans="1:13" x14ac:dyDescent="0.25">
      <c r="H58" t="s">
        <v>5</v>
      </c>
      <c r="I58">
        <v>0.20575788232194489</v>
      </c>
      <c r="J58" t="s">
        <v>19</v>
      </c>
      <c r="K58" s="5">
        <f t="shared" si="6"/>
        <v>6.6063245160407832E-3</v>
      </c>
    </row>
    <row r="59" spans="1:13" x14ac:dyDescent="0.25">
      <c r="H59" t="s">
        <v>6</v>
      </c>
      <c r="I59">
        <v>0</v>
      </c>
      <c r="J59" t="s">
        <v>19</v>
      </c>
      <c r="K59" s="5">
        <f t="shared" si="6"/>
        <v>0</v>
      </c>
    </row>
    <row r="60" spans="1:13" x14ac:dyDescent="0.25">
      <c r="H60" t="s">
        <v>4</v>
      </c>
      <c r="I60">
        <v>2.2906856139958444E-2</v>
      </c>
      <c r="J60" t="s">
        <v>19</v>
      </c>
      <c r="K60" s="5">
        <f t="shared" si="6"/>
        <v>7.3547668548631267E-4</v>
      </c>
    </row>
  </sheetData>
  <mergeCells count="9">
    <mergeCell ref="I55:K55"/>
    <mergeCell ref="G20:J20"/>
    <mergeCell ref="B31:J31"/>
    <mergeCell ref="S37:V37"/>
    <mergeCell ref="Q37:R37"/>
    <mergeCell ref="N37:P37"/>
    <mergeCell ref="L37:M37"/>
    <mergeCell ref="J37:K37"/>
    <mergeCell ref="H37:I3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A5C23-8813-40C9-B44D-09C9399C1EC1}">
  <sheetPr>
    <tabColor rgb="FF00B050"/>
  </sheetPr>
  <dimension ref="A1:AR41"/>
  <sheetViews>
    <sheetView showGridLines="0" topLeftCell="D1" zoomScale="115" zoomScaleNormal="115" workbookViewId="0">
      <selection activeCell="H17" sqref="H17:W17"/>
    </sheetView>
  </sheetViews>
  <sheetFormatPr baseColWidth="10" defaultRowHeight="15" x14ac:dyDescent="0.25"/>
  <cols>
    <col min="1" max="1" width="23.85546875" style="3" customWidth="1"/>
    <col min="2" max="2" width="22.42578125" customWidth="1"/>
    <col min="3" max="3" width="22.140625" customWidth="1"/>
    <col min="4" max="4" width="28.140625" customWidth="1"/>
    <col min="6" max="6" width="15.140625" customWidth="1"/>
    <col min="7" max="7" width="16.7109375" customWidth="1"/>
    <col min="8" max="8" width="14" customWidth="1"/>
    <col min="10" max="11" width="10.140625" customWidth="1"/>
    <col min="14" max="14" width="5.5703125" customWidth="1"/>
    <col min="15" max="15" width="10.28515625" customWidth="1"/>
    <col min="16" max="17" width="9" customWidth="1"/>
    <col min="18" max="20" width="16.85546875" customWidth="1"/>
    <col min="26" max="26" width="15.42578125" customWidth="1"/>
    <col min="28" max="28" width="5.42578125" customWidth="1"/>
  </cols>
  <sheetData>
    <row r="1" spans="1:41" x14ac:dyDescent="0.25">
      <c r="A1" s="3" t="s">
        <v>117</v>
      </c>
      <c r="U1" s="66"/>
      <c r="V1" s="82" t="s">
        <v>168</v>
      </c>
      <c r="W1" s="83"/>
      <c r="X1" s="83"/>
      <c r="Y1" s="84"/>
      <c r="Z1" s="66"/>
    </row>
    <row r="2" spans="1:41" x14ac:dyDescent="0.25">
      <c r="C2" s="9"/>
      <c r="U2" s="66"/>
      <c r="V2" s="67" t="s">
        <v>114</v>
      </c>
      <c r="W2" s="68" t="s">
        <v>144</v>
      </c>
      <c r="X2" s="68" t="s">
        <v>112</v>
      </c>
      <c r="Y2" s="68" t="s">
        <v>113</v>
      </c>
      <c r="Z2" s="66"/>
    </row>
    <row r="3" spans="1:41" x14ac:dyDescent="0.25">
      <c r="C3" s="9" t="s">
        <v>118</v>
      </c>
      <c r="D3" s="2">
        <v>0.35</v>
      </c>
      <c r="U3" s="66" t="s">
        <v>3</v>
      </c>
      <c r="V3" s="69">
        <f>+(V17*0.35*1000/0.0036)/(365*24)</f>
        <v>19.999999999999996</v>
      </c>
      <c r="W3" s="69">
        <f t="shared" ref="W3:Y3" si="0">+(W17*0.35*1000/0.0036)/(365*24)</f>
        <v>150.07647247502405</v>
      </c>
      <c r="X3" s="69">
        <f t="shared" si="0"/>
        <v>48.264281002198075</v>
      </c>
      <c r="Y3" s="69">
        <f t="shared" si="0"/>
        <v>22.809206522777917</v>
      </c>
      <c r="Z3" s="66"/>
    </row>
    <row r="4" spans="1:41" x14ac:dyDescent="0.25">
      <c r="C4" s="9" t="s">
        <v>119</v>
      </c>
      <c r="D4" s="2">
        <v>1</v>
      </c>
      <c r="U4" s="66" t="s">
        <v>6</v>
      </c>
      <c r="V4" s="69">
        <f t="shared" ref="V4:Y4" si="1">+(V18*0.35*1000/0.0036)/(365*24)</f>
        <v>0</v>
      </c>
      <c r="W4" s="69">
        <f t="shared" si="1"/>
        <v>0</v>
      </c>
      <c r="X4" s="69">
        <f t="shared" si="1"/>
        <v>21.228029807445445</v>
      </c>
      <c r="Y4" s="69">
        <f t="shared" si="1"/>
        <v>10.032150192554559</v>
      </c>
      <c r="Z4" s="66"/>
    </row>
    <row r="5" spans="1:41" x14ac:dyDescent="0.25">
      <c r="C5" s="9"/>
      <c r="U5" s="66" t="s">
        <v>2</v>
      </c>
      <c r="V5" s="69">
        <f t="shared" ref="V5:Y5" si="2">+(V19*0.35*1000/0.0036)/(365*24)</f>
        <v>0</v>
      </c>
      <c r="W5" s="69">
        <f t="shared" si="2"/>
        <v>19.445743599518565</v>
      </c>
      <c r="X5" s="69">
        <f t="shared" si="2"/>
        <v>41.381229673754405</v>
      </c>
      <c r="Y5" s="69">
        <f t="shared" si="2"/>
        <v>19.556346726727035</v>
      </c>
      <c r="Z5" s="66"/>
    </row>
    <row r="6" spans="1:41" x14ac:dyDescent="0.25">
      <c r="C6" s="9" t="s">
        <v>133</v>
      </c>
      <c r="D6" s="2">
        <f>30.9%+22.8%+2.9%</f>
        <v>0.56600000000000006</v>
      </c>
      <c r="U6" s="66" t="s">
        <v>5</v>
      </c>
      <c r="V6" s="69">
        <f t="shared" ref="V6:Y6" si="3">+(V20*0.35*1000/0.0036)/(365*24)</f>
        <v>0</v>
      </c>
      <c r="W6" s="69">
        <f t="shared" si="3"/>
        <v>2.2835888766070749</v>
      </c>
      <c r="X6" s="69">
        <f t="shared" si="3"/>
        <v>19.677300005487623</v>
      </c>
      <c r="Y6" s="69">
        <f t="shared" si="3"/>
        <v>9.2992911179053053</v>
      </c>
      <c r="Z6" s="66"/>
    </row>
    <row r="7" spans="1:41" x14ac:dyDescent="0.25">
      <c r="U7" s="70" t="s">
        <v>4</v>
      </c>
      <c r="V7" s="69">
        <f t="shared" ref="V7:Y7" si="4">+(V21*0.35*1000/0.0036)/(365*24)</f>
        <v>0</v>
      </c>
      <c r="W7" s="69">
        <f t="shared" si="4"/>
        <v>0.25423007512003598</v>
      </c>
      <c r="X7" s="69">
        <f t="shared" si="4"/>
        <v>0</v>
      </c>
      <c r="Y7" s="69">
        <f t="shared" si="4"/>
        <v>8.8787417554540831</v>
      </c>
      <c r="Z7" s="66"/>
    </row>
    <row r="8" spans="1:41" x14ac:dyDescent="0.25">
      <c r="V8" s="7"/>
      <c r="W8" s="7"/>
      <c r="X8" s="7"/>
      <c r="Y8" s="7"/>
    </row>
    <row r="9" spans="1:41" x14ac:dyDescent="0.25">
      <c r="B9" s="10"/>
      <c r="C9" s="85" t="s">
        <v>120</v>
      </c>
      <c r="D9" s="85"/>
      <c r="E9" s="10" t="s">
        <v>121</v>
      </c>
      <c r="F9" s="10"/>
      <c r="G9" s="10" t="s">
        <v>122</v>
      </c>
      <c r="H9" s="10"/>
      <c r="V9" s="7"/>
    </row>
    <row r="10" spans="1:41" x14ac:dyDescent="0.25">
      <c r="B10" s="10" t="s">
        <v>134</v>
      </c>
      <c r="C10" s="10">
        <v>789</v>
      </c>
      <c r="D10" s="10" t="s">
        <v>12</v>
      </c>
      <c r="E10" s="10">
        <f>+C10*D4</f>
        <v>789</v>
      </c>
      <c r="F10" s="10" t="s">
        <v>12</v>
      </c>
      <c r="G10" s="10">
        <f>+E10*24*365/1000</f>
        <v>6911.64</v>
      </c>
      <c r="H10" s="10" t="s">
        <v>18</v>
      </c>
      <c r="I10" s="4">
        <f>+G10*0.0036</f>
        <v>24.881904000000002</v>
      </c>
      <c r="J10" t="s">
        <v>19</v>
      </c>
    </row>
    <row r="11" spans="1:41" x14ac:dyDescent="0.25">
      <c r="I11" s="4"/>
    </row>
    <row r="12" spans="1:41" x14ac:dyDescent="0.25">
      <c r="C12" s="79" t="s">
        <v>120</v>
      </c>
      <c r="D12" s="79"/>
      <c r="E12" t="s">
        <v>121</v>
      </c>
      <c r="G12" t="s">
        <v>122</v>
      </c>
      <c r="I12" s="4"/>
    </row>
    <row r="13" spans="1:41" x14ac:dyDescent="0.25">
      <c r="B13" t="s">
        <v>132</v>
      </c>
      <c r="C13">
        <f>+C10*$D$6</f>
        <v>446.57400000000007</v>
      </c>
      <c r="D13" t="s">
        <v>12</v>
      </c>
      <c r="E13">
        <f t="shared" ref="E13:G13" si="5">+E10*$D$6</f>
        <v>446.57400000000007</v>
      </c>
      <c r="F13" t="s">
        <v>12</v>
      </c>
      <c r="G13" s="4">
        <f t="shared" si="5"/>
        <v>3911.9882400000006</v>
      </c>
      <c r="H13" t="s">
        <v>18</v>
      </c>
      <c r="I13" s="4">
        <f>+G13*0.0036</f>
        <v>14.083157664000002</v>
      </c>
      <c r="J13" t="s">
        <v>19</v>
      </c>
    </row>
    <row r="14" spans="1:41" x14ac:dyDescent="0.25">
      <c r="V14" s="81" t="s">
        <v>165</v>
      </c>
      <c r="W14" s="81"/>
      <c r="X14" s="81"/>
      <c r="Y14" s="81"/>
      <c r="Z14" s="81"/>
    </row>
    <row r="15" spans="1:41" x14ac:dyDescent="0.25">
      <c r="L15" s="3"/>
      <c r="M15" s="3" t="s">
        <v>156</v>
      </c>
      <c r="N15" s="3"/>
      <c r="O15" s="3"/>
      <c r="P15" s="3"/>
      <c r="Q15" s="3"/>
      <c r="R15" s="3" t="s">
        <v>19</v>
      </c>
      <c r="S15" s="3"/>
      <c r="V15" s="3" t="s">
        <v>19</v>
      </c>
      <c r="AD15" s="3" t="s">
        <v>12</v>
      </c>
      <c r="AI15" s="3" t="s">
        <v>19</v>
      </c>
    </row>
    <row r="16" spans="1:41" s="12" customFormat="1" ht="45" x14ac:dyDescent="0.25">
      <c r="A16" s="12" t="s">
        <v>137</v>
      </c>
      <c r="B16" s="12" t="s">
        <v>135</v>
      </c>
      <c r="C16" s="12" t="s">
        <v>138</v>
      </c>
      <c r="D16" s="86" t="s">
        <v>136</v>
      </c>
      <c r="E16" s="86"/>
      <c r="H16" s="86" t="s">
        <v>151</v>
      </c>
      <c r="I16" s="86"/>
      <c r="L16" s="12" t="s">
        <v>141</v>
      </c>
      <c r="M16" s="86" t="s">
        <v>142</v>
      </c>
      <c r="N16" s="86"/>
      <c r="O16" s="86" t="s">
        <v>143</v>
      </c>
      <c r="P16" s="86"/>
      <c r="R16" s="12" t="s">
        <v>155</v>
      </c>
      <c r="S16" s="12" t="s">
        <v>157</v>
      </c>
      <c r="V16" s="23" t="s">
        <v>114</v>
      </c>
      <c r="W16" s="20" t="s">
        <v>144</v>
      </c>
      <c r="X16" s="20" t="s">
        <v>112</v>
      </c>
      <c r="Y16" s="20" t="s">
        <v>113</v>
      </c>
      <c r="Z16" s="43" t="s">
        <v>158</v>
      </c>
      <c r="AD16" s="23" t="s">
        <v>114</v>
      </c>
      <c r="AE16" s="20" t="s">
        <v>144</v>
      </c>
      <c r="AF16" s="20" t="s">
        <v>112</v>
      </c>
      <c r="AG16" s="20" t="s">
        <v>113</v>
      </c>
      <c r="AI16" s="23" t="s">
        <v>114</v>
      </c>
      <c r="AJ16" s="20" t="s">
        <v>144</v>
      </c>
      <c r="AK16" s="20" t="s">
        <v>112</v>
      </c>
      <c r="AL16" s="20" t="s">
        <v>113</v>
      </c>
      <c r="AM16" s="12" t="s">
        <v>153</v>
      </c>
      <c r="AO16" s="12" t="s">
        <v>152</v>
      </c>
    </row>
    <row r="17" spans="1:44" x14ac:dyDescent="0.25">
      <c r="A17" s="3" t="s">
        <v>3</v>
      </c>
      <c r="B17" t="s">
        <v>82</v>
      </c>
      <c r="C17" s="2">
        <v>0.35</v>
      </c>
      <c r="D17" s="4">
        <f>+C17*$C$13</f>
        <v>156.30090000000001</v>
      </c>
      <c r="E17" t="s">
        <v>12</v>
      </c>
      <c r="G17" t="s">
        <v>3</v>
      </c>
      <c r="H17" s="7">
        <f>+SUMIF($A$17:$A$30,G17,$D$17:$D$30)</f>
        <v>241.14996000000002</v>
      </c>
      <c r="I17" t="s">
        <v>12</v>
      </c>
      <c r="L17" t="s">
        <v>3</v>
      </c>
      <c r="M17" s="7">
        <f>+H17*$D$4*24*365*0.0036/1000</f>
        <v>7.6049051385600004</v>
      </c>
      <c r="N17" t="s">
        <v>19</v>
      </c>
      <c r="O17" s="6">
        <f>+M17/$D$3</f>
        <v>21.728300395885718</v>
      </c>
      <c r="P17" t="s">
        <v>19</v>
      </c>
      <c r="R17">
        <f>+Hoja1!G73+Hoja1!G74</f>
        <v>15.249224356894651</v>
      </c>
      <c r="S17" s="7">
        <f>+R17-M17</f>
        <v>7.6443192183346502</v>
      </c>
      <c r="V17" s="24">
        <f>+(20*24*0.365)*0.0036/D3</f>
        <v>1.8020571428571428</v>
      </c>
      <c r="W17" s="28">
        <f>+((H34-AE23)*24*0.365)*0.0036/D3</f>
        <v>13.522318959921025</v>
      </c>
      <c r="X17" s="28">
        <f>+Z17-Y17</f>
        <v>4.3487496162437669</v>
      </c>
      <c r="Y17" s="28">
        <f>+Z17/(2.116+1)</f>
        <v>2.0551746768637837</v>
      </c>
      <c r="Z17" s="41">
        <v>6.4039242931075506</v>
      </c>
      <c r="AA17">
        <f>+Z17/0.0036</f>
        <v>1778.867859196542</v>
      </c>
      <c r="AD17" s="34">
        <f>+(V17*0.35/0.0036)*1000/(24*365)</f>
        <v>20</v>
      </c>
      <c r="AE17" s="35">
        <f>+H34-AE23</f>
        <v>150.07647247502405</v>
      </c>
      <c r="AF17" s="13">
        <f t="shared" ref="AF17:AG21" si="6">+(X17*0.35/0.0036)*1000/(24*365)</f>
        <v>48.264281002198068</v>
      </c>
      <c r="AG17" s="13">
        <f t="shared" si="6"/>
        <v>22.809206522777917</v>
      </c>
      <c r="AI17" s="39">
        <f t="shared" ref="AI17:AK21" si="7">+V17*0.35</f>
        <v>0.63071999999999995</v>
      </c>
      <c r="AJ17" s="35">
        <f t="shared" si="7"/>
        <v>4.7328116359723582</v>
      </c>
      <c r="AK17" s="13">
        <f t="shared" si="7"/>
        <v>1.5220623656853183</v>
      </c>
      <c r="AL17" s="13">
        <v>0</v>
      </c>
      <c r="AM17" s="7">
        <f>+SUM(AI17:AL17)</f>
        <v>6.8855940016576769</v>
      </c>
      <c r="AO17" s="7">
        <f>+Hoja1!G56+Hoja1!G58</f>
        <v>17.538323048611119</v>
      </c>
      <c r="AQ17">
        <f>+(AO17-AM17)/0.0036</f>
        <v>2959.0914019315119</v>
      </c>
      <c r="AR17" t="s">
        <v>18</v>
      </c>
    </row>
    <row r="18" spans="1:44" x14ac:dyDescent="0.25">
      <c r="A18" s="3" t="s">
        <v>2</v>
      </c>
      <c r="B18" t="s">
        <v>83</v>
      </c>
      <c r="C18" s="2">
        <v>0.11</v>
      </c>
      <c r="D18" s="4">
        <f>+C18*$C$13</f>
        <v>49.123140000000006</v>
      </c>
      <c r="E18" t="s">
        <v>12</v>
      </c>
      <c r="G18" t="s">
        <v>6</v>
      </c>
      <c r="H18" s="7">
        <f t="shared" ref="H18:H21" si="8">+SUMIF($A$17:$A$30,G18,$D$17:$D$30)</f>
        <v>31.260180000000009</v>
      </c>
      <c r="I18" t="s">
        <v>12</v>
      </c>
      <c r="L18" t="s">
        <v>6</v>
      </c>
      <c r="M18" s="7">
        <f>+H18*$D$4*24*365*0.0036/1000</f>
        <v>0.98582103648000019</v>
      </c>
      <c r="N18" t="s">
        <v>19</v>
      </c>
      <c r="O18" s="6">
        <f t="shared" ref="O18:O22" si="9">+M18/$D$3</f>
        <v>2.8166315328000007</v>
      </c>
      <c r="P18" t="s">
        <v>19</v>
      </c>
      <c r="R18">
        <f>+Hoja1!G75</f>
        <v>0.109255702836646</v>
      </c>
      <c r="S18" s="7">
        <f>+R18-M18</f>
        <v>-0.87656533364335421</v>
      </c>
      <c r="V18" s="24">
        <v>0</v>
      </c>
      <c r="W18" s="28">
        <v>0</v>
      </c>
      <c r="X18" s="28">
        <f t="shared" ref="X18:X20" si="10">+Z18-Y18</f>
        <v>1.9127061371645704</v>
      </c>
      <c r="Y18" s="28">
        <f t="shared" ref="Y18:Y20" si="11">+Z18/(2.116+1)</f>
        <v>0.90392539563543017</v>
      </c>
      <c r="Z18" s="41">
        <v>2.8166315328000007</v>
      </c>
      <c r="AA18">
        <f t="shared" ref="AA18:AA21" si="12">+Z18/0.0036</f>
        <v>782.39764800000023</v>
      </c>
      <c r="AD18" s="24">
        <f>+(V18*0.35/0.0036)*1000/(24*365)</f>
        <v>0</v>
      </c>
      <c r="AE18" s="36">
        <f>+(W18*0.35/0.0036)*1000/(24*365)</f>
        <v>0</v>
      </c>
      <c r="AF18" s="13">
        <f t="shared" si="6"/>
        <v>21.228029807445449</v>
      </c>
      <c r="AG18" s="13">
        <f t="shared" si="6"/>
        <v>10.032150192554559</v>
      </c>
      <c r="AI18" s="24">
        <f t="shared" si="7"/>
        <v>0</v>
      </c>
      <c r="AJ18" s="36">
        <f t="shared" si="7"/>
        <v>0</v>
      </c>
      <c r="AK18" s="13">
        <f t="shared" si="7"/>
        <v>0.66944714800759964</v>
      </c>
      <c r="AL18" s="13">
        <f>+Y18*0.35</f>
        <v>0.31637388847240056</v>
      </c>
      <c r="AM18" s="7">
        <f>+SUM(AI18:AL18)</f>
        <v>0.98582103648000019</v>
      </c>
      <c r="AO18" s="7">
        <f>+Hoja1!G60</f>
        <v>0.109255702836646</v>
      </c>
      <c r="AQ18">
        <f>+(AO18-AM18)/0.0036</f>
        <v>-243.49037045648728</v>
      </c>
      <c r="AR18" t="s">
        <v>18</v>
      </c>
    </row>
    <row r="19" spans="1:44" x14ac:dyDescent="0.25">
      <c r="A19" s="3" t="s">
        <v>3</v>
      </c>
      <c r="B19" t="s">
        <v>84</v>
      </c>
      <c r="C19" s="2">
        <v>0.11</v>
      </c>
      <c r="D19" s="4">
        <f t="shared" ref="D19:D30" si="13">+C19*$C$13</f>
        <v>49.123140000000006</v>
      </c>
      <c r="E19" t="s">
        <v>12</v>
      </c>
      <c r="G19" t="s">
        <v>2</v>
      </c>
      <c r="H19" s="7">
        <f t="shared" si="8"/>
        <v>80.383320000000012</v>
      </c>
      <c r="I19" t="s">
        <v>12</v>
      </c>
      <c r="L19" t="s">
        <v>2</v>
      </c>
      <c r="M19" s="7">
        <f>+H19*$D$4*24*365*0.0036/1000</f>
        <v>2.53496837952</v>
      </c>
      <c r="N19" t="s">
        <v>19</v>
      </c>
      <c r="O19" s="6">
        <f t="shared" si="9"/>
        <v>7.2427667986285718</v>
      </c>
      <c r="P19" t="s">
        <v>19</v>
      </c>
      <c r="R19">
        <f>+Hoja1!G76</f>
        <v>2.4929417117336898</v>
      </c>
      <c r="S19" s="7">
        <f>+R19-M19</f>
        <v>-4.2026667786310146E-2</v>
      </c>
      <c r="V19" s="24">
        <v>0</v>
      </c>
      <c r="W19" s="28">
        <v>1.7521170575840499</v>
      </c>
      <c r="X19" s="28">
        <f t="shared" si="10"/>
        <v>3.7285670256900545</v>
      </c>
      <c r="Y19" s="28">
        <f t="shared" si="11"/>
        <v>1.7620827153544678</v>
      </c>
      <c r="Z19" s="41">
        <v>5.4906497410445221</v>
      </c>
      <c r="AA19">
        <f t="shared" si="12"/>
        <v>1525.1804836234785</v>
      </c>
      <c r="AD19" s="24">
        <f>+(V19*0.35/0.0036)*1000/(24*365)</f>
        <v>0</v>
      </c>
      <c r="AE19" s="36">
        <f>+(W19*0.35/0.0036)*1000/(24*365)</f>
        <v>19.445743599518565</v>
      </c>
      <c r="AF19" s="13">
        <f t="shared" si="6"/>
        <v>41.381229673754405</v>
      </c>
      <c r="AG19" s="13">
        <f t="shared" si="6"/>
        <v>19.556346726727032</v>
      </c>
      <c r="AI19" s="24">
        <f t="shared" si="7"/>
        <v>0</v>
      </c>
      <c r="AJ19" s="36">
        <f t="shared" si="7"/>
        <v>0.61324097015441748</v>
      </c>
      <c r="AK19" s="13">
        <f t="shared" si="7"/>
        <v>1.3049984589915189</v>
      </c>
      <c r="AL19" s="13">
        <f>+Y19*0.35</f>
        <v>0.61672895037406372</v>
      </c>
      <c r="AM19" s="7">
        <f>+SUM(AI19:AL19)</f>
        <v>2.53496837952</v>
      </c>
      <c r="AO19" s="7">
        <f>+Hoja1!G62</f>
        <v>2.4929417117336898</v>
      </c>
      <c r="AQ19">
        <f t="shared" ref="AQ19:AQ21" si="14">+(AO19-AM19)/0.0036</f>
        <v>-11.674074385086152</v>
      </c>
      <c r="AR19" t="s">
        <v>18</v>
      </c>
    </row>
    <row r="20" spans="1:44" x14ac:dyDescent="0.25">
      <c r="A20" s="3" t="s">
        <v>5</v>
      </c>
      <c r="B20" t="s">
        <v>85</v>
      </c>
      <c r="C20" s="2">
        <v>7.0000000000000007E-2</v>
      </c>
      <c r="D20" s="4">
        <f t="shared" si="13"/>
        <v>31.260180000000009</v>
      </c>
      <c r="E20" t="s">
        <v>12</v>
      </c>
      <c r="G20" t="s">
        <v>5</v>
      </c>
      <c r="H20" s="7">
        <f t="shared" si="8"/>
        <v>31.260180000000009</v>
      </c>
      <c r="I20" t="s">
        <v>12</v>
      </c>
      <c r="L20" t="s">
        <v>5</v>
      </c>
      <c r="M20" s="7">
        <f t="shared" ref="M20:M21" si="15">+H20*$D$4*24*365*0.0036/1000</f>
        <v>0.98582103648000019</v>
      </c>
      <c r="N20" t="s">
        <v>19</v>
      </c>
      <c r="O20" s="6">
        <f t="shared" si="9"/>
        <v>2.8166315328000007</v>
      </c>
      <c r="P20" t="s">
        <v>19</v>
      </c>
      <c r="R20">
        <f>+Hoja1!G77</f>
        <v>0.45154082596841399</v>
      </c>
      <c r="S20" s="7">
        <f>+R20-M20</f>
        <v>-0.53428021051158625</v>
      </c>
      <c r="V20" s="24">
        <v>0</v>
      </c>
      <c r="W20" s="28">
        <v>0.20575788232194489</v>
      </c>
      <c r="X20" s="28">
        <f t="shared" si="10"/>
        <v>1.7729809513515935</v>
      </c>
      <c r="Y20" s="28">
        <f t="shared" si="11"/>
        <v>0.83789269912646203</v>
      </c>
      <c r="Z20" s="41">
        <v>2.6108736504780556</v>
      </c>
      <c r="AA20">
        <f t="shared" si="12"/>
        <v>725.24268068834886</v>
      </c>
      <c r="AD20" s="24">
        <f>+(V20*0.35/0.0036)*1000/(24*365)</f>
        <v>0</v>
      </c>
      <c r="AE20" s="36">
        <f>+(W20*0.35/0.0036)*1000/(24*365)</f>
        <v>2.2835888766070749</v>
      </c>
      <c r="AF20" s="27">
        <f t="shared" si="6"/>
        <v>19.677300005487627</v>
      </c>
      <c r="AG20" s="13">
        <f t="shared" si="6"/>
        <v>9.2992911179053053</v>
      </c>
      <c r="AI20" s="24">
        <f t="shared" si="7"/>
        <v>0</v>
      </c>
      <c r="AJ20" s="36">
        <f t="shared" si="7"/>
        <v>7.2015258812680713E-2</v>
      </c>
      <c r="AK20" s="40">
        <f t="shared" si="7"/>
        <v>0.62054333297305764</v>
      </c>
      <c r="AL20" s="13">
        <f>+Y20*0.35</f>
        <v>0.29326244469426171</v>
      </c>
      <c r="AM20" s="7">
        <f>+SUM(AI20:AL20)</f>
        <v>0.98582103647999997</v>
      </c>
      <c r="AO20" s="7">
        <f>+Hoja1!G64</f>
        <v>0.45154082596841399</v>
      </c>
      <c r="AQ20">
        <f t="shared" si="14"/>
        <v>-148.41116958655167</v>
      </c>
      <c r="AR20" t="s">
        <v>18</v>
      </c>
    </row>
    <row r="21" spans="1:44" x14ac:dyDescent="0.25">
      <c r="A21" s="3" t="s">
        <v>6</v>
      </c>
      <c r="B21" t="s">
        <v>86</v>
      </c>
      <c r="C21" s="2">
        <v>7.0000000000000007E-2</v>
      </c>
      <c r="D21" s="4">
        <f t="shared" si="13"/>
        <v>31.260180000000009</v>
      </c>
      <c r="E21" t="s">
        <v>12</v>
      </c>
      <c r="G21" s="14" t="s">
        <v>4</v>
      </c>
      <c r="H21" s="15">
        <f t="shared" si="8"/>
        <v>8.9314800000000023</v>
      </c>
      <c r="I21" s="14" t="s">
        <v>12</v>
      </c>
      <c r="L21" s="14" t="s">
        <v>4</v>
      </c>
      <c r="M21" s="15">
        <f t="shared" si="15"/>
        <v>0.28166315328000008</v>
      </c>
      <c r="N21" s="14" t="s">
        <v>19</v>
      </c>
      <c r="O21" s="17">
        <f t="shared" si="9"/>
        <v>0.80475186651428599</v>
      </c>
      <c r="P21" s="14" t="s">
        <v>19</v>
      </c>
      <c r="R21">
        <f>+Hoja1!G78</f>
        <v>0.13373317447933</v>
      </c>
      <c r="S21" s="7">
        <f>+R21-M21</f>
        <v>-0.14792997880067008</v>
      </c>
      <c r="V21" s="25">
        <v>0</v>
      </c>
      <c r="W21" s="29">
        <v>2.2906856139958444E-2</v>
      </c>
      <c r="X21" s="29">
        <v>0</v>
      </c>
      <c r="Y21" s="29">
        <v>0.8</v>
      </c>
      <c r="Z21" s="42">
        <v>0.78184501037432752</v>
      </c>
      <c r="AA21">
        <f t="shared" si="12"/>
        <v>217.17916954842431</v>
      </c>
      <c r="AD21" s="25">
        <f>+(V21*0.35/0.0036)*1000/(24*365)</f>
        <v>0</v>
      </c>
      <c r="AE21" s="37">
        <f>+(W21*0.35/0.0036)*1000/(24*365)</f>
        <v>0.25423007512003598</v>
      </c>
      <c r="AF21" s="26">
        <f t="shared" si="6"/>
        <v>0</v>
      </c>
      <c r="AG21" s="26">
        <f t="shared" si="6"/>
        <v>8.8787417554540831</v>
      </c>
      <c r="AI21" s="25">
        <f t="shared" si="7"/>
        <v>0</v>
      </c>
      <c r="AJ21" s="37">
        <f t="shared" si="7"/>
        <v>8.0173996489854554E-3</v>
      </c>
      <c r="AK21" s="38">
        <f t="shared" si="7"/>
        <v>0</v>
      </c>
      <c r="AL21" s="26">
        <f>+Y21*0.35</f>
        <v>0.27999999999999997</v>
      </c>
      <c r="AM21" s="7">
        <f>+SUM(AI21:AL21)</f>
        <v>0.28801739964898543</v>
      </c>
      <c r="AO21" s="7">
        <f>+Hoja1!G66</f>
        <v>0.13373317447933</v>
      </c>
      <c r="AQ21">
        <f t="shared" si="14"/>
        <v>-42.856729213793173</v>
      </c>
      <c r="AR21" t="s">
        <v>18</v>
      </c>
    </row>
    <row r="22" spans="1:44" x14ac:dyDescent="0.25">
      <c r="A22" s="3" t="s">
        <v>3</v>
      </c>
      <c r="B22" t="s">
        <v>87</v>
      </c>
      <c r="C22" s="2">
        <v>0.05</v>
      </c>
      <c r="D22" s="4">
        <f t="shared" si="13"/>
        <v>22.328700000000005</v>
      </c>
      <c r="E22" t="s">
        <v>12</v>
      </c>
      <c r="G22" t="s">
        <v>131</v>
      </c>
      <c r="H22" s="7">
        <f>+SUM(H17:H21)</f>
        <v>392.98512000000005</v>
      </c>
      <c r="I22" t="s">
        <v>12</v>
      </c>
      <c r="M22" s="7">
        <f>+SUM(M17:M21)</f>
        <v>12.393178744320002</v>
      </c>
      <c r="N22" t="s">
        <v>19</v>
      </c>
      <c r="O22" s="6">
        <f t="shared" si="9"/>
        <v>35.409082126628576</v>
      </c>
      <c r="P22" t="s">
        <v>19</v>
      </c>
    </row>
    <row r="23" spans="1:44" x14ac:dyDescent="0.25">
      <c r="A23" s="3" t="s">
        <v>96</v>
      </c>
      <c r="B23" t="s">
        <v>88</v>
      </c>
      <c r="C23" s="2">
        <v>0.03</v>
      </c>
      <c r="D23" s="4">
        <f t="shared" si="13"/>
        <v>13.397220000000001</v>
      </c>
      <c r="E23" t="s">
        <v>12</v>
      </c>
      <c r="AD23" s="4">
        <f>+SUM(AD17:AD21)</f>
        <v>20</v>
      </c>
      <c r="AE23" s="7">
        <f>+SUM(AE18:AE21)</f>
        <v>21.983562551245676</v>
      </c>
      <c r="AQ23">
        <f>+SUM(AQ17:AQ21)</f>
        <v>2512.6590582895938</v>
      </c>
      <c r="AR23" t="s">
        <v>18</v>
      </c>
    </row>
    <row r="24" spans="1:44" x14ac:dyDescent="0.25">
      <c r="A24" s="3" t="s">
        <v>3</v>
      </c>
      <c r="B24" t="s">
        <v>89</v>
      </c>
      <c r="C24" s="2">
        <v>0.03</v>
      </c>
      <c r="D24" s="4">
        <f t="shared" si="13"/>
        <v>13.397220000000001</v>
      </c>
      <c r="E24" t="s">
        <v>12</v>
      </c>
    </row>
    <row r="25" spans="1:44" x14ac:dyDescent="0.25">
      <c r="A25" s="3" t="s">
        <v>2</v>
      </c>
      <c r="B25" t="s">
        <v>90</v>
      </c>
      <c r="C25" s="2">
        <v>0.03</v>
      </c>
      <c r="D25" s="4">
        <f t="shared" si="13"/>
        <v>13.397220000000001</v>
      </c>
      <c r="E25" t="s">
        <v>12</v>
      </c>
      <c r="V25" s="23" t="s">
        <v>114</v>
      </c>
      <c r="W25" s="20" t="s">
        <v>144</v>
      </c>
      <c r="X25" s="20" t="s">
        <v>112</v>
      </c>
      <c r="Y25" s="20" t="s">
        <v>113</v>
      </c>
    </row>
    <row r="26" spans="1:44" x14ac:dyDescent="0.25">
      <c r="A26" s="3" t="s">
        <v>96</v>
      </c>
      <c r="B26" t="s">
        <v>91</v>
      </c>
      <c r="C26" s="2">
        <v>0.03</v>
      </c>
      <c r="D26" s="4">
        <f t="shared" si="13"/>
        <v>13.397220000000001</v>
      </c>
      <c r="E26" t="s">
        <v>12</v>
      </c>
      <c r="G26" t="s">
        <v>149</v>
      </c>
      <c r="V26" s="31">
        <f>+V17/$O17</f>
        <v>8.2935945749275666E-2</v>
      </c>
      <c r="W26" s="31">
        <f t="shared" ref="W26:Y26" si="16">+W17/$O17</f>
        <v>0.6223367089715629</v>
      </c>
      <c r="X26" s="31">
        <f t="shared" si="16"/>
        <v>0.20014218954130478</v>
      </c>
      <c r="Y26" s="31">
        <f t="shared" si="16"/>
        <v>9.4585155737856683E-2</v>
      </c>
      <c r="Z26" s="4"/>
    </row>
    <row r="27" spans="1:44" x14ac:dyDescent="0.25">
      <c r="A27" s="3" t="s">
        <v>96</v>
      </c>
      <c r="B27" t="s">
        <v>92</v>
      </c>
      <c r="C27" s="2">
        <v>0.04</v>
      </c>
      <c r="D27" s="4">
        <f t="shared" si="13"/>
        <v>17.862960000000005</v>
      </c>
      <c r="E27" t="s">
        <v>12</v>
      </c>
      <c r="G27" t="s">
        <v>144</v>
      </c>
      <c r="H27">
        <v>375</v>
      </c>
      <c r="I27" t="s">
        <v>12</v>
      </c>
      <c r="J27" s="5">
        <f>+H27/SUM($H$27:$H$31)</f>
        <v>0.43782837127845886</v>
      </c>
      <c r="V27" s="30">
        <f t="shared" ref="V27:Y27" si="17">+V18/$O18</f>
        <v>0</v>
      </c>
      <c r="W27" s="30">
        <f t="shared" si="17"/>
        <v>0</v>
      </c>
      <c r="X27" s="30">
        <f t="shared" si="17"/>
        <v>0.67907573812580235</v>
      </c>
      <c r="Y27" s="30">
        <f t="shared" si="17"/>
        <v>0.32092426187419765</v>
      </c>
      <c r="Z27" s="4"/>
    </row>
    <row r="28" spans="1:44" x14ac:dyDescent="0.25">
      <c r="A28" s="3" t="s">
        <v>2</v>
      </c>
      <c r="B28" t="s">
        <v>93</v>
      </c>
      <c r="C28" s="2">
        <v>0.04</v>
      </c>
      <c r="D28" s="4">
        <f t="shared" si="13"/>
        <v>17.862960000000005</v>
      </c>
      <c r="E28" t="s">
        <v>12</v>
      </c>
      <c r="G28" t="s">
        <v>112</v>
      </c>
      <c r="H28">
        <v>311</v>
      </c>
      <c r="I28" t="s">
        <v>12</v>
      </c>
      <c r="J28" s="5">
        <f t="shared" ref="J28:J31" si="18">+H28/SUM($H$27:$H$31)</f>
        <v>0.36310566258026855</v>
      </c>
      <c r="V28" s="30">
        <f t="shared" ref="V28:Y28" si="19">+V19/$O19</f>
        <v>0</v>
      </c>
      <c r="W28" s="30">
        <f t="shared" si="19"/>
        <v>0.24191267043359946</v>
      </c>
      <c r="X28" s="30">
        <f t="shared" si="19"/>
        <v>0.51479871288912182</v>
      </c>
      <c r="Y28" s="30">
        <f t="shared" si="19"/>
        <v>0.24328861667727872</v>
      </c>
      <c r="Z28" s="4"/>
    </row>
    <row r="29" spans="1:44" x14ac:dyDescent="0.25">
      <c r="A29" s="3" t="s">
        <v>96</v>
      </c>
      <c r="B29" t="s">
        <v>94</v>
      </c>
      <c r="C29" s="2">
        <v>0.02</v>
      </c>
      <c r="D29" s="4">
        <f t="shared" si="13"/>
        <v>8.9314800000000023</v>
      </c>
      <c r="E29" t="s">
        <v>12</v>
      </c>
      <c r="G29" t="s">
        <v>113</v>
      </c>
      <c r="H29">
        <v>147</v>
      </c>
      <c r="I29" t="s">
        <v>12</v>
      </c>
      <c r="J29" s="5">
        <f t="shared" si="18"/>
        <v>0.17162872154115585</v>
      </c>
      <c r="V29" s="30">
        <f t="shared" ref="V29:W29" si="20">+V20/$O20</f>
        <v>0</v>
      </c>
      <c r="W29" s="30">
        <f t="shared" si="20"/>
        <v>7.3051046942374423E-2</v>
      </c>
      <c r="X29" s="30">
        <f>+X20/$O20</f>
        <v>0.62946854450254663</v>
      </c>
      <c r="Y29" s="30">
        <f>+Y20/$O20</f>
        <v>0.29748040855507879</v>
      </c>
      <c r="Z29" s="4"/>
    </row>
    <row r="30" spans="1:44" x14ac:dyDescent="0.25">
      <c r="A30" s="3" t="s">
        <v>4</v>
      </c>
      <c r="B30" t="s">
        <v>95</v>
      </c>
      <c r="C30" s="2">
        <v>0.02</v>
      </c>
      <c r="D30" s="4">
        <f t="shared" si="13"/>
        <v>8.9314800000000023</v>
      </c>
      <c r="E30" t="s">
        <v>12</v>
      </c>
      <c r="G30" t="s">
        <v>114</v>
      </c>
      <c r="H30">
        <v>16</v>
      </c>
      <c r="I30" t="s">
        <v>12</v>
      </c>
      <c r="J30" s="5">
        <f>+H30/SUM($H$27:$H$31)</f>
        <v>1.8680677174547577E-2</v>
      </c>
      <c r="V30" s="32">
        <f t="shared" ref="V30:Y30" si="21">+V21/$O21</f>
        <v>0</v>
      </c>
      <c r="W30" s="32">
        <f t="shared" si="21"/>
        <v>2.8464495819285934E-2</v>
      </c>
      <c r="X30" s="32">
        <f t="shared" si="21"/>
        <v>0</v>
      </c>
      <c r="Y30" s="32">
        <f t="shared" si="21"/>
        <v>0.99409524014542738</v>
      </c>
      <c r="Z30" s="4"/>
    </row>
    <row r="31" spans="1:44" x14ac:dyDescent="0.25">
      <c r="C31" s="2">
        <f>+SUM(C17:C30)</f>
        <v>1.0000000000000002</v>
      </c>
      <c r="G31" t="s">
        <v>115</v>
      </c>
      <c r="H31">
        <v>7.5</v>
      </c>
      <c r="I31" t="s">
        <v>12</v>
      </c>
      <c r="J31" s="5">
        <f t="shared" si="18"/>
        <v>8.7565674255691769E-3</v>
      </c>
    </row>
    <row r="33" spans="7:11" x14ac:dyDescent="0.25">
      <c r="G33" t="s">
        <v>150</v>
      </c>
    </row>
    <row r="34" spans="7:11" x14ac:dyDescent="0.25">
      <c r="G34" t="s">
        <v>144</v>
      </c>
      <c r="H34" s="4">
        <f>+$H$22*J27</f>
        <v>172.06003502626973</v>
      </c>
      <c r="I34" t="s">
        <v>12</v>
      </c>
      <c r="K34" s="7">
        <f>+(H34*365*24*0.0036/1000)/$D$3</f>
        <v>15.503100755966976</v>
      </c>
    </row>
    <row r="35" spans="7:11" x14ac:dyDescent="0.25">
      <c r="G35" t="s">
        <v>112</v>
      </c>
      <c r="H35" s="4">
        <f t="shared" ref="H35:H38" si="22">+$H$22*J28</f>
        <v>142.69512238178638</v>
      </c>
      <c r="I35" t="s">
        <v>12</v>
      </c>
      <c r="K35" s="7">
        <f t="shared" ref="K35:K38" si="23">+(H35*365*24*0.0036/1000)/$D$3</f>
        <v>12.857238226948617</v>
      </c>
    </row>
    <row r="36" spans="7:11" x14ac:dyDescent="0.25">
      <c r="G36" t="s">
        <v>113</v>
      </c>
      <c r="H36" s="4">
        <f t="shared" si="22"/>
        <v>67.447533730297721</v>
      </c>
      <c r="I36" t="s">
        <v>12</v>
      </c>
      <c r="K36" s="7">
        <f t="shared" si="23"/>
        <v>6.077215496339055</v>
      </c>
    </row>
    <row r="37" spans="7:11" x14ac:dyDescent="0.25">
      <c r="G37" t="s">
        <v>114</v>
      </c>
      <c r="H37" s="4">
        <f>+$H$22*J30</f>
        <v>7.3412281611208421</v>
      </c>
      <c r="I37" t="s">
        <v>12</v>
      </c>
      <c r="K37" s="7">
        <f t="shared" si="23"/>
        <v>0.6614656322545911</v>
      </c>
    </row>
    <row r="38" spans="7:11" x14ac:dyDescent="0.25">
      <c r="G38" t="s">
        <v>115</v>
      </c>
      <c r="H38" s="4">
        <f t="shared" si="22"/>
        <v>3.4412007005253944</v>
      </c>
      <c r="I38" t="s">
        <v>12</v>
      </c>
      <c r="K38" s="7">
        <f t="shared" si="23"/>
        <v>0.31006201511933951</v>
      </c>
    </row>
    <row r="41" spans="7:11" x14ac:dyDescent="0.25">
      <c r="G41" t="s">
        <v>159</v>
      </c>
      <c r="H41" s="6">
        <f>+H35/H36</f>
        <v>2.1156462585034022</v>
      </c>
      <c r="I41" t="s">
        <v>160</v>
      </c>
    </row>
  </sheetData>
  <mergeCells count="8">
    <mergeCell ref="V14:Z14"/>
    <mergeCell ref="V1:Y1"/>
    <mergeCell ref="C9:D9"/>
    <mergeCell ref="C12:D12"/>
    <mergeCell ref="D16:E16"/>
    <mergeCell ref="M16:N16"/>
    <mergeCell ref="O16:P16"/>
    <mergeCell ref="H16:I16"/>
  </mergeCells>
  <conditionalFormatting sqref="V17:Y21">
    <cfRule type="cellIs" dxfId="2" priority="3" operator="equal">
      <formula>0</formula>
    </cfRule>
  </conditionalFormatting>
  <conditionalFormatting sqref="AD17:AG21">
    <cfRule type="cellIs" dxfId="1" priority="2" operator="equal">
      <formula>0</formula>
    </cfRule>
  </conditionalFormatting>
  <conditionalFormatting sqref="AI17:AL2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4E41C-0098-40C4-BCCB-5D8A433750E6}">
  <sheetPr>
    <tabColor rgb="FF00B050"/>
  </sheetPr>
  <dimension ref="A3:AL36"/>
  <sheetViews>
    <sheetView showGridLines="0" tabSelected="1" zoomScaleNormal="100" workbookViewId="0">
      <selection activeCell="O17" sqref="O17"/>
    </sheetView>
  </sheetViews>
  <sheetFormatPr baseColWidth="10" defaultRowHeight="15" x14ac:dyDescent="0.25"/>
  <cols>
    <col min="2" max="2" width="30.85546875" customWidth="1"/>
    <col min="3" max="3" width="13.42578125" customWidth="1"/>
    <col min="6" max="6" width="16.7109375" customWidth="1"/>
    <col min="19" max="19" width="4.85546875" customWidth="1"/>
    <col min="21" max="21" width="4.7109375" customWidth="1"/>
    <col min="22" max="22" width="11.140625" customWidth="1"/>
  </cols>
  <sheetData>
    <row r="3" spans="1:38" x14ac:dyDescent="0.25">
      <c r="C3" s="9" t="s">
        <v>118</v>
      </c>
      <c r="D3" s="2">
        <v>0.35</v>
      </c>
    </row>
    <row r="4" spans="1:38" x14ac:dyDescent="0.25">
      <c r="C4" s="9" t="s">
        <v>119</v>
      </c>
      <c r="D4" s="2">
        <v>1</v>
      </c>
    </row>
    <row r="5" spans="1:38" x14ac:dyDescent="0.25">
      <c r="C5" s="9"/>
    </row>
    <row r="6" spans="1:38" x14ac:dyDescent="0.25">
      <c r="C6" s="9" t="s">
        <v>133</v>
      </c>
      <c r="D6" s="2">
        <f>30.9%+22.8%+2.9%</f>
        <v>0.56600000000000006</v>
      </c>
    </row>
    <row r="9" spans="1:38" x14ac:dyDescent="0.25">
      <c r="B9" s="10"/>
      <c r="C9" s="85" t="s">
        <v>120</v>
      </c>
      <c r="D9" s="85"/>
      <c r="E9" s="10" t="s">
        <v>121</v>
      </c>
      <c r="F9" s="10"/>
      <c r="G9" s="10" t="s">
        <v>122</v>
      </c>
      <c r="H9" s="10"/>
    </row>
    <row r="10" spans="1:38" x14ac:dyDescent="0.25">
      <c r="B10" s="10" t="s">
        <v>134</v>
      </c>
      <c r="C10" s="10">
        <f>+'Autogeneracion Fuels'!C23</f>
        <v>111</v>
      </c>
      <c r="D10" s="10" t="s">
        <v>12</v>
      </c>
      <c r="E10" s="10">
        <f>+C10*D4</f>
        <v>111</v>
      </c>
      <c r="F10" s="10" t="s">
        <v>12</v>
      </c>
      <c r="G10" s="10">
        <f>+E10*24*365/1000</f>
        <v>972.36</v>
      </c>
      <c r="H10" s="10" t="s">
        <v>18</v>
      </c>
      <c r="I10" s="4">
        <f>+G10*0.0036</f>
        <v>3.5004960000000001</v>
      </c>
      <c r="J10" t="s">
        <v>19</v>
      </c>
    </row>
    <row r="12" spans="1:38" x14ac:dyDescent="0.25">
      <c r="C12" s="79" t="s">
        <v>120</v>
      </c>
      <c r="D12" s="79"/>
      <c r="E12" t="s">
        <v>121</v>
      </c>
      <c r="G12" t="s">
        <v>122</v>
      </c>
    </row>
    <row r="13" spans="1:38" x14ac:dyDescent="0.25">
      <c r="B13" t="s">
        <v>139</v>
      </c>
      <c r="C13">
        <f>+C10*$D$6</f>
        <v>62.826000000000008</v>
      </c>
      <c r="D13" t="s">
        <v>12</v>
      </c>
      <c r="E13">
        <f t="shared" ref="E13:G13" si="0">+E10*$D$6</f>
        <v>62.826000000000008</v>
      </c>
      <c r="F13" t="s">
        <v>12</v>
      </c>
      <c r="G13" s="4">
        <f t="shared" si="0"/>
        <v>550.35576000000003</v>
      </c>
      <c r="H13" t="s">
        <v>18</v>
      </c>
      <c r="I13" s="6">
        <f>+G13*0.0036</f>
        <v>1.981280736</v>
      </c>
      <c r="J13" t="s">
        <v>19</v>
      </c>
      <c r="Y13" s="81" t="s">
        <v>165</v>
      </c>
      <c r="Z13" s="81"/>
      <c r="AA13" s="81"/>
    </row>
    <row r="14" spans="1:38" x14ac:dyDescent="0.25">
      <c r="Y14" s="79" t="s">
        <v>19</v>
      </c>
      <c r="Z14" s="79"/>
      <c r="AA14" s="79"/>
    </row>
    <row r="15" spans="1:38" x14ac:dyDescent="0.25">
      <c r="Y15" s="44">
        <v>0.6</v>
      </c>
      <c r="Z15" s="45">
        <f>100%-Y15-AA15</f>
        <v>0.32</v>
      </c>
      <c r="AA15" s="44">
        <v>0.08</v>
      </c>
      <c r="AE15" s="79" t="s">
        <v>166</v>
      </c>
      <c r="AF15" s="79"/>
      <c r="AG15" s="79"/>
      <c r="AI15" s="87" t="s">
        <v>167</v>
      </c>
      <c r="AJ15" s="88"/>
      <c r="AK15" s="89"/>
      <c r="AL15" s="46"/>
    </row>
    <row r="16" spans="1:38" s="11" customFormat="1" ht="45" x14ac:dyDescent="0.25">
      <c r="A16" s="12" t="s">
        <v>137</v>
      </c>
      <c r="B16" s="12" t="s">
        <v>135</v>
      </c>
      <c r="C16" s="12" t="s">
        <v>138</v>
      </c>
      <c r="D16" s="86" t="s">
        <v>140</v>
      </c>
      <c r="E16" s="86"/>
      <c r="G16" s="13"/>
      <c r="H16" s="13" t="s">
        <v>120</v>
      </c>
      <c r="I16" s="13"/>
      <c r="L16" s="12" t="s">
        <v>141</v>
      </c>
      <c r="M16" s="86" t="s">
        <v>142</v>
      </c>
      <c r="N16" s="86"/>
      <c r="O16" s="86" t="s">
        <v>143</v>
      </c>
      <c r="P16" s="86"/>
      <c r="R16" s="11" t="s">
        <v>155</v>
      </c>
      <c r="T16" s="11" t="s">
        <v>162</v>
      </c>
      <c r="Y16" s="11" t="s">
        <v>161</v>
      </c>
      <c r="Z16" s="11" t="s">
        <v>112</v>
      </c>
      <c r="AA16" s="11" t="s">
        <v>144</v>
      </c>
      <c r="AE16" s="18" t="s">
        <v>161</v>
      </c>
      <c r="AF16" s="18" t="s">
        <v>112</v>
      </c>
      <c r="AG16" s="18" t="s">
        <v>144</v>
      </c>
      <c r="AI16" s="71" t="s">
        <v>161</v>
      </c>
      <c r="AJ16" s="72" t="s">
        <v>112</v>
      </c>
      <c r="AK16" s="73" t="s">
        <v>144</v>
      </c>
    </row>
    <row r="17" spans="1:37" x14ac:dyDescent="0.25">
      <c r="A17" s="3" t="s">
        <v>3</v>
      </c>
      <c r="B17" t="s">
        <v>82</v>
      </c>
      <c r="C17" s="2">
        <v>0.35</v>
      </c>
      <c r="D17">
        <f>+$C$13*C17</f>
        <v>21.989100000000001</v>
      </c>
      <c r="E17" t="s">
        <v>12</v>
      </c>
      <c r="G17" t="s">
        <v>3</v>
      </c>
      <c r="H17" s="7">
        <f>+SUMIF($A$17:$A$30,G17,$D$17:$D$30)</f>
        <v>33.92604</v>
      </c>
      <c r="I17" t="s">
        <v>12</v>
      </c>
      <c r="L17" t="s">
        <v>3</v>
      </c>
      <c r="M17" s="7">
        <f>+H17*$D$4*24*365*0.0036/1000</f>
        <v>1.0698915974399998</v>
      </c>
      <c r="N17" t="s">
        <v>19</v>
      </c>
      <c r="O17" s="6">
        <f t="shared" ref="O17:O22" si="1">+M17/$D$3</f>
        <v>3.0568331355428571</v>
      </c>
      <c r="P17" t="s">
        <v>19</v>
      </c>
      <c r="R17">
        <f>+Hoja2!F25</f>
        <v>0.24952380952381001</v>
      </c>
      <c r="S17" t="s">
        <v>19</v>
      </c>
      <c r="T17" s="33">
        <f>+R17-M17</f>
        <v>-0.82036778791618981</v>
      </c>
      <c r="U17" s="33" t="s">
        <v>163</v>
      </c>
      <c r="V17" s="33"/>
      <c r="X17" t="s">
        <v>3</v>
      </c>
      <c r="Y17">
        <f>+$O17*Y$15</f>
        <v>1.8340998813257141</v>
      </c>
      <c r="Z17">
        <f t="shared" ref="Z17:AA21" si="2">+$O17*Z$15</f>
        <v>0.97818660337371433</v>
      </c>
      <c r="AA17">
        <f>+$O17*AA$15</f>
        <v>0.24454665084342858</v>
      </c>
      <c r="AC17">
        <f>+SUM(Y17:AA17)</f>
        <v>3.0568331355428571</v>
      </c>
      <c r="AE17">
        <f>+Y17*0.35</f>
        <v>0.64193495846399995</v>
      </c>
      <c r="AF17">
        <f t="shared" ref="AF17:AG17" si="3">+Z17*0.35</f>
        <v>0.34236531118079999</v>
      </c>
      <c r="AG17">
        <f t="shared" si="3"/>
        <v>8.5591327795199998E-2</v>
      </c>
      <c r="AI17" s="74">
        <f>+(AE17*1000/0.0036)/(365*24)</f>
        <v>20.355623999999995</v>
      </c>
      <c r="AJ17" s="69">
        <f t="shared" ref="AJ17:AK17" si="4">+(AF17*1000/0.0036)/(365*24)</f>
        <v>10.856332800000001</v>
      </c>
      <c r="AK17" s="75">
        <f t="shared" si="4"/>
        <v>2.7140832000000001</v>
      </c>
    </row>
    <row r="18" spans="1:37" x14ac:dyDescent="0.25">
      <c r="A18" s="3" t="s">
        <v>2</v>
      </c>
      <c r="B18" t="s">
        <v>83</v>
      </c>
      <c r="C18" s="2">
        <v>0.11</v>
      </c>
      <c r="D18">
        <f t="shared" ref="D18:D30" si="5">+$C$13*C18</f>
        <v>6.9108600000000004</v>
      </c>
      <c r="E18" t="s">
        <v>12</v>
      </c>
      <c r="G18" t="s">
        <v>6</v>
      </c>
      <c r="H18" s="7">
        <f>+SUMIF($A$17:$A$30,G18,$D$17:$D$30)</f>
        <v>4.3978200000000012</v>
      </c>
      <c r="I18" t="s">
        <v>12</v>
      </c>
      <c r="L18" t="s">
        <v>6</v>
      </c>
      <c r="M18" s="7">
        <f>+H18*$D$3*24*365*0.0036/1000</f>
        <v>4.8541378032000017E-2</v>
      </c>
      <c r="N18" t="s">
        <v>19</v>
      </c>
      <c r="O18" s="6">
        <f t="shared" si="1"/>
        <v>0.13868965152000007</v>
      </c>
      <c r="P18" t="s">
        <v>19</v>
      </c>
      <c r="R18">
        <f>+Hoja2!F23</f>
        <v>0.374285714285715</v>
      </c>
      <c r="S18" t="s">
        <v>19</v>
      </c>
      <c r="T18" s="33">
        <f>+R18-M18</f>
        <v>0.32574433625371496</v>
      </c>
      <c r="U18" s="33" t="s">
        <v>163</v>
      </c>
      <c r="V18" s="33"/>
      <c r="X18" t="s">
        <v>6</v>
      </c>
      <c r="Y18">
        <f>+$O18*Y$15</f>
        <v>8.3213790912000041E-2</v>
      </c>
      <c r="Z18">
        <f t="shared" si="2"/>
        <v>4.4380688486400026E-2</v>
      </c>
      <c r="AA18">
        <v>0</v>
      </c>
      <c r="AC18">
        <f t="shared" ref="AC18:AC21" si="6">+SUM(Y18:AA18)</f>
        <v>0.12759447939840007</v>
      </c>
      <c r="AE18">
        <f>+Y18*0.35</f>
        <v>2.9124826819200013E-2</v>
      </c>
      <c r="AF18">
        <f t="shared" ref="AF18:AF21" si="7">+Z18*0.35</f>
        <v>1.5533240970240008E-2</v>
      </c>
      <c r="AG18">
        <f t="shared" ref="AG18:AG21" si="8">+AA18*0.35</f>
        <v>0</v>
      </c>
      <c r="AI18" s="74">
        <f t="shared" ref="AI18:AI21" si="9">+(AE18*1000/0.0036)/(365*24)</f>
        <v>0.92354220000000042</v>
      </c>
      <c r="AJ18" s="69">
        <f t="shared" ref="AJ18:AJ21" si="10">+(AF18*1000/0.0036)/(365*24)</f>
        <v>0.4925558400000003</v>
      </c>
      <c r="AK18" s="75">
        <f t="shared" ref="AK18:AK21" si="11">+(AG18*1000/0.0036)/(365*24)</f>
        <v>0</v>
      </c>
    </row>
    <row r="19" spans="1:37" x14ac:dyDescent="0.25">
      <c r="A19" s="3" t="s">
        <v>3</v>
      </c>
      <c r="B19" t="s">
        <v>84</v>
      </c>
      <c r="C19" s="2">
        <v>0.11</v>
      </c>
      <c r="D19">
        <f t="shared" si="5"/>
        <v>6.9108600000000004</v>
      </c>
      <c r="E19" t="s">
        <v>12</v>
      </c>
      <c r="G19" t="s">
        <v>2</v>
      </c>
      <c r="H19" s="7">
        <f>+SUMIF($A$17:$A$30,G19,$D$17:$D$30)</f>
        <v>11.308680000000001</v>
      </c>
      <c r="I19" t="s">
        <v>12</v>
      </c>
      <c r="L19" t="s">
        <v>2</v>
      </c>
      <c r="M19" s="7">
        <f>+H19*$D$3*24*365*0.0036/1000</f>
        <v>0.12482068636800001</v>
      </c>
      <c r="N19" t="s">
        <v>19</v>
      </c>
      <c r="O19" s="6">
        <f t="shared" si="1"/>
        <v>0.35663053248000004</v>
      </c>
      <c r="P19" t="s">
        <v>19</v>
      </c>
      <c r="R19">
        <f>+Hoja2!F27</f>
        <v>1.4857556001750901E-2</v>
      </c>
      <c r="S19" t="s">
        <v>19</v>
      </c>
      <c r="T19" s="33">
        <f>+R19-M19</f>
        <v>-0.10996313036624911</v>
      </c>
      <c r="U19" s="33" t="s">
        <v>163</v>
      </c>
      <c r="V19" s="33"/>
      <c r="X19" t="s">
        <v>2</v>
      </c>
      <c r="Y19">
        <f>+$O19*Y$15</f>
        <v>0.21397831948800003</v>
      </c>
      <c r="Z19">
        <f t="shared" si="2"/>
        <v>0.11412177039360001</v>
      </c>
      <c r="AA19">
        <f>+$O19*AA$15</f>
        <v>2.8530442598400003E-2</v>
      </c>
      <c r="AC19">
        <f t="shared" si="6"/>
        <v>0.35663053248000004</v>
      </c>
      <c r="AE19">
        <f>+Y19*0.35</f>
        <v>7.4892411820800003E-2</v>
      </c>
      <c r="AF19">
        <f t="shared" si="7"/>
        <v>3.9942619637760003E-2</v>
      </c>
      <c r="AG19">
        <f t="shared" si="8"/>
        <v>9.9856549094400008E-3</v>
      </c>
      <c r="AI19" s="74">
        <f t="shared" si="9"/>
        <v>2.3748228000000005</v>
      </c>
      <c r="AJ19" s="69">
        <f t="shared" si="10"/>
        <v>1.2665721600000002</v>
      </c>
      <c r="AK19" s="75">
        <f t="shared" si="11"/>
        <v>0.31664304000000004</v>
      </c>
    </row>
    <row r="20" spans="1:37" x14ac:dyDescent="0.25">
      <c r="A20" s="3" t="s">
        <v>5</v>
      </c>
      <c r="B20" t="s">
        <v>85</v>
      </c>
      <c r="C20" s="2">
        <v>7.0000000000000007E-2</v>
      </c>
      <c r="D20">
        <f t="shared" si="5"/>
        <v>4.3978200000000012</v>
      </c>
      <c r="E20" t="s">
        <v>12</v>
      </c>
      <c r="G20" t="s">
        <v>5</v>
      </c>
      <c r="H20" s="7">
        <f>+SUMIF($A$17:$A$30,G20,$D$17:$D$30)</f>
        <v>4.3978200000000012</v>
      </c>
      <c r="I20" t="s">
        <v>12</v>
      </c>
      <c r="L20" t="s">
        <v>5</v>
      </c>
      <c r="M20" s="7">
        <f>+H20*$D$3*24*365*0.0036/1000</f>
        <v>4.8541378032000017E-2</v>
      </c>
      <c r="N20" t="s">
        <v>19</v>
      </c>
      <c r="O20" s="6">
        <f t="shared" si="1"/>
        <v>0.13868965152000007</v>
      </c>
      <c r="P20" t="s">
        <v>19</v>
      </c>
      <c r="R20">
        <f>+Hoja2!F29</f>
        <v>0.32957550972273802</v>
      </c>
      <c r="S20" t="s">
        <v>19</v>
      </c>
      <c r="T20" s="33">
        <f t="shared" ref="T18:T21" si="12">+R20-M20</f>
        <v>0.28103413169073799</v>
      </c>
      <c r="U20" s="33" t="s">
        <v>163</v>
      </c>
      <c r="V20" s="33"/>
      <c r="X20" t="s">
        <v>5</v>
      </c>
      <c r="Y20">
        <f>+$O20*Y$15</f>
        <v>8.3213790912000041E-2</v>
      </c>
      <c r="Z20">
        <f t="shared" si="2"/>
        <v>4.4380688486400026E-2</v>
      </c>
      <c r="AA20">
        <f>+$O20*AA$15</f>
        <v>1.1095172121600006E-2</v>
      </c>
      <c r="AC20">
        <f t="shared" si="6"/>
        <v>0.13868965152000007</v>
      </c>
      <c r="AE20">
        <f>+Y20*0.35</f>
        <v>2.9124826819200013E-2</v>
      </c>
      <c r="AF20">
        <f t="shared" si="7"/>
        <v>1.5533240970240008E-2</v>
      </c>
      <c r="AG20">
        <f t="shared" si="8"/>
        <v>3.8833102425600021E-3</v>
      </c>
      <c r="AI20" s="74">
        <f t="shared" si="9"/>
        <v>0.92354220000000042</v>
      </c>
      <c r="AJ20" s="69">
        <f t="shared" si="10"/>
        <v>0.4925558400000003</v>
      </c>
      <c r="AK20" s="75">
        <f t="shared" si="11"/>
        <v>0.12313896000000008</v>
      </c>
    </row>
    <row r="21" spans="1:37" x14ac:dyDescent="0.25">
      <c r="A21" s="3" t="s">
        <v>6</v>
      </c>
      <c r="B21" t="s">
        <v>86</v>
      </c>
      <c r="C21" s="2">
        <v>7.0000000000000007E-2</v>
      </c>
      <c r="D21">
        <f t="shared" si="5"/>
        <v>4.3978200000000012</v>
      </c>
      <c r="E21" t="s">
        <v>12</v>
      </c>
      <c r="G21" s="14" t="s">
        <v>4</v>
      </c>
      <c r="H21" s="15">
        <f>+SUMIF($A$17:$A$30,G21,$D$17:$D$30)</f>
        <v>1.2565200000000001</v>
      </c>
      <c r="I21" s="14" t="s">
        <v>12</v>
      </c>
      <c r="L21" s="14" t="s">
        <v>4</v>
      </c>
      <c r="M21" s="15">
        <f>+H21*$D$3*24*365*0.0036/1000</f>
        <v>1.3868965152E-2</v>
      </c>
      <c r="N21" s="14" t="s">
        <v>19</v>
      </c>
      <c r="O21" s="17">
        <f t="shared" si="1"/>
        <v>3.9625614720000001E-2</v>
      </c>
      <c r="P21" s="14" t="s">
        <v>19</v>
      </c>
      <c r="R21">
        <f>+Hoja2!F31</f>
        <v>7.5473720237368397E-2</v>
      </c>
      <c r="S21" t="s">
        <v>19</v>
      </c>
      <c r="T21" s="33">
        <f t="shared" si="12"/>
        <v>6.1604755085368397E-2</v>
      </c>
      <c r="U21" s="33" t="s">
        <v>163</v>
      </c>
      <c r="V21" s="33"/>
      <c r="X21" s="14" t="s">
        <v>4</v>
      </c>
      <c r="Y21">
        <f>+$O21*Y$15</f>
        <v>2.3775368831999998E-2</v>
      </c>
      <c r="Z21">
        <f t="shared" si="2"/>
        <v>1.26801967104E-2</v>
      </c>
      <c r="AA21">
        <f>+$O21*AA$15</f>
        <v>3.1700491776000001E-3</v>
      </c>
      <c r="AC21">
        <f t="shared" si="6"/>
        <v>3.9625614719999994E-2</v>
      </c>
      <c r="AE21">
        <f>+Y21*0.35</f>
        <v>8.3213790911999992E-3</v>
      </c>
      <c r="AF21">
        <f t="shared" si="7"/>
        <v>4.4380688486400002E-3</v>
      </c>
      <c r="AG21">
        <f t="shared" si="8"/>
        <v>1.10951721216E-3</v>
      </c>
      <c r="AI21" s="76">
        <f t="shared" si="9"/>
        <v>0.26386919999999997</v>
      </c>
      <c r="AJ21" s="77">
        <f t="shared" si="10"/>
        <v>0.14073024000000001</v>
      </c>
      <c r="AK21" s="78">
        <f t="shared" si="11"/>
        <v>3.5182560000000002E-2</v>
      </c>
    </row>
    <row r="22" spans="1:37" x14ac:dyDescent="0.25">
      <c r="A22" s="3" t="s">
        <v>3</v>
      </c>
      <c r="B22" t="s">
        <v>87</v>
      </c>
      <c r="C22" s="2">
        <v>0.05</v>
      </c>
      <c r="D22">
        <f t="shared" si="5"/>
        <v>3.1413000000000006</v>
      </c>
      <c r="E22" t="s">
        <v>12</v>
      </c>
      <c r="G22" t="s">
        <v>131</v>
      </c>
      <c r="H22" s="7">
        <f>+SUM(H17:H21)</f>
        <v>55.286880000000011</v>
      </c>
      <c r="I22" t="s">
        <v>12</v>
      </c>
      <c r="M22" s="7">
        <f>+SUM(M17:M21)</f>
        <v>1.305664005024</v>
      </c>
      <c r="N22" t="s">
        <v>19</v>
      </c>
      <c r="O22" s="6">
        <f t="shared" si="1"/>
        <v>3.7304685857828574</v>
      </c>
      <c r="P22" t="s">
        <v>19</v>
      </c>
    </row>
    <row r="23" spans="1:37" x14ac:dyDescent="0.25">
      <c r="A23" s="3" t="s">
        <v>96</v>
      </c>
      <c r="B23" t="s">
        <v>88</v>
      </c>
      <c r="C23" s="2">
        <v>0.03</v>
      </c>
      <c r="D23">
        <f t="shared" si="5"/>
        <v>1.8847800000000001</v>
      </c>
      <c r="E23" t="s">
        <v>12</v>
      </c>
      <c r="AI23" s="7">
        <f>+SUM(AI17:AI21)</f>
        <v>24.841400399999994</v>
      </c>
      <c r="AJ23" s="7">
        <f t="shared" ref="AJ23:AK23" si="13">+SUM(AJ17:AJ21)</f>
        <v>13.248746880000001</v>
      </c>
      <c r="AK23" s="7">
        <f t="shared" si="13"/>
        <v>3.1890477600000002</v>
      </c>
    </row>
    <row r="24" spans="1:37" x14ac:dyDescent="0.25">
      <c r="A24" s="3" t="s">
        <v>3</v>
      </c>
      <c r="B24" t="s">
        <v>89</v>
      </c>
      <c r="C24" s="2">
        <v>0.03</v>
      </c>
      <c r="D24">
        <f t="shared" si="5"/>
        <v>1.8847800000000001</v>
      </c>
      <c r="E24" t="s">
        <v>12</v>
      </c>
      <c r="M24" s="7"/>
      <c r="R24">
        <f>+SUM(R17:R21)</f>
        <v>1.0437163097713822</v>
      </c>
      <c r="T24" s="33">
        <f>+T21+T20+T18</f>
        <v>0.66838322302982134</v>
      </c>
      <c r="U24" s="33" t="s">
        <v>163</v>
      </c>
    </row>
    <row r="25" spans="1:37" x14ac:dyDescent="0.25">
      <c r="A25" s="3" t="s">
        <v>2</v>
      </c>
      <c r="B25" t="s">
        <v>90</v>
      </c>
      <c r="C25" s="2">
        <v>0.03</v>
      </c>
      <c r="D25">
        <f t="shared" si="5"/>
        <v>1.8847800000000001</v>
      </c>
      <c r="E25" t="s">
        <v>12</v>
      </c>
      <c r="T25">
        <f>+T24*44</f>
        <v>29.408861813312139</v>
      </c>
      <c r="U25" s="33" t="s">
        <v>164</v>
      </c>
    </row>
    <row r="26" spans="1:37" x14ac:dyDescent="0.25">
      <c r="A26" s="3" t="s">
        <v>96</v>
      </c>
      <c r="B26" t="s">
        <v>91</v>
      </c>
      <c r="C26" s="2">
        <v>0.03</v>
      </c>
      <c r="D26">
        <f t="shared" si="5"/>
        <v>1.8847800000000001</v>
      </c>
      <c r="E26" t="s">
        <v>12</v>
      </c>
    </row>
    <row r="27" spans="1:37" x14ac:dyDescent="0.25">
      <c r="A27" s="3" t="s">
        <v>96</v>
      </c>
      <c r="B27" t="s">
        <v>92</v>
      </c>
      <c r="C27" s="2">
        <v>0.04</v>
      </c>
      <c r="D27">
        <f t="shared" si="5"/>
        <v>2.5130400000000002</v>
      </c>
      <c r="E27" t="s">
        <v>12</v>
      </c>
    </row>
    <row r="28" spans="1:37" x14ac:dyDescent="0.25">
      <c r="A28" s="3" t="s">
        <v>2</v>
      </c>
      <c r="B28" t="s">
        <v>93</v>
      </c>
      <c r="C28" s="2">
        <v>0.04</v>
      </c>
      <c r="D28">
        <f t="shared" si="5"/>
        <v>2.5130400000000002</v>
      </c>
      <c r="E28" t="s">
        <v>12</v>
      </c>
      <c r="H28" s="81" t="s">
        <v>165</v>
      </c>
      <c r="I28" s="81"/>
      <c r="J28" s="81"/>
      <c r="Q28" t="s">
        <v>171</v>
      </c>
    </row>
    <row r="29" spans="1:37" x14ac:dyDescent="0.25">
      <c r="A29" s="3" t="s">
        <v>96</v>
      </c>
      <c r="B29" t="s">
        <v>94</v>
      </c>
      <c r="C29" s="2">
        <v>0.02</v>
      </c>
      <c r="D29">
        <f t="shared" si="5"/>
        <v>1.2565200000000001</v>
      </c>
      <c r="E29" t="s">
        <v>12</v>
      </c>
      <c r="H29" s="79" t="s">
        <v>12</v>
      </c>
      <c r="I29" s="79"/>
      <c r="J29" s="79"/>
      <c r="P29" t="s">
        <v>3</v>
      </c>
      <c r="Q29">
        <f>+Hoja1!G56</f>
        <v>9.8346473268648609</v>
      </c>
    </row>
    <row r="30" spans="1:37" x14ac:dyDescent="0.25">
      <c r="A30" s="3" t="s">
        <v>4</v>
      </c>
      <c r="B30" t="s">
        <v>95</v>
      </c>
      <c r="C30" s="2">
        <v>0.02</v>
      </c>
      <c r="D30">
        <f t="shared" si="5"/>
        <v>1.2565200000000001</v>
      </c>
      <c r="E30" t="s">
        <v>12</v>
      </c>
      <c r="H30" s="44">
        <v>0.6</v>
      </c>
      <c r="I30" s="45">
        <f>100%-H30-J30</f>
        <v>0.32</v>
      </c>
      <c r="J30" s="44">
        <v>0.08</v>
      </c>
      <c r="P30" t="s">
        <v>6</v>
      </c>
    </row>
    <row r="31" spans="1:37" x14ac:dyDescent="0.25">
      <c r="A31" s="3"/>
      <c r="C31" s="2">
        <f>+SUM(C17:C30)</f>
        <v>1.0000000000000002</v>
      </c>
      <c r="G31" s="11"/>
      <c r="H31" s="11" t="s">
        <v>161</v>
      </c>
      <c r="I31" s="11" t="s">
        <v>112</v>
      </c>
      <c r="J31" s="11" t="s">
        <v>144</v>
      </c>
      <c r="P31" t="s">
        <v>2</v>
      </c>
    </row>
    <row r="32" spans="1:37" x14ac:dyDescent="0.25">
      <c r="G32" t="s">
        <v>3</v>
      </c>
      <c r="H32">
        <f>+$H17*H$30</f>
        <v>20.355623999999999</v>
      </c>
      <c r="I32">
        <f t="shared" ref="I32:J32" si="14">+$H17*I$30</f>
        <v>10.856332800000001</v>
      </c>
      <c r="J32">
        <f t="shared" si="14"/>
        <v>2.7140832000000001</v>
      </c>
      <c r="P32" t="s">
        <v>5</v>
      </c>
    </row>
    <row r="33" spans="7:16" x14ac:dyDescent="0.25">
      <c r="G33" t="s">
        <v>6</v>
      </c>
      <c r="H33">
        <f t="shared" ref="H33:J33" si="15">+$H18*H$30</f>
        <v>2.6386920000000007</v>
      </c>
      <c r="I33">
        <f t="shared" si="15"/>
        <v>1.4073024000000005</v>
      </c>
      <c r="J33">
        <f t="shared" si="15"/>
        <v>0.35182560000000013</v>
      </c>
      <c r="P33" s="14" t="s">
        <v>4</v>
      </c>
    </row>
    <row r="34" spans="7:16" x14ac:dyDescent="0.25">
      <c r="G34" t="s">
        <v>2</v>
      </c>
      <c r="H34">
        <f t="shared" ref="H34:J34" si="16">+$H19*H$30</f>
        <v>6.7852079999999999</v>
      </c>
      <c r="I34">
        <f t="shared" si="16"/>
        <v>3.6187776000000005</v>
      </c>
      <c r="J34">
        <f t="shared" si="16"/>
        <v>0.90469440000000012</v>
      </c>
    </row>
    <row r="35" spans="7:16" x14ac:dyDescent="0.25">
      <c r="G35" t="s">
        <v>5</v>
      </c>
      <c r="H35">
        <f t="shared" ref="H35:J35" si="17">+$H20*H$30</f>
        <v>2.6386920000000007</v>
      </c>
      <c r="I35">
        <f t="shared" si="17"/>
        <v>1.4073024000000005</v>
      </c>
      <c r="J35">
        <f t="shared" si="17"/>
        <v>0.35182560000000013</v>
      </c>
    </row>
    <row r="36" spans="7:16" x14ac:dyDescent="0.25">
      <c r="G36" s="14" t="s">
        <v>4</v>
      </c>
      <c r="H36">
        <f t="shared" ref="H36:J36" si="18">+$H21*H$30</f>
        <v>0.75391200000000003</v>
      </c>
      <c r="I36">
        <f t="shared" si="18"/>
        <v>0.40208640000000001</v>
      </c>
      <c r="J36">
        <f t="shared" si="18"/>
        <v>0.1005216</v>
      </c>
    </row>
  </sheetData>
  <mergeCells count="11">
    <mergeCell ref="H29:J29"/>
    <mergeCell ref="AE15:AG15"/>
    <mergeCell ref="AI15:AK15"/>
    <mergeCell ref="C9:D9"/>
    <mergeCell ref="C12:D12"/>
    <mergeCell ref="H28:J28"/>
    <mergeCell ref="D16:E16"/>
    <mergeCell ref="M16:N16"/>
    <mergeCell ref="O16:P16"/>
    <mergeCell ref="Y14:AA14"/>
    <mergeCell ref="Y13:AA13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7382A-5EEB-4673-8135-81AABED9DAC7}">
  <sheetPr>
    <tabColor theme="0"/>
  </sheetPr>
  <dimension ref="A1:I38"/>
  <sheetViews>
    <sheetView showGridLines="0" workbookViewId="0">
      <selection activeCell="H9" sqref="H9"/>
    </sheetView>
  </sheetViews>
  <sheetFormatPr baseColWidth="10" defaultRowHeight="15" x14ac:dyDescent="0.25"/>
  <cols>
    <col min="4" max="4" width="40.140625" customWidth="1"/>
    <col min="5" max="5" width="20.7109375" customWidth="1"/>
  </cols>
  <sheetData>
    <row r="1" spans="1:9" x14ac:dyDescent="0.25">
      <c r="A1" t="s">
        <v>146</v>
      </c>
    </row>
    <row r="4" spans="1:9" x14ac:dyDescent="0.25">
      <c r="D4" t="s">
        <v>147</v>
      </c>
    </row>
    <row r="6" spans="1:9" x14ac:dyDescent="0.25">
      <c r="C6" t="s">
        <v>22</v>
      </c>
      <c r="D6" t="s">
        <v>145</v>
      </c>
    </row>
    <row r="7" spans="1:9" x14ac:dyDescent="0.25">
      <c r="C7" t="s">
        <v>24</v>
      </c>
      <c r="D7" t="s">
        <v>26</v>
      </c>
      <c r="E7" t="s">
        <v>25</v>
      </c>
      <c r="F7">
        <v>2019</v>
      </c>
    </row>
    <row r="8" spans="1:9" x14ac:dyDescent="0.25">
      <c r="C8" t="s">
        <v>27</v>
      </c>
      <c r="D8" t="s">
        <v>67</v>
      </c>
      <c r="E8" t="s">
        <v>68</v>
      </c>
      <c r="F8">
        <v>0.124761904761905</v>
      </c>
      <c r="H8">
        <f>+F8+F10+F12+F14+F16</f>
        <v>0.4295602532188848</v>
      </c>
      <c r="I8" t="s">
        <v>19</v>
      </c>
    </row>
    <row r="9" spans="1:9" x14ac:dyDescent="0.25">
      <c r="C9" t="s">
        <v>27</v>
      </c>
      <c r="D9" t="s">
        <v>67</v>
      </c>
      <c r="E9" t="s">
        <v>69</v>
      </c>
      <c r="F9">
        <v>10.947148152590399</v>
      </c>
    </row>
    <row r="10" spans="1:9" x14ac:dyDescent="0.25">
      <c r="C10" t="s">
        <v>27</v>
      </c>
      <c r="D10" t="s">
        <v>70</v>
      </c>
      <c r="E10" t="s">
        <v>71</v>
      </c>
      <c r="F10">
        <v>0.124761904761905</v>
      </c>
    </row>
    <row r="11" spans="1:9" x14ac:dyDescent="0.25">
      <c r="C11" t="s">
        <v>27</v>
      </c>
      <c r="D11" t="s">
        <v>70</v>
      </c>
      <c r="E11" t="s">
        <v>72</v>
      </c>
      <c r="F11">
        <v>10.9471481525903</v>
      </c>
    </row>
    <row r="12" spans="1:9" x14ac:dyDescent="0.25">
      <c r="C12" t="s">
        <v>27</v>
      </c>
      <c r="D12" t="s">
        <v>73</v>
      </c>
      <c r="E12" t="s">
        <v>74</v>
      </c>
      <c r="F12">
        <v>4.4710204562976801E-2</v>
      </c>
    </row>
    <row r="13" spans="1:9" x14ac:dyDescent="0.25">
      <c r="C13" t="s">
        <v>27</v>
      </c>
      <c r="D13" t="s">
        <v>73</v>
      </c>
      <c r="E13" t="s">
        <v>75</v>
      </c>
      <c r="F13">
        <v>3.9230663736465901</v>
      </c>
    </row>
    <row r="14" spans="1:9" x14ac:dyDescent="0.25">
      <c r="C14" t="s">
        <v>27</v>
      </c>
      <c r="D14" t="s">
        <v>76</v>
      </c>
      <c r="E14" t="s">
        <v>77</v>
      </c>
      <c r="F14">
        <v>1.0564334370192999E-2</v>
      </c>
    </row>
    <row r="15" spans="1:9" x14ac:dyDescent="0.25">
      <c r="C15" t="s">
        <v>27</v>
      </c>
      <c r="D15" t="s">
        <v>76</v>
      </c>
      <c r="E15" t="s">
        <v>78</v>
      </c>
      <c r="F15">
        <v>0.926960306551186</v>
      </c>
    </row>
    <row r="16" spans="1:9" x14ac:dyDescent="0.25">
      <c r="C16" t="s">
        <v>27</v>
      </c>
      <c r="D16" t="s">
        <v>79</v>
      </c>
      <c r="E16" t="s">
        <v>80</v>
      </c>
      <c r="F16">
        <v>0.124761904761905</v>
      </c>
    </row>
    <row r="17" spans="3:9" x14ac:dyDescent="0.25">
      <c r="C17" t="s">
        <v>27</v>
      </c>
      <c r="D17" t="s">
        <v>79</v>
      </c>
      <c r="E17" t="s">
        <v>81</v>
      </c>
      <c r="F17">
        <v>10.947148152590399</v>
      </c>
    </row>
    <row r="19" spans="3:9" x14ac:dyDescent="0.25">
      <c r="D19" t="s">
        <v>148</v>
      </c>
    </row>
    <row r="21" spans="3:9" x14ac:dyDescent="0.25">
      <c r="C21" t="s">
        <v>22</v>
      </c>
      <c r="D21" t="s">
        <v>145</v>
      </c>
    </row>
    <row r="22" spans="3:9" x14ac:dyDescent="0.25">
      <c r="C22" t="s">
        <v>24</v>
      </c>
      <c r="D22" t="s">
        <v>26</v>
      </c>
      <c r="E22" t="s">
        <v>25</v>
      </c>
      <c r="F22">
        <v>2019</v>
      </c>
    </row>
    <row r="23" spans="3:9" x14ac:dyDescent="0.25">
      <c r="C23" t="s">
        <v>27</v>
      </c>
      <c r="D23" t="s">
        <v>52</v>
      </c>
      <c r="E23" t="s">
        <v>53</v>
      </c>
      <c r="F23">
        <v>0.374285714285715</v>
      </c>
      <c r="H23">
        <f>+F23+F25+F27+F29+F31</f>
        <v>1.0437163097713822</v>
      </c>
      <c r="I23" t="s">
        <v>19</v>
      </c>
    </row>
    <row r="24" spans="3:9" x14ac:dyDescent="0.25">
      <c r="C24" t="s">
        <v>27</v>
      </c>
      <c r="D24" t="s">
        <v>52</v>
      </c>
      <c r="E24" t="s">
        <v>54</v>
      </c>
      <c r="F24">
        <v>141.77489177489301</v>
      </c>
    </row>
    <row r="25" spans="3:9" x14ac:dyDescent="0.25">
      <c r="C25" t="s">
        <v>27</v>
      </c>
      <c r="D25" t="s">
        <v>55</v>
      </c>
      <c r="E25" t="s">
        <v>56</v>
      </c>
      <c r="F25">
        <v>0.24952380952381001</v>
      </c>
    </row>
    <row r="26" spans="3:9" x14ac:dyDescent="0.25">
      <c r="C26" t="s">
        <v>27</v>
      </c>
      <c r="D26" t="s">
        <v>55</v>
      </c>
      <c r="E26" t="s">
        <v>57</v>
      </c>
      <c r="F26">
        <v>94.516594516595703</v>
      </c>
    </row>
    <row r="27" spans="3:9" x14ac:dyDescent="0.25">
      <c r="C27" t="s">
        <v>27</v>
      </c>
      <c r="D27" t="s">
        <v>58</v>
      </c>
      <c r="E27" t="s">
        <v>59</v>
      </c>
      <c r="F27">
        <v>1.4857556001750901E-2</v>
      </c>
    </row>
    <row r="28" spans="3:9" x14ac:dyDescent="0.25">
      <c r="C28" t="s">
        <v>27</v>
      </c>
      <c r="D28" t="s">
        <v>58</v>
      </c>
      <c r="E28" t="s">
        <v>60</v>
      </c>
      <c r="F28">
        <v>5.6278621218754203</v>
      </c>
      <c r="I28" t="s">
        <v>19</v>
      </c>
    </row>
    <row r="29" spans="3:9" x14ac:dyDescent="0.25">
      <c r="C29" t="s">
        <v>27</v>
      </c>
      <c r="D29" t="s">
        <v>61</v>
      </c>
      <c r="E29" t="s">
        <v>62</v>
      </c>
      <c r="F29">
        <v>0.32957550972273802</v>
      </c>
    </row>
    <row r="30" spans="3:9" x14ac:dyDescent="0.25">
      <c r="C30" t="s">
        <v>27</v>
      </c>
      <c r="D30" t="s">
        <v>61</v>
      </c>
      <c r="E30" t="s">
        <v>63</v>
      </c>
      <c r="F30">
        <v>124.83920822831099</v>
      </c>
    </row>
    <row r="31" spans="3:9" x14ac:dyDescent="0.25">
      <c r="C31" t="s">
        <v>27</v>
      </c>
      <c r="D31" t="s">
        <v>64</v>
      </c>
      <c r="E31" t="s">
        <v>65</v>
      </c>
      <c r="F31">
        <v>7.5473720237368397E-2</v>
      </c>
    </row>
    <row r="32" spans="3:9" x14ac:dyDescent="0.25">
      <c r="C32" t="s">
        <v>27</v>
      </c>
      <c r="D32" t="s">
        <v>64</v>
      </c>
      <c r="E32" t="s">
        <v>66</v>
      </c>
      <c r="F32">
        <v>28.5885303929429</v>
      </c>
    </row>
    <row r="36" spans="5:8" x14ac:dyDescent="0.25">
      <c r="E36" t="s">
        <v>154</v>
      </c>
      <c r="H36">
        <f>+H23+H8</f>
        <v>1.4732765629902671</v>
      </c>
    </row>
    <row r="38" spans="5:8" x14ac:dyDescent="0.25">
      <c r="H38">
        <f>+H36*0.65</f>
        <v>0.95762976594367366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A97B-0B9C-471D-9BAA-37CFD4E0FD71}">
  <dimension ref="D9:L78"/>
  <sheetViews>
    <sheetView topLeftCell="B37" workbookViewId="0">
      <selection activeCell="L73" sqref="L73:L74"/>
    </sheetView>
  </sheetViews>
  <sheetFormatPr baseColWidth="10" defaultRowHeight="15" x14ac:dyDescent="0.25"/>
  <cols>
    <col min="5" max="5" width="21.5703125" customWidth="1"/>
    <col min="6" max="6" width="18.85546875" customWidth="1"/>
  </cols>
  <sheetData>
    <row r="9" spans="4:8" x14ac:dyDescent="0.25">
      <c r="D9" t="s">
        <v>22</v>
      </c>
      <c r="E9" t="s">
        <v>23</v>
      </c>
    </row>
    <row r="10" spans="4:8" x14ac:dyDescent="0.25">
      <c r="D10" t="s">
        <v>24</v>
      </c>
      <c r="E10" t="s">
        <v>25</v>
      </c>
      <c r="F10" t="s">
        <v>26</v>
      </c>
      <c r="G10">
        <v>2019</v>
      </c>
    </row>
    <row r="11" spans="4:8" x14ac:dyDescent="0.25">
      <c r="D11" t="s">
        <v>45</v>
      </c>
      <c r="E11" t="s">
        <v>46</v>
      </c>
      <c r="F11" t="s">
        <v>47</v>
      </c>
      <c r="G11">
        <v>2.9417559453968799E-2</v>
      </c>
    </row>
    <row r="12" spans="4:8" x14ac:dyDescent="0.25">
      <c r="D12" t="s">
        <v>45</v>
      </c>
      <c r="E12" t="s">
        <v>48</v>
      </c>
      <c r="F12" t="s">
        <v>49</v>
      </c>
      <c r="G12">
        <v>1.2323321252759101</v>
      </c>
    </row>
    <row r="13" spans="4:8" x14ac:dyDescent="0.25">
      <c r="D13" t="s">
        <v>45</v>
      </c>
      <c r="E13" t="s">
        <v>50</v>
      </c>
      <c r="F13" t="s">
        <v>51</v>
      </c>
      <c r="G13">
        <v>7.6873609588534994E-2</v>
      </c>
    </row>
    <row r="14" spans="4:8" x14ac:dyDescent="0.25">
      <c r="G14">
        <f>+SUM(G11:G13)</f>
        <v>1.3386232943184138</v>
      </c>
      <c r="H14" t="s">
        <v>19</v>
      </c>
    </row>
    <row r="17" spans="4:8" x14ac:dyDescent="0.25">
      <c r="D17" t="s">
        <v>22</v>
      </c>
      <c r="E17" t="s">
        <v>23</v>
      </c>
    </row>
    <row r="18" spans="4:8" x14ac:dyDescent="0.25">
      <c r="D18" t="s">
        <v>24</v>
      </c>
      <c r="E18" t="s">
        <v>26</v>
      </c>
      <c r="F18" t="s">
        <v>25</v>
      </c>
      <c r="G18">
        <v>2019</v>
      </c>
    </row>
    <row r="19" spans="4:8" x14ac:dyDescent="0.25">
      <c r="D19" t="s">
        <v>27</v>
      </c>
      <c r="E19" t="s">
        <v>52</v>
      </c>
      <c r="F19" t="s">
        <v>53</v>
      </c>
      <c r="G19">
        <v>0.374285714285715</v>
      </c>
    </row>
    <row r="20" spans="4:8" x14ac:dyDescent="0.25">
      <c r="D20" t="s">
        <v>27</v>
      </c>
      <c r="E20" t="s">
        <v>52</v>
      </c>
      <c r="F20" t="s">
        <v>54</v>
      </c>
      <c r="G20">
        <v>141.77489177489301</v>
      </c>
    </row>
    <row r="21" spans="4:8" x14ac:dyDescent="0.25">
      <c r="D21" t="s">
        <v>27</v>
      </c>
      <c r="E21" t="s">
        <v>55</v>
      </c>
      <c r="F21" t="s">
        <v>56</v>
      </c>
      <c r="G21">
        <v>0.24952380952381001</v>
      </c>
    </row>
    <row r="22" spans="4:8" x14ac:dyDescent="0.25">
      <c r="D22" t="s">
        <v>27</v>
      </c>
      <c r="E22" t="s">
        <v>55</v>
      </c>
      <c r="F22" t="s">
        <v>57</v>
      </c>
      <c r="G22">
        <v>94.516594516595703</v>
      </c>
    </row>
    <row r="23" spans="4:8" x14ac:dyDescent="0.25">
      <c r="D23" t="s">
        <v>27</v>
      </c>
      <c r="E23" t="s">
        <v>58</v>
      </c>
      <c r="F23" t="s">
        <v>59</v>
      </c>
      <c r="G23">
        <v>1.4857556001750901E-2</v>
      </c>
    </row>
    <row r="24" spans="4:8" x14ac:dyDescent="0.25">
      <c r="D24" t="s">
        <v>27</v>
      </c>
      <c r="E24" t="s">
        <v>58</v>
      </c>
      <c r="F24" t="s">
        <v>60</v>
      </c>
      <c r="G24">
        <v>5.6278621218754203</v>
      </c>
    </row>
    <row r="25" spans="4:8" x14ac:dyDescent="0.25">
      <c r="D25" t="s">
        <v>27</v>
      </c>
      <c r="E25" t="s">
        <v>61</v>
      </c>
      <c r="F25" t="s">
        <v>62</v>
      </c>
      <c r="G25">
        <v>0.32957550972273802</v>
      </c>
    </row>
    <row r="26" spans="4:8" x14ac:dyDescent="0.25">
      <c r="D26" t="s">
        <v>27</v>
      </c>
      <c r="E26" t="s">
        <v>61</v>
      </c>
      <c r="F26" t="s">
        <v>63</v>
      </c>
      <c r="G26">
        <v>124.83920822831099</v>
      </c>
    </row>
    <row r="27" spans="4:8" x14ac:dyDescent="0.25">
      <c r="D27" t="s">
        <v>27</v>
      </c>
      <c r="E27" t="s">
        <v>64</v>
      </c>
      <c r="F27" t="s">
        <v>65</v>
      </c>
      <c r="G27">
        <v>7.5473720237368397E-2</v>
      </c>
    </row>
    <row r="28" spans="4:8" x14ac:dyDescent="0.25">
      <c r="D28" t="s">
        <v>27</v>
      </c>
      <c r="E28" t="s">
        <v>64</v>
      </c>
      <c r="F28" t="s">
        <v>66</v>
      </c>
      <c r="G28">
        <v>28.5885303929429</v>
      </c>
    </row>
    <row r="30" spans="4:8" x14ac:dyDescent="0.25">
      <c r="G30">
        <f>+G19+G21+G23+G25+G27</f>
        <v>1.0437163097713822</v>
      </c>
      <c r="H30" t="s">
        <v>19</v>
      </c>
    </row>
    <row r="35" spans="4:10" x14ac:dyDescent="0.25">
      <c r="D35" t="s">
        <v>22</v>
      </c>
      <c r="E35" t="s">
        <v>23</v>
      </c>
    </row>
    <row r="36" spans="4:10" x14ac:dyDescent="0.25">
      <c r="D36" t="s">
        <v>24</v>
      </c>
      <c r="E36" t="s">
        <v>26</v>
      </c>
      <c r="F36" t="s">
        <v>25</v>
      </c>
      <c r="G36">
        <v>2019</v>
      </c>
    </row>
    <row r="37" spans="4:10" x14ac:dyDescent="0.25">
      <c r="D37" t="s">
        <v>27</v>
      </c>
      <c r="E37" t="s">
        <v>67</v>
      </c>
      <c r="F37" t="s">
        <v>68</v>
      </c>
      <c r="G37">
        <v>0.124761904761905</v>
      </c>
      <c r="I37">
        <f>+G37+G39+G41+G43+G45</f>
        <v>0.4295602532188848</v>
      </c>
      <c r="J37" t="s">
        <v>19</v>
      </c>
    </row>
    <row r="38" spans="4:10" x14ac:dyDescent="0.25">
      <c r="D38" t="s">
        <v>27</v>
      </c>
      <c r="E38" t="s">
        <v>67</v>
      </c>
      <c r="F38" t="s">
        <v>69</v>
      </c>
      <c r="G38">
        <v>10.947148152590399</v>
      </c>
    </row>
    <row r="39" spans="4:10" x14ac:dyDescent="0.25">
      <c r="D39" t="s">
        <v>27</v>
      </c>
      <c r="E39" t="s">
        <v>70</v>
      </c>
      <c r="F39" t="s">
        <v>71</v>
      </c>
      <c r="G39">
        <v>0.124761904761905</v>
      </c>
    </row>
    <row r="40" spans="4:10" x14ac:dyDescent="0.25">
      <c r="D40" t="s">
        <v>27</v>
      </c>
      <c r="E40" t="s">
        <v>70</v>
      </c>
      <c r="F40" t="s">
        <v>72</v>
      </c>
      <c r="G40">
        <v>10.947148152590399</v>
      </c>
      <c r="I40">
        <f>+I37+G30+G14</f>
        <v>2.8118998573086809</v>
      </c>
      <c r="J40" t="s">
        <v>19</v>
      </c>
    </row>
    <row r="41" spans="4:10" x14ac:dyDescent="0.25">
      <c r="D41" t="s">
        <v>27</v>
      </c>
      <c r="E41" t="s">
        <v>73</v>
      </c>
      <c r="F41" t="s">
        <v>74</v>
      </c>
      <c r="G41">
        <v>4.4710204562976801E-2</v>
      </c>
    </row>
    <row r="42" spans="4:10" x14ac:dyDescent="0.25">
      <c r="D42" t="s">
        <v>27</v>
      </c>
      <c r="E42" t="s">
        <v>73</v>
      </c>
      <c r="F42" t="s">
        <v>75</v>
      </c>
      <c r="G42">
        <v>3.9230663736465901</v>
      </c>
    </row>
    <row r="43" spans="4:10" x14ac:dyDescent="0.25">
      <c r="D43" t="s">
        <v>27</v>
      </c>
      <c r="E43" t="s">
        <v>76</v>
      </c>
      <c r="F43" t="s">
        <v>77</v>
      </c>
      <c r="G43">
        <v>1.0564334370192999E-2</v>
      </c>
    </row>
    <row r="44" spans="4:10" x14ac:dyDescent="0.25">
      <c r="D44" t="s">
        <v>27</v>
      </c>
      <c r="E44" t="s">
        <v>76</v>
      </c>
      <c r="F44" t="s">
        <v>78</v>
      </c>
      <c r="G44">
        <v>0.926960306551186</v>
      </c>
    </row>
    <row r="45" spans="4:10" x14ac:dyDescent="0.25">
      <c r="D45" t="s">
        <v>27</v>
      </c>
      <c r="E45" t="s">
        <v>79</v>
      </c>
      <c r="F45" t="s">
        <v>80</v>
      </c>
      <c r="G45">
        <v>0.124761904761905</v>
      </c>
    </row>
    <row r="46" spans="4:10" x14ac:dyDescent="0.25">
      <c r="D46" t="s">
        <v>27</v>
      </c>
      <c r="E46" t="s">
        <v>79</v>
      </c>
      <c r="F46" t="s">
        <v>81</v>
      </c>
      <c r="G46">
        <v>10.947148152590399</v>
      </c>
    </row>
    <row r="52" spans="4:10" x14ac:dyDescent="0.25">
      <c r="D52" t="s">
        <v>22</v>
      </c>
      <c r="E52" t="s">
        <v>23</v>
      </c>
    </row>
    <row r="53" spans="4:10" x14ac:dyDescent="0.25">
      <c r="D53" t="s">
        <v>24</v>
      </c>
      <c r="E53" t="s">
        <v>26</v>
      </c>
      <c r="F53" t="s">
        <v>25</v>
      </c>
      <c r="G53">
        <v>2019</v>
      </c>
    </row>
    <row r="54" spans="4:10" x14ac:dyDescent="0.25">
      <c r="D54" t="s">
        <v>27</v>
      </c>
      <c r="E54" t="s">
        <v>29</v>
      </c>
      <c r="F54" t="s">
        <v>28</v>
      </c>
      <c r="G54">
        <v>0.130836713540355</v>
      </c>
      <c r="I54">
        <f>+G54+G56+G58+G62+G60+G64+G66</f>
        <v>20.856631177169554</v>
      </c>
      <c r="J54" t="s">
        <v>19</v>
      </c>
    </row>
    <row r="55" spans="4:10" x14ac:dyDescent="0.25">
      <c r="D55" t="s">
        <v>27</v>
      </c>
      <c r="E55" t="s">
        <v>29</v>
      </c>
      <c r="F55" t="s">
        <v>100</v>
      </c>
      <c r="G55">
        <v>11.0869175104107</v>
      </c>
    </row>
    <row r="56" spans="4:10" x14ac:dyDescent="0.25">
      <c r="D56" t="s">
        <v>27</v>
      </c>
      <c r="E56" t="s">
        <v>31</v>
      </c>
      <c r="F56" t="s">
        <v>30</v>
      </c>
      <c r="G56">
        <v>9.8346473268648609</v>
      </c>
      <c r="I56">
        <f>+G56+G58</f>
        <v>17.538323048611119</v>
      </c>
    </row>
    <row r="57" spans="4:10" x14ac:dyDescent="0.25">
      <c r="D57" t="s">
        <v>27</v>
      </c>
      <c r="E57" t="s">
        <v>31</v>
      </c>
      <c r="F57" t="s">
        <v>101</v>
      </c>
      <c r="G57">
        <v>366.97814570935498</v>
      </c>
    </row>
    <row r="58" spans="4:10" x14ac:dyDescent="0.25">
      <c r="D58" t="s">
        <v>27</v>
      </c>
      <c r="E58" t="s">
        <v>33</v>
      </c>
      <c r="F58" t="s">
        <v>32</v>
      </c>
      <c r="G58">
        <v>7.7036757217462597</v>
      </c>
    </row>
    <row r="59" spans="4:10" x14ac:dyDescent="0.25">
      <c r="D59" t="s">
        <v>27</v>
      </c>
      <c r="E59" t="s">
        <v>33</v>
      </c>
      <c r="F59" t="s">
        <v>102</v>
      </c>
      <c r="G59">
        <v>727.99808370307301</v>
      </c>
    </row>
    <row r="60" spans="4:10" x14ac:dyDescent="0.25">
      <c r="D60" t="s">
        <v>27</v>
      </c>
      <c r="E60" t="s">
        <v>35</v>
      </c>
      <c r="F60" t="s">
        <v>34</v>
      </c>
      <c r="G60">
        <v>0.109255702836646</v>
      </c>
    </row>
    <row r="61" spans="4:10" x14ac:dyDescent="0.25">
      <c r="D61" t="s">
        <v>27</v>
      </c>
      <c r="E61" t="s">
        <v>35</v>
      </c>
      <c r="F61" t="s">
        <v>103</v>
      </c>
      <c r="G61">
        <v>7.2846848137516496</v>
      </c>
    </row>
    <row r="62" spans="4:10" x14ac:dyDescent="0.25">
      <c r="D62" t="s">
        <v>27</v>
      </c>
      <c r="E62" t="s">
        <v>37</v>
      </c>
      <c r="F62" t="s">
        <v>36</v>
      </c>
      <c r="G62">
        <v>2.4929417117336898</v>
      </c>
    </row>
    <row r="63" spans="4:10" x14ac:dyDescent="0.25">
      <c r="D63" t="s">
        <v>27</v>
      </c>
      <c r="E63" t="s">
        <v>37</v>
      </c>
      <c r="F63" t="s">
        <v>104</v>
      </c>
      <c r="G63">
        <v>166.21827655245499</v>
      </c>
    </row>
    <row r="64" spans="4:10" x14ac:dyDescent="0.25">
      <c r="D64" t="s">
        <v>27</v>
      </c>
      <c r="E64" t="s">
        <v>39</v>
      </c>
      <c r="F64" t="s">
        <v>38</v>
      </c>
      <c r="G64">
        <v>0.45154082596841399</v>
      </c>
    </row>
    <row r="65" spans="4:12" x14ac:dyDescent="0.25">
      <c r="D65" t="s">
        <v>27</v>
      </c>
      <c r="E65" t="s">
        <v>39</v>
      </c>
      <c r="F65" t="s">
        <v>105</v>
      </c>
      <c r="G65">
        <v>30.106735962689498</v>
      </c>
    </row>
    <row r="66" spans="4:12" x14ac:dyDescent="0.25">
      <c r="D66" t="s">
        <v>27</v>
      </c>
      <c r="E66" t="s">
        <v>41</v>
      </c>
      <c r="F66" t="s">
        <v>40</v>
      </c>
      <c r="G66">
        <v>0.13373317447933</v>
      </c>
    </row>
    <row r="67" spans="4:12" x14ac:dyDescent="0.25">
      <c r="D67" t="s">
        <v>27</v>
      </c>
      <c r="E67" t="s">
        <v>41</v>
      </c>
      <c r="F67" t="s">
        <v>106</v>
      </c>
      <c r="G67">
        <v>11.3323595016805</v>
      </c>
    </row>
    <row r="70" spans="4:12" x14ac:dyDescent="0.25">
      <c r="D70" t="s">
        <v>22</v>
      </c>
      <c r="E70" t="s">
        <v>123</v>
      </c>
    </row>
    <row r="71" spans="4:12" x14ac:dyDescent="0.25">
      <c r="D71" t="s">
        <v>24</v>
      </c>
      <c r="E71" t="s">
        <v>26</v>
      </c>
      <c r="F71" t="s">
        <v>25</v>
      </c>
      <c r="G71">
        <v>2019</v>
      </c>
    </row>
    <row r="72" spans="4:12" x14ac:dyDescent="0.25">
      <c r="D72" t="s">
        <v>27</v>
      </c>
      <c r="E72" t="s">
        <v>29</v>
      </c>
      <c r="F72" t="s">
        <v>28</v>
      </c>
      <c r="G72">
        <v>0.130836713540355</v>
      </c>
      <c r="I72">
        <f>+SUM(G72:G78)</f>
        <v>18.567532485453089</v>
      </c>
      <c r="J72" t="s">
        <v>19</v>
      </c>
    </row>
    <row r="73" spans="4:12" x14ac:dyDescent="0.25">
      <c r="D73" t="s">
        <v>27</v>
      </c>
      <c r="E73" t="s">
        <v>31</v>
      </c>
      <c r="F73" t="s">
        <v>30</v>
      </c>
      <c r="G73">
        <v>4.33070909751605</v>
      </c>
      <c r="L73">
        <f>+G73</f>
        <v>4.33070909751605</v>
      </c>
    </row>
    <row r="74" spans="4:12" x14ac:dyDescent="0.25">
      <c r="D74" t="s">
        <v>27</v>
      </c>
      <c r="E74" t="s">
        <v>33</v>
      </c>
      <c r="F74" t="s">
        <v>32</v>
      </c>
      <c r="G74">
        <v>10.9185152593786</v>
      </c>
      <c r="L74">
        <f>+G74</f>
        <v>10.9185152593786</v>
      </c>
    </row>
    <row r="75" spans="4:12" x14ac:dyDescent="0.25">
      <c r="D75" t="s">
        <v>27</v>
      </c>
      <c r="E75" t="s">
        <v>35</v>
      </c>
      <c r="F75" t="s">
        <v>34</v>
      </c>
      <c r="G75">
        <v>0.109255702836646</v>
      </c>
      <c r="I75">
        <f>+I72/0.0036</f>
        <v>5157.6479126258582</v>
      </c>
      <c r="J75" t="s">
        <v>18</v>
      </c>
    </row>
    <row r="76" spans="4:12" x14ac:dyDescent="0.25">
      <c r="D76" t="s">
        <v>27</v>
      </c>
      <c r="E76" t="s">
        <v>37</v>
      </c>
      <c r="F76" t="s">
        <v>36</v>
      </c>
      <c r="G76">
        <v>2.4929417117336898</v>
      </c>
    </row>
    <row r="77" spans="4:12" x14ac:dyDescent="0.25">
      <c r="D77" t="s">
        <v>27</v>
      </c>
      <c r="E77" t="s">
        <v>39</v>
      </c>
      <c r="F77" t="s">
        <v>38</v>
      </c>
      <c r="G77">
        <v>0.45154082596841399</v>
      </c>
    </row>
    <row r="78" spans="4:12" x14ac:dyDescent="0.25">
      <c r="D78" t="s">
        <v>27</v>
      </c>
      <c r="E78" t="s">
        <v>41</v>
      </c>
      <c r="F78" t="s">
        <v>40</v>
      </c>
      <c r="G78">
        <v>0.13373317447933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5F27F-11E7-41ED-AE26-EC505E39AD1E}">
  <sheetPr>
    <tabColor rgb="FF00B050"/>
  </sheetPr>
  <dimension ref="E3:U21"/>
  <sheetViews>
    <sheetView showGridLines="0" workbookViewId="0">
      <selection activeCell="J14" sqref="J14:N18"/>
    </sheetView>
  </sheetViews>
  <sheetFormatPr baseColWidth="10" defaultRowHeight="15" x14ac:dyDescent="0.25"/>
  <sheetData>
    <row r="3" spans="5:21" x14ac:dyDescent="0.25">
      <c r="F3" t="s">
        <v>9</v>
      </c>
    </row>
    <row r="4" spans="5:21" x14ac:dyDescent="0.25">
      <c r="F4" s="52" t="s">
        <v>168</v>
      </c>
      <c r="G4" s="52"/>
      <c r="H4" s="52"/>
      <c r="I4" s="52"/>
    </row>
    <row r="5" spans="5:21" x14ac:dyDescent="0.25">
      <c r="F5" s="53" t="s">
        <v>114</v>
      </c>
      <c r="G5" s="19" t="s">
        <v>144</v>
      </c>
      <c r="H5" s="19" t="s">
        <v>112</v>
      </c>
      <c r="I5" s="19" t="s">
        <v>113</v>
      </c>
    </row>
    <row r="6" spans="5:21" x14ac:dyDescent="0.25">
      <c r="E6" s="54" t="s">
        <v>3</v>
      </c>
      <c r="F6" s="55">
        <v>19.999999999999996</v>
      </c>
      <c r="G6" s="55">
        <v>150.07647247502405</v>
      </c>
      <c r="H6" s="55">
        <v>48.264281002198075</v>
      </c>
      <c r="I6" s="56">
        <v>22.809206522777917</v>
      </c>
    </row>
    <row r="7" spans="5:21" x14ac:dyDescent="0.25">
      <c r="E7" s="57" t="s">
        <v>6</v>
      </c>
      <c r="F7" s="7">
        <v>0</v>
      </c>
      <c r="G7" s="7">
        <v>0</v>
      </c>
      <c r="H7" s="7">
        <v>21.228029807445445</v>
      </c>
      <c r="I7" s="50">
        <v>10.032150192554559</v>
      </c>
    </row>
    <row r="8" spans="5:21" x14ac:dyDescent="0.25">
      <c r="E8" s="57" t="s">
        <v>2</v>
      </c>
      <c r="F8" s="7">
        <v>0</v>
      </c>
      <c r="G8" s="7">
        <v>19.445743599518565</v>
      </c>
      <c r="H8" s="7">
        <v>41.381229673754405</v>
      </c>
      <c r="I8" s="50">
        <v>19.556346726727035</v>
      </c>
    </row>
    <row r="9" spans="5:21" x14ac:dyDescent="0.25">
      <c r="E9" s="57" t="s">
        <v>5</v>
      </c>
      <c r="F9" s="7">
        <v>0</v>
      </c>
      <c r="G9" s="7">
        <v>2.2835888766070749</v>
      </c>
      <c r="H9" s="7">
        <v>19.677300005487623</v>
      </c>
      <c r="I9" s="50">
        <v>9.2992911179053053</v>
      </c>
    </row>
    <row r="10" spans="5:21" x14ac:dyDescent="0.25">
      <c r="E10" s="58" t="s">
        <v>4</v>
      </c>
      <c r="F10" s="15">
        <v>0</v>
      </c>
      <c r="G10" s="15">
        <v>0.25423007512003598</v>
      </c>
      <c r="H10" s="15">
        <v>0</v>
      </c>
      <c r="I10" s="51">
        <v>8.8787417554540831</v>
      </c>
    </row>
    <row r="14" spans="5:21" x14ac:dyDescent="0.25">
      <c r="E14" t="s">
        <v>10</v>
      </c>
      <c r="J14" s="62"/>
      <c r="K14" s="62" t="s">
        <v>9</v>
      </c>
      <c r="L14" s="62" t="s">
        <v>10</v>
      </c>
      <c r="M14" s="62" t="s">
        <v>131</v>
      </c>
      <c r="N14" s="62"/>
      <c r="O14" t="s">
        <v>169</v>
      </c>
      <c r="P14" t="s">
        <v>170</v>
      </c>
      <c r="S14" t="s">
        <v>150</v>
      </c>
    </row>
    <row r="15" spans="5:21" x14ac:dyDescent="0.25">
      <c r="E15" s="59" t="s">
        <v>167</v>
      </c>
      <c r="F15" s="60"/>
      <c r="G15" s="61"/>
      <c r="J15" s="63" t="s">
        <v>114</v>
      </c>
      <c r="K15" s="64">
        <f>+SUM(F6:F10)</f>
        <v>19.999999999999996</v>
      </c>
      <c r="L15" s="62">
        <v>0</v>
      </c>
      <c r="M15" s="64">
        <f>+L15+K15</f>
        <v>19.999999999999996</v>
      </c>
      <c r="N15" s="62" t="s">
        <v>12</v>
      </c>
      <c r="O15">
        <v>7.3</v>
      </c>
      <c r="S15" t="s">
        <v>144</v>
      </c>
      <c r="T15" s="4">
        <v>172.06003502626973</v>
      </c>
      <c r="U15" t="s">
        <v>12</v>
      </c>
    </row>
    <row r="16" spans="5:21" x14ac:dyDescent="0.25">
      <c r="E16" s="47" t="s">
        <v>161</v>
      </c>
      <c r="F16" s="48" t="s">
        <v>112</v>
      </c>
      <c r="G16" s="49" t="s">
        <v>144</v>
      </c>
      <c r="J16" s="65" t="s">
        <v>161</v>
      </c>
      <c r="K16" s="64">
        <f>+SUM(I6:I10)</f>
        <v>70.575736315418894</v>
      </c>
      <c r="L16" s="64">
        <f>+SUM(E17:E21)</f>
        <v>11.610244800000002</v>
      </c>
      <c r="M16" s="64">
        <f t="shared" ref="M16:M18" si="0">+L16+K16</f>
        <v>82.185981115418898</v>
      </c>
      <c r="N16" s="62" t="s">
        <v>12</v>
      </c>
      <c r="O16">
        <v>67.400000000000006</v>
      </c>
      <c r="P16" s="5">
        <f>+(O16-M16)/O16</f>
        <v>-0.21937657441274319</v>
      </c>
      <c r="S16" t="s">
        <v>112</v>
      </c>
      <c r="T16" s="4">
        <v>142.69512238178638</v>
      </c>
      <c r="U16" t="s">
        <v>12</v>
      </c>
    </row>
    <row r="17" spans="5:21" x14ac:dyDescent="0.25">
      <c r="E17" s="21">
        <v>7.1244684000000005</v>
      </c>
      <c r="F17" s="7">
        <v>3.7997164800000003</v>
      </c>
      <c r="G17" s="50">
        <v>0.94992912000000007</v>
      </c>
      <c r="J17" s="63" t="s">
        <v>112</v>
      </c>
      <c r="K17" s="64">
        <f>+SUM(H6:H10)</f>
        <v>130.55084048888557</v>
      </c>
      <c r="L17" s="64">
        <f>+SUM(F17:F21)</f>
        <v>6.1921305600000007</v>
      </c>
      <c r="M17" s="64">
        <f t="shared" si="0"/>
        <v>136.74297104888558</v>
      </c>
      <c r="N17" s="62" t="s">
        <v>12</v>
      </c>
      <c r="O17">
        <v>142.69999999999999</v>
      </c>
      <c r="P17" s="5">
        <f t="shared" ref="P17:P18" si="1">+(O17-M17)/O17</f>
        <v>4.1745122292322426E-2</v>
      </c>
      <c r="S17" t="s">
        <v>113</v>
      </c>
      <c r="T17" s="4">
        <v>67.447533730297721</v>
      </c>
      <c r="U17" t="s">
        <v>12</v>
      </c>
    </row>
    <row r="18" spans="5:21" x14ac:dyDescent="0.25">
      <c r="E18" s="21">
        <v>0.92354220000000042</v>
      </c>
      <c r="F18" s="7">
        <v>0.4925558400000003</v>
      </c>
      <c r="G18" s="50">
        <v>0</v>
      </c>
      <c r="J18" s="63" t="s">
        <v>144</v>
      </c>
      <c r="K18" s="64">
        <f>+SUM(G6:G10)</f>
        <v>172.0600350262697</v>
      </c>
      <c r="L18" s="64">
        <f>+SUM(G17:G21)</f>
        <v>1.4248936800000003</v>
      </c>
      <c r="M18" s="64">
        <f t="shared" si="0"/>
        <v>173.4849287062697</v>
      </c>
      <c r="N18" s="62" t="s">
        <v>12</v>
      </c>
      <c r="O18">
        <v>172.1</v>
      </c>
      <c r="P18" s="5">
        <f t="shared" si="1"/>
        <v>-8.047232459440468E-3</v>
      </c>
      <c r="S18" t="s">
        <v>114</v>
      </c>
      <c r="T18" s="4">
        <v>7.3412281611208421</v>
      </c>
      <c r="U18" t="s">
        <v>12</v>
      </c>
    </row>
    <row r="19" spans="5:21" x14ac:dyDescent="0.25">
      <c r="E19" s="21">
        <v>2.3748228000000005</v>
      </c>
      <c r="F19" s="7">
        <v>1.2665721600000002</v>
      </c>
      <c r="G19" s="50">
        <v>0.31664304000000004</v>
      </c>
      <c r="S19" t="s">
        <v>115</v>
      </c>
      <c r="T19" s="4">
        <v>3.4412007005253944</v>
      </c>
      <c r="U19" t="s">
        <v>12</v>
      </c>
    </row>
    <row r="20" spans="5:21" x14ac:dyDescent="0.25">
      <c r="E20" s="21">
        <v>0.92354220000000042</v>
      </c>
      <c r="F20" s="7">
        <v>0.4925558400000003</v>
      </c>
      <c r="G20" s="50">
        <v>0.12313896000000008</v>
      </c>
    </row>
    <row r="21" spans="5:21" x14ac:dyDescent="0.25">
      <c r="E21" s="22">
        <v>0.26386919999999997</v>
      </c>
      <c r="F21" s="15">
        <v>0.14073024000000001</v>
      </c>
      <c r="G21" s="51">
        <v>3.5182560000000002E-2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Autogeneracion Fuels</vt:lpstr>
      <vt:lpstr>Produccion Fuels</vt:lpstr>
      <vt:lpstr>Transporte Oil Fuels</vt:lpstr>
      <vt:lpstr>Hoja2</vt:lpstr>
      <vt:lpstr>Hoja1</vt:lpstr>
      <vt:lpstr>Reporte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2015-06-05T18:19:34Z</dcterms:created>
  <dcterms:modified xsi:type="dcterms:W3CDTF">2022-12-04T22:51:23Z</dcterms:modified>
</cp:coreProperties>
</file>