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094B97BA-1F64-42FC-8039-0B04C810444C}" xr6:coauthVersionLast="47" xr6:coauthVersionMax="47" xr10:uidLastSave="{00000000-0000-0000-0000-000000000000}"/>
  <bookViews>
    <workbookView xWindow="-28920" yWindow="-120" windowWidth="29040" windowHeight="15840" firstSheet="7"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Potencial O&amp;G" sheetId="23" r:id="rId10"/>
    <sheet name="5. 2019 O&amp;G" sheetId="22" r:id="rId11"/>
    <sheet name="5. P" sheetId="25" r:id="rId12"/>
    <sheet name="5, Produccion" sheetId="24" r:id="rId13"/>
  </sheets>
  <externalReferences>
    <externalReference r:id="rId14"/>
    <externalReference r:id="rId15"/>
  </externalReferences>
  <definedNames>
    <definedName name="_xlnm._FilterDatabase" localSheetId="3" hidden="1">'1. EXP_IMP'!$I$222:$Q$222</definedName>
    <definedName name="_xlnm._FilterDatabase" localSheetId="10" hidden="1">'5. 2019 O&amp;G'!$C$12:$W$12</definedName>
    <definedName name="_xlnm._FilterDatabase" localSheetId="11" hidden="1">'5. P'!$J$89:$AA$89</definedName>
    <definedName name="_xlnm._FilterDatabase" localSheetId="9" hidden="1">'5. Potencial O&amp;G'!$B$35:$H$35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D58" i="25" l="1"/>
  <c r="BI58" i="25"/>
  <c r="BM58" i="25"/>
  <c r="AZ59" i="25"/>
  <c r="BA59" i="25"/>
  <c r="BB59" i="25"/>
  <c r="BC59" i="25"/>
  <c r="BD59" i="25"/>
  <c r="BE59" i="25"/>
  <c r="BF59" i="25"/>
  <c r="BG59" i="25"/>
  <c r="BH59" i="25"/>
  <c r="BI59" i="25"/>
  <c r="BJ59" i="25"/>
  <c r="BK59" i="25"/>
  <c r="BL59" i="25"/>
  <c r="BM59" i="25"/>
  <c r="AU60" i="25"/>
  <c r="AV60" i="25"/>
  <c r="AW60" i="25"/>
  <c r="AY60" i="25"/>
  <c r="BB60" i="25"/>
  <c r="BC60" i="25"/>
  <c r="AU61" i="25"/>
  <c r="AV61" i="25"/>
  <c r="AW61" i="25"/>
  <c r="AX61" i="25"/>
  <c r="AY61" i="25"/>
  <c r="AZ61" i="25"/>
  <c r="BA61" i="25"/>
  <c r="BB61" i="25"/>
  <c r="BC61" i="25"/>
  <c r="BD61" i="25"/>
  <c r="BE61" i="25"/>
  <c r="BF61" i="25"/>
  <c r="BG61" i="25"/>
  <c r="BH61" i="25"/>
  <c r="BI61" i="25"/>
  <c r="BJ61" i="25"/>
  <c r="BK61" i="25"/>
  <c r="BL61" i="25"/>
  <c r="BM61" i="25"/>
  <c r="AU62" i="25"/>
  <c r="AV62" i="25"/>
  <c r="AW62" i="25"/>
  <c r="AX62" i="25"/>
  <c r="AY62" i="25"/>
  <c r="AZ62" i="25"/>
  <c r="BA62" i="25"/>
  <c r="BB62" i="25"/>
  <c r="BC62" i="25"/>
  <c r="BD62" i="25"/>
  <c r="BE62" i="25"/>
  <c r="BF62" i="25"/>
  <c r="BG62" i="25"/>
  <c r="BH62" i="25"/>
  <c r="BI62" i="25"/>
  <c r="BJ62" i="25"/>
  <c r="BK62" i="25"/>
  <c r="BL62" i="25"/>
  <c r="BM62" i="25"/>
  <c r="AU63" i="25"/>
  <c r="AV63" i="25"/>
  <c r="AW63" i="25"/>
  <c r="AX63" i="25"/>
  <c r="AY63" i="25"/>
  <c r="AZ63" i="25"/>
  <c r="BA63" i="25"/>
  <c r="BB63" i="25"/>
  <c r="BC63" i="25"/>
  <c r="BD63" i="25"/>
  <c r="BE63" i="25"/>
  <c r="BF63" i="25"/>
  <c r="BG63" i="25"/>
  <c r="BH63" i="25"/>
  <c r="BI63" i="25"/>
  <c r="BJ63" i="25"/>
  <c r="BK63" i="25"/>
  <c r="BL63" i="25"/>
  <c r="BM63" i="25"/>
  <c r="AU64" i="25"/>
  <c r="AV64" i="25"/>
  <c r="AW64" i="25"/>
  <c r="AX64" i="25"/>
  <c r="AY64" i="25"/>
  <c r="AZ64" i="25"/>
  <c r="BA64" i="25"/>
  <c r="BB64" i="25"/>
  <c r="BC64" i="25"/>
  <c r="BD64" i="25"/>
  <c r="BE64" i="25"/>
  <c r="BF64" i="25"/>
  <c r="BG64" i="25"/>
  <c r="BH64" i="25"/>
  <c r="BI64" i="25"/>
  <c r="BJ64" i="25"/>
  <c r="BK64" i="25"/>
  <c r="BL64" i="25"/>
  <c r="BM64" i="25"/>
  <c r="AU65" i="25"/>
  <c r="AV65" i="25"/>
  <c r="AW65" i="25"/>
  <c r="AX65" i="25"/>
  <c r="AY65" i="25"/>
  <c r="AZ65" i="25"/>
  <c r="BA65" i="25"/>
  <c r="BB65" i="25"/>
  <c r="BC65" i="25"/>
  <c r="BD65" i="25"/>
  <c r="BE65" i="25"/>
  <c r="BF65" i="25"/>
  <c r="BG65" i="25"/>
  <c r="BH65" i="25"/>
  <c r="BI65" i="25"/>
  <c r="BJ65" i="25"/>
  <c r="BK65" i="25"/>
  <c r="BL65" i="25"/>
  <c r="BM65" i="25"/>
  <c r="AU66" i="25"/>
  <c r="AV66" i="25"/>
  <c r="AW66" i="25"/>
  <c r="AX66" i="25"/>
  <c r="AY66" i="25"/>
  <c r="AZ66" i="25"/>
  <c r="BA66" i="25"/>
  <c r="BB66" i="25"/>
  <c r="BC66" i="25"/>
  <c r="BD66" i="25"/>
  <c r="BE66" i="25"/>
  <c r="BF66" i="25"/>
  <c r="BG66" i="25"/>
  <c r="BH66" i="25"/>
  <c r="BI66" i="25"/>
  <c r="BJ66" i="25"/>
  <c r="BK66" i="25"/>
  <c r="BL66" i="25"/>
  <c r="BM66" i="25"/>
  <c r="AU67" i="25"/>
  <c r="AV67" i="25"/>
  <c r="AW67" i="25"/>
  <c r="AX67" i="25"/>
  <c r="AY67" i="25"/>
  <c r="AZ67" i="25"/>
  <c r="BA67" i="25"/>
  <c r="BB67" i="25"/>
  <c r="BC67" i="25"/>
  <c r="BD67" i="25"/>
  <c r="BE67" i="25"/>
  <c r="BF67" i="25"/>
  <c r="BG67" i="25"/>
  <c r="BH67" i="25"/>
  <c r="BI67" i="25"/>
  <c r="BJ67" i="25"/>
  <c r="BK67" i="25"/>
  <c r="BL67" i="25"/>
  <c r="BM67" i="25"/>
  <c r="AU68" i="25"/>
  <c r="AV68" i="25"/>
  <c r="AW68" i="25"/>
  <c r="AX68" i="25"/>
  <c r="AY68" i="25"/>
  <c r="AZ68" i="25"/>
  <c r="BA68" i="25"/>
  <c r="BB68" i="25"/>
  <c r="BC68" i="25"/>
  <c r="BD68" i="25"/>
  <c r="BE68" i="25"/>
  <c r="BF68" i="25"/>
  <c r="BG68" i="25"/>
  <c r="BH68" i="25"/>
  <c r="BI68" i="25"/>
  <c r="BJ68" i="25"/>
  <c r="BK68" i="25"/>
  <c r="BL68" i="25"/>
  <c r="BM68" i="25"/>
  <c r="AU69" i="25"/>
  <c r="AV69" i="25"/>
  <c r="AW69" i="25"/>
  <c r="AX69" i="25"/>
  <c r="AY69" i="25"/>
  <c r="AZ69" i="25"/>
  <c r="BA69" i="25"/>
  <c r="BB69" i="25"/>
  <c r="BC69" i="25"/>
  <c r="BD69" i="25"/>
  <c r="BE69" i="25"/>
  <c r="BF69" i="25"/>
  <c r="BG69" i="25"/>
  <c r="BH69" i="25"/>
  <c r="BI69" i="25"/>
  <c r="BJ69" i="25"/>
  <c r="BK69" i="25"/>
  <c r="BL69" i="25"/>
  <c r="BM69" i="25"/>
  <c r="AU70" i="25"/>
  <c r="AV70" i="25"/>
  <c r="AW70" i="25"/>
  <c r="AX70" i="25"/>
  <c r="AY70" i="25"/>
  <c r="AZ70" i="25"/>
  <c r="BA70" i="25"/>
  <c r="BB70" i="25"/>
  <c r="BC70" i="25"/>
  <c r="BD70" i="25"/>
  <c r="BE70" i="25"/>
  <c r="BF70" i="25"/>
  <c r="BG70" i="25"/>
  <c r="BH70" i="25"/>
  <c r="BI70" i="25"/>
  <c r="BJ70" i="25"/>
  <c r="BK70" i="25"/>
  <c r="BL70" i="25"/>
  <c r="BM70" i="25"/>
  <c r="AU71" i="25"/>
  <c r="AV71" i="25"/>
  <c r="AW71" i="25"/>
  <c r="AX71" i="25"/>
  <c r="AY71" i="25"/>
  <c r="AZ71" i="25"/>
  <c r="BA71" i="25"/>
  <c r="BB71" i="25"/>
  <c r="BC71" i="25"/>
  <c r="BD71" i="25"/>
  <c r="BE71" i="25"/>
  <c r="BF71" i="25"/>
  <c r="BG71" i="25"/>
  <c r="BH71" i="25"/>
  <c r="BI71" i="25"/>
  <c r="BJ71" i="25"/>
  <c r="BK71" i="25"/>
  <c r="BL71" i="25"/>
  <c r="BM71" i="25"/>
  <c r="AU72" i="25"/>
  <c r="AV72" i="25"/>
  <c r="AW72" i="25"/>
  <c r="AX72" i="25"/>
  <c r="AY72" i="25"/>
  <c r="AZ72" i="25"/>
  <c r="BA72" i="25"/>
  <c r="BB72" i="25"/>
  <c r="BC72" i="25"/>
  <c r="BD72" i="25"/>
  <c r="BE72" i="25"/>
  <c r="BF72" i="25"/>
  <c r="BG72" i="25"/>
  <c r="BH72" i="25"/>
  <c r="BI72" i="25"/>
  <c r="BJ72" i="25"/>
  <c r="BK72" i="25"/>
  <c r="BL72" i="25"/>
  <c r="BM72" i="25"/>
  <c r="AU73" i="25"/>
  <c r="AV73" i="25"/>
  <c r="AW73" i="25"/>
  <c r="AX73" i="25"/>
  <c r="AY73" i="25"/>
  <c r="AZ73" i="25"/>
  <c r="BA73" i="25"/>
  <c r="BB73" i="25"/>
  <c r="BC73" i="25"/>
  <c r="BD73" i="25"/>
  <c r="BE73" i="25"/>
  <c r="BF73" i="25"/>
  <c r="BG73" i="25"/>
  <c r="BH73" i="25"/>
  <c r="BI73" i="25"/>
  <c r="BJ73" i="25"/>
  <c r="BK73" i="25"/>
  <c r="BL73" i="25"/>
  <c r="BM73" i="25"/>
  <c r="AU74" i="25"/>
  <c r="AV74" i="25"/>
  <c r="AW74" i="25"/>
  <c r="AX74" i="25"/>
  <c r="AY74" i="25"/>
  <c r="AZ74" i="25"/>
  <c r="BA74" i="25"/>
  <c r="BB74" i="25"/>
  <c r="BC74" i="25"/>
  <c r="BD74" i="25"/>
  <c r="BE74" i="25"/>
  <c r="BF74" i="25"/>
  <c r="BG74" i="25"/>
  <c r="BH74" i="25"/>
  <c r="BI74" i="25"/>
  <c r="BJ74" i="25"/>
  <c r="BK74" i="25"/>
  <c r="BL74" i="25"/>
  <c r="BM74" i="25"/>
  <c r="AU75" i="25"/>
  <c r="AV75" i="25"/>
  <c r="AW75" i="25"/>
  <c r="AX75" i="25"/>
  <c r="AY75" i="25"/>
  <c r="AZ75" i="25"/>
  <c r="BA75" i="25"/>
  <c r="BB75" i="25"/>
  <c r="BC75" i="25"/>
  <c r="BD75" i="25"/>
  <c r="BE75" i="25"/>
  <c r="BF75" i="25"/>
  <c r="BG75" i="25"/>
  <c r="BH75" i="25"/>
  <c r="BI75" i="25"/>
  <c r="BJ75" i="25"/>
  <c r="BK75" i="25"/>
  <c r="BL75" i="25"/>
  <c r="BM75" i="25"/>
  <c r="AU76" i="25"/>
  <c r="AV76" i="25"/>
  <c r="AW76" i="25"/>
  <c r="AX76" i="25"/>
  <c r="AY76" i="25"/>
  <c r="AZ76" i="25"/>
  <c r="BA76" i="25"/>
  <c r="BB76" i="25"/>
  <c r="BC76" i="25"/>
  <c r="BD76" i="25"/>
  <c r="BE76" i="25"/>
  <c r="BF76" i="25"/>
  <c r="BG76" i="25"/>
  <c r="BH76" i="25"/>
  <c r="BI76" i="25"/>
  <c r="BJ76" i="25"/>
  <c r="BK76" i="25"/>
  <c r="BL76" i="25"/>
  <c r="BM76" i="25"/>
  <c r="AU77" i="25"/>
  <c r="AV77" i="25"/>
  <c r="AW77" i="25"/>
  <c r="AX77" i="25"/>
  <c r="AY77" i="25"/>
  <c r="AZ77" i="25"/>
  <c r="BA77" i="25"/>
  <c r="BB77" i="25"/>
  <c r="BC77" i="25"/>
  <c r="BD77" i="25"/>
  <c r="BE77" i="25"/>
  <c r="BF77" i="25"/>
  <c r="BG77" i="25"/>
  <c r="BH77" i="25"/>
  <c r="BI77" i="25"/>
  <c r="BJ77" i="25"/>
  <c r="BK77" i="25"/>
  <c r="BL77" i="25"/>
  <c r="BM77" i="25"/>
  <c r="AU78" i="25"/>
  <c r="AV78" i="25"/>
  <c r="AW78" i="25"/>
  <c r="AX78" i="25"/>
  <c r="AY78" i="25"/>
  <c r="AZ78" i="25"/>
  <c r="BA78" i="25"/>
  <c r="BB78" i="25"/>
  <c r="BC78" i="25"/>
  <c r="BD78" i="25"/>
  <c r="BE78" i="25"/>
  <c r="BF78" i="25"/>
  <c r="BG78" i="25"/>
  <c r="BH78" i="25"/>
  <c r="BI78" i="25"/>
  <c r="BJ78" i="25"/>
  <c r="BK78" i="25"/>
  <c r="BL78" i="25"/>
  <c r="BM78" i="25"/>
  <c r="AU79" i="25"/>
  <c r="AV79" i="25"/>
  <c r="AW79" i="25"/>
  <c r="AX79" i="25"/>
  <c r="AY79" i="25"/>
  <c r="AZ79" i="25"/>
  <c r="BA79" i="25"/>
  <c r="BB79" i="25"/>
  <c r="BC79" i="25"/>
  <c r="BD79" i="25"/>
  <c r="BE79" i="25"/>
  <c r="BF79" i="25"/>
  <c r="BG79" i="25"/>
  <c r="BH79" i="25"/>
  <c r="BI79" i="25"/>
  <c r="BJ79" i="25"/>
  <c r="BK79" i="25"/>
  <c r="BL79" i="25"/>
  <c r="BM79" i="25"/>
  <c r="AU80" i="25"/>
  <c r="AV80" i="25"/>
  <c r="AW80" i="25"/>
  <c r="AX80" i="25"/>
  <c r="AY80" i="25"/>
  <c r="AZ80" i="25"/>
  <c r="BA80" i="25"/>
  <c r="BB80" i="25"/>
  <c r="BC80" i="25"/>
  <c r="BD80" i="25"/>
  <c r="BE80" i="25"/>
  <c r="BF80" i="25"/>
  <c r="BG80" i="25"/>
  <c r="BH80" i="25"/>
  <c r="BI80" i="25"/>
  <c r="BJ80" i="25"/>
  <c r="BK80" i="25"/>
  <c r="BL80" i="25"/>
  <c r="BM80" i="25"/>
  <c r="P97" i="25"/>
  <c r="T97" i="25"/>
  <c r="AA97" i="25" s="1"/>
  <c r="P98" i="25"/>
  <c r="T98" i="25"/>
  <c r="AA98" i="25" s="1"/>
  <c r="N97" i="25"/>
  <c r="M89" i="25"/>
  <c r="R59" i="25"/>
  <c r="S59" i="25"/>
  <c r="T59" i="25"/>
  <c r="U59" i="25"/>
  <c r="V59" i="25"/>
  <c r="S62" i="25"/>
  <c r="T65" i="25"/>
  <c r="V71" i="25"/>
  <c r="Q71" i="25" s="1"/>
  <c r="R75" i="25"/>
  <c r="U80" i="25"/>
  <c r="O59" i="25"/>
  <c r="N59" i="25"/>
  <c r="N73" i="25"/>
  <c r="Y32" i="25"/>
  <c r="N61" i="25" s="1"/>
  <c r="P61" i="25" s="1"/>
  <c r="P90" i="25" s="1"/>
  <c r="Y33" i="25"/>
  <c r="N62" i="25" s="1"/>
  <c r="P62" i="25" s="1"/>
  <c r="Y34" i="25"/>
  <c r="N63" i="25" s="1"/>
  <c r="P63" i="25" s="1"/>
  <c r="Y35" i="25"/>
  <c r="N64" i="25" s="1"/>
  <c r="Y36" i="25"/>
  <c r="N65" i="25" s="1"/>
  <c r="Y37" i="25"/>
  <c r="N66" i="25" s="1"/>
  <c r="Y38" i="25"/>
  <c r="N67" i="25" s="1"/>
  <c r="Y39" i="25"/>
  <c r="N68" i="25" s="1"/>
  <c r="Y40" i="25"/>
  <c r="N69" i="25" s="1"/>
  <c r="Y41" i="25"/>
  <c r="N70" i="25" s="1"/>
  <c r="Y42" i="25"/>
  <c r="N71" i="25" s="1"/>
  <c r="Y43" i="25"/>
  <c r="N72" i="25" s="1"/>
  <c r="Y44" i="25"/>
  <c r="Y45" i="25"/>
  <c r="N74" i="25" s="1"/>
  <c r="Y46" i="25"/>
  <c r="N75" i="25" s="1"/>
  <c r="Y47" i="25"/>
  <c r="N76" i="25" s="1"/>
  <c r="Y48" i="25"/>
  <c r="N77" i="25" s="1"/>
  <c r="Y49" i="25"/>
  <c r="N78" i="25" s="1"/>
  <c r="Y50" i="25"/>
  <c r="N79" i="25" s="1"/>
  <c r="Y51" i="25"/>
  <c r="N80" i="25" s="1"/>
  <c r="M68" i="25"/>
  <c r="M4" i="25"/>
  <c r="M5" i="25"/>
  <c r="M6" i="25"/>
  <c r="M7" i="25"/>
  <c r="M8" i="25"/>
  <c r="M9" i="25"/>
  <c r="M10" i="25"/>
  <c r="M11" i="25"/>
  <c r="M12" i="25"/>
  <c r="M13" i="25"/>
  <c r="M14" i="25"/>
  <c r="M15" i="25"/>
  <c r="M16" i="25"/>
  <c r="M17" i="25"/>
  <c r="M18" i="25"/>
  <c r="M19" i="25"/>
  <c r="M20" i="25"/>
  <c r="M21" i="25"/>
  <c r="M22" i="25"/>
  <c r="M23" i="25"/>
  <c r="M24" i="25"/>
  <c r="M31" i="25"/>
  <c r="M60" i="25" s="1"/>
  <c r="M32" i="25"/>
  <c r="M61" i="25" s="1"/>
  <c r="M33" i="25"/>
  <c r="M62" i="25" s="1"/>
  <c r="M34" i="25"/>
  <c r="M63" i="25" s="1"/>
  <c r="M35" i="25"/>
  <c r="M64" i="25" s="1"/>
  <c r="M36" i="25"/>
  <c r="M65" i="25" s="1"/>
  <c r="M37" i="25"/>
  <c r="M66" i="25" s="1"/>
  <c r="M38" i="25"/>
  <c r="M67" i="25" s="1"/>
  <c r="M39" i="25"/>
  <c r="M40" i="25"/>
  <c r="M69" i="25" s="1"/>
  <c r="M41" i="25"/>
  <c r="M70" i="25" s="1"/>
  <c r="M42" i="25"/>
  <c r="M71" i="25" s="1"/>
  <c r="M43" i="25"/>
  <c r="M72" i="25" s="1"/>
  <c r="M44" i="25"/>
  <c r="M73" i="25" s="1"/>
  <c r="M45" i="25"/>
  <c r="M74" i="25" s="1"/>
  <c r="Q99" i="25" s="1"/>
  <c r="M46" i="25"/>
  <c r="M75" i="25" s="1"/>
  <c r="T99" i="25" s="1"/>
  <c r="AA99" i="25" s="1"/>
  <c r="M47" i="25"/>
  <c r="M76" i="25" s="1"/>
  <c r="M48" i="25"/>
  <c r="M77" i="25" s="1"/>
  <c r="M49" i="25"/>
  <c r="M78" i="25" s="1"/>
  <c r="Q101" i="25" s="1"/>
  <c r="M50" i="25"/>
  <c r="M79" i="25" s="1"/>
  <c r="T95" i="25" s="1"/>
  <c r="M51" i="25"/>
  <c r="M80" i="25" s="1"/>
  <c r="K77" i="25"/>
  <c r="K70" i="25"/>
  <c r="K68" i="25"/>
  <c r="K67" i="25"/>
  <c r="P32" i="24"/>
  <c r="K33" i="24"/>
  <c r="L32" i="24"/>
  <c r="P31" i="24"/>
  <c r="P33" i="24"/>
  <c r="P34" i="24"/>
  <c r="P36" i="24"/>
  <c r="P35" i="24"/>
  <c r="Q32" i="25"/>
  <c r="R32" i="25"/>
  <c r="S32" i="25"/>
  <c r="T32" i="25"/>
  <c r="R61" i="25" s="1"/>
  <c r="U32" i="25"/>
  <c r="S61" i="25" s="1"/>
  <c r="V32" i="25"/>
  <c r="T61" i="25" s="1"/>
  <c r="T90" i="25" s="1"/>
  <c r="W32" i="25"/>
  <c r="U61" i="25" s="1"/>
  <c r="X32" i="25"/>
  <c r="V61" i="25" s="1"/>
  <c r="Q33" i="25"/>
  <c r="R33" i="25"/>
  <c r="S33" i="25"/>
  <c r="T33" i="25"/>
  <c r="R62" i="25" s="1"/>
  <c r="U33" i="25"/>
  <c r="V33" i="25"/>
  <c r="T62" i="25" s="1"/>
  <c r="W33" i="25"/>
  <c r="U62" i="25" s="1"/>
  <c r="X33" i="25"/>
  <c r="V62" i="25" s="1"/>
  <c r="Q62" i="25" s="1"/>
  <c r="Q34" i="25"/>
  <c r="R34" i="25"/>
  <c r="S34" i="25"/>
  <c r="T34" i="25"/>
  <c r="R63" i="25" s="1"/>
  <c r="U34" i="25"/>
  <c r="S63" i="25" s="1"/>
  <c r="V34" i="25"/>
  <c r="T63" i="25" s="1"/>
  <c r="W34" i="25"/>
  <c r="U63" i="25" s="1"/>
  <c r="X34" i="25"/>
  <c r="V63" i="25" s="1"/>
  <c r="Q63" i="25" s="1"/>
  <c r="Q35" i="25"/>
  <c r="R35" i="25"/>
  <c r="S35" i="25"/>
  <c r="T35" i="25"/>
  <c r="R64" i="25" s="1"/>
  <c r="U35" i="25"/>
  <c r="S64" i="25" s="1"/>
  <c r="V35" i="25"/>
  <c r="T64" i="25" s="1"/>
  <c r="W35" i="25"/>
  <c r="U64" i="25" s="1"/>
  <c r="Q64" i="25" s="1"/>
  <c r="X35" i="25"/>
  <c r="V64" i="25" s="1"/>
  <c r="Q36" i="25"/>
  <c r="R36" i="25"/>
  <c r="S36" i="25"/>
  <c r="T36" i="25"/>
  <c r="R65" i="25" s="1"/>
  <c r="U36" i="25"/>
  <c r="S65" i="25" s="1"/>
  <c r="V36" i="25"/>
  <c r="W36" i="25"/>
  <c r="U65" i="25" s="1"/>
  <c r="X36" i="25"/>
  <c r="V65" i="25" s="1"/>
  <c r="Q65" i="25" s="1"/>
  <c r="Q37" i="25"/>
  <c r="R37" i="25"/>
  <c r="S37" i="25"/>
  <c r="T37" i="25"/>
  <c r="R66" i="25" s="1"/>
  <c r="U37" i="25"/>
  <c r="S66" i="25" s="1"/>
  <c r="V37" i="25"/>
  <c r="T66" i="25" s="1"/>
  <c r="W37" i="25"/>
  <c r="U66" i="25" s="1"/>
  <c r="X37" i="25"/>
  <c r="V66" i="25" s="1"/>
  <c r="Q66" i="25" s="1"/>
  <c r="Q38" i="25"/>
  <c r="R38" i="25"/>
  <c r="S38" i="25"/>
  <c r="T38" i="25"/>
  <c r="R67" i="25" s="1"/>
  <c r="U38" i="25"/>
  <c r="S67" i="25" s="1"/>
  <c r="V38" i="25"/>
  <c r="T67" i="25" s="1"/>
  <c r="AA67" i="25" s="1"/>
  <c r="W38" i="25"/>
  <c r="U67" i="25" s="1"/>
  <c r="X38" i="25"/>
  <c r="V67" i="25" s="1"/>
  <c r="Q67" i="25" s="1"/>
  <c r="Q39" i="25"/>
  <c r="R39" i="25"/>
  <c r="S39" i="25"/>
  <c r="T39" i="25"/>
  <c r="R68" i="25" s="1"/>
  <c r="U39" i="25"/>
  <c r="S68" i="25" s="1"/>
  <c r="V39" i="25"/>
  <c r="T68" i="25" s="1"/>
  <c r="AA68" i="25" s="1"/>
  <c r="W39" i="25"/>
  <c r="U68" i="25" s="1"/>
  <c r="Q68" i="25" s="1"/>
  <c r="X39" i="25"/>
  <c r="V68" i="25" s="1"/>
  <c r="Q40" i="25"/>
  <c r="R40" i="25"/>
  <c r="S40" i="25"/>
  <c r="T40" i="25"/>
  <c r="R69" i="25" s="1"/>
  <c r="U40" i="25"/>
  <c r="S69" i="25" s="1"/>
  <c r="V40" i="25"/>
  <c r="T69" i="25" s="1"/>
  <c r="AA69" i="25" s="1"/>
  <c r="W40" i="25"/>
  <c r="U69" i="25" s="1"/>
  <c r="X40" i="25"/>
  <c r="V69" i="25" s="1"/>
  <c r="Q41" i="25"/>
  <c r="R41" i="25"/>
  <c r="S41" i="25"/>
  <c r="T41" i="25"/>
  <c r="R70" i="25" s="1"/>
  <c r="U41" i="25"/>
  <c r="S70" i="25" s="1"/>
  <c r="V41" i="25"/>
  <c r="T70" i="25" s="1"/>
  <c r="AA70" i="25" s="1"/>
  <c r="W41" i="25"/>
  <c r="U70" i="25" s="1"/>
  <c r="X41" i="25"/>
  <c r="V70" i="25" s="1"/>
  <c r="Q70" i="25" s="1"/>
  <c r="Q42" i="25"/>
  <c r="R42" i="25"/>
  <c r="S42" i="25"/>
  <c r="T42" i="25"/>
  <c r="R71" i="25" s="1"/>
  <c r="U42" i="25"/>
  <c r="S71" i="25" s="1"/>
  <c r="V42" i="25"/>
  <c r="T71" i="25" s="1"/>
  <c r="AA71" i="25" s="1"/>
  <c r="W42" i="25"/>
  <c r="U71" i="25" s="1"/>
  <c r="X42" i="25"/>
  <c r="Q43" i="25"/>
  <c r="R43" i="25"/>
  <c r="S43" i="25"/>
  <c r="T43" i="25"/>
  <c r="R72" i="25" s="1"/>
  <c r="U43" i="25"/>
  <c r="S72" i="25" s="1"/>
  <c r="V43" i="25"/>
  <c r="T72" i="25" s="1"/>
  <c r="AA72" i="25" s="1"/>
  <c r="W43" i="25"/>
  <c r="U72" i="25" s="1"/>
  <c r="Q72" i="25" s="1"/>
  <c r="X43" i="25"/>
  <c r="V72" i="25" s="1"/>
  <c r="Q44" i="25"/>
  <c r="R44" i="25"/>
  <c r="S44" i="25"/>
  <c r="T44" i="25"/>
  <c r="R73" i="25" s="1"/>
  <c r="U44" i="25"/>
  <c r="S73" i="25" s="1"/>
  <c r="V44" i="25"/>
  <c r="T73" i="25" s="1"/>
  <c r="W44" i="25"/>
  <c r="U73" i="25" s="1"/>
  <c r="X44" i="25"/>
  <c r="V73" i="25" s="1"/>
  <c r="Q45" i="25"/>
  <c r="R45" i="25"/>
  <c r="S45" i="25"/>
  <c r="T45" i="25"/>
  <c r="R74" i="25" s="1"/>
  <c r="U45" i="25"/>
  <c r="S74" i="25" s="1"/>
  <c r="V45" i="25"/>
  <c r="T74" i="25" s="1"/>
  <c r="AA74" i="25" s="1"/>
  <c r="W45" i="25"/>
  <c r="U74" i="25" s="1"/>
  <c r="X45" i="25"/>
  <c r="V74" i="25" s="1"/>
  <c r="Q74" i="25" s="1"/>
  <c r="Q46" i="25"/>
  <c r="R46" i="25"/>
  <c r="S46" i="25"/>
  <c r="T46" i="25"/>
  <c r="U46" i="25"/>
  <c r="S75" i="25" s="1"/>
  <c r="V46" i="25"/>
  <c r="T75" i="25" s="1"/>
  <c r="AA75" i="25" s="1"/>
  <c r="W46" i="25"/>
  <c r="U75" i="25" s="1"/>
  <c r="X46" i="25"/>
  <c r="V75" i="25" s="1"/>
  <c r="Q75" i="25" s="1"/>
  <c r="Q47" i="25"/>
  <c r="R47" i="25"/>
  <c r="S47" i="25"/>
  <c r="T47" i="25"/>
  <c r="R76" i="25" s="1"/>
  <c r="U47" i="25"/>
  <c r="S76" i="25" s="1"/>
  <c r="V47" i="25"/>
  <c r="T76" i="25" s="1"/>
  <c r="AA76" i="25" s="1"/>
  <c r="W47" i="25"/>
  <c r="U76" i="25" s="1"/>
  <c r="Q76" i="25" s="1"/>
  <c r="X47" i="25"/>
  <c r="V76" i="25" s="1"/>
  <c r="Q48" i="25"/>
  <c r="R48" i="25"/>
  <c r="S48" i="25"/>
  <c r="T48" i="25"/>
  <c r="R77" i="25" s="1"/>
  <c r="U48" i="25"/>
  <c r="S77" i="25" s="1"/>
  <c r="V48" i="25"/>
  <c r="T77" i="25" s="1"/>
  <c r="W48" i="25"/>
  <c r="U77" i="25" s="1"/>
  <c r="X48" i="25"/>
  <c r="V77" i="25" s="1"/>
  <c r="Q49" i="25"/>
  <c r="R49" i="25"/>
  <c r="S49" i="25"/>
  <c r="T49" i="25"/>
  <c r="R78" i="25" s="1"/>
  <c r="U49" i="25"/>
  <c r="S78" i="25" s="1"/>
  <c r="V49" i="25"/>
  <c r="T78" i="25" s="1"/>
  <c r="W49" i="25"/>
  <c r="U78" i="25" s="1"/>
  <c r="X49" i="25"/>
  <c r="V78" i="25" s="1"/>
  <c r="Q78" i="25" s="1"/>
  <c r="Q50" i="25"/>
  <c r="R50" i="25"/>
  <c r="S50" i="25"/>
  <c r="T50" i="25"/>
  <c r="R79" i="25" s="1"/>
  <c r="U50" i="25"/>
  <c r="S79" i="25" s="1"/>
  <c r="V50" i="25"/>
  <c r="T79" i="25" s="1"/>
  <c r="AA79" i="25" s="1"/>
  <c r="W50" i="25"/>
  <c r="U79" i="25" s="1"/>
  <c r="X50" i="25"/>
  <c r="V79" i="25" s="1"/>
  <c r="Q79" i="25" s="1"/>
  <c r="Q51" i="25"/>
  <c r="R51" i="25"/>
  <c r="S51" i="25"/>
  <c r="T51" i="25"/>
  <c r="R80" i="25" s="1"/>
  <c r="U51" i="25"/>
  <c r="S80" i="25" s="1"/>
  <c r="V51" i="25"/>
  <c r="T80" i="25" s="1"/>
  <c r="W51" i="25"/>
  <c r="X51" i="25"/>
  <c r="V80" i="25" s="1"/>
  <c r="Q80" i="25" s="1"/>
  <c r="N5" i="25"/>
  <c r="N32" i="25" s="1"/>
  <c r="N6" i="25"/>
  <c r="N33" i="25" s="1"/>
  <c r="L31" i="24"/>
  <c r="K48" i="25"/>
  <c r="K41" i="25"/>
  <c r="K39" i="25"/>
  <c r="K38" i="25"/>
  <c r="P24" i="25"/>
  <c r="P51" i="25" s="1"/>
  <c r="O24" i="25"/>
  <c r="O51" i="25" s="1"/>
  <c r="N24" i="25"/>
  <c r="Z24" i="25" s="1"/>
  <c r="P23" i="25"/>
  <c r="P50" i="25" s="1"/>
  <c r="O23" i="25"/>
  <c r="O50" i="25" s="1"/>
  <c r="N23" i="25"/>
  <c r="Z23" i="25" s="1"/>
  <c r="P22" i="25"/>
  <c r="P49" i="25" s="1"/>
  <c r="O22" i="25"/>
  <c r="O49" i="25" s="1"/>
  <c r="N22" i="25"/>
  <c r="P21" i="25"/>
  <c r="P48" i="25" s="1"/>
  <c r="O21" i="25"/>
  <c r="O48" i="25" s="1"/>
  <c r="N21" i="25"/>
  <c r="P20" i="25"/>
  <c r="P47" i="25" s="1"/>
  <c r="O20" i="25"/>
  <c r="O47" i="25" s="1"/>
  <c r="N20" i="25"/>
  <c r="Z20" i="25" s="1"/>
  <c r="P19" i="25"/>
  <c r="P46" i="25" s="1"/>
  <c r="O19" i="25"/>
  <c r="O46" i="25" s="1"/>
  <c r="N19" i="25"/>
  <c r="P18" i="25"/>
  <c r="P45" i="25" s="1"/>
  <c r="O18" i="25"/>
  <c r="O45" i="25" s="1"/>
  <c r="N18" i="25"/>
  <c r="P17" i="25"/>
  <c r="P44" i="25" s="1"/>
  <c r="O17" i="25"/>
  <c r="O44" i="25" s="1"/>
  <c r="N17" i="25"/>
  <c r="P16" i="25"/>
  <c r="P43" i="25" s="1"/>
  <c r="O16" i="25"/>
  <c r="O43" i="25" s="1"/>
  <c r="N16" i="25"/>
  <c r="Z16" i="25" s="1"/>
  <c r="P15" i="25"/>
  <c r="P42" i="25" s="1"/>
  <c r="O15" i="25"/>
  <c r="O42" i="25" s="1"/>
  <c r="N15" i="25"/>
  <c r="P14" i="25"/>
  <c r="P41" i="25" s="1"/>
  <c r="O14" i="25"/>
  <c r="O41" i="25" s="1"/>
  <c r="N14" i="25"/>
  <c r="P13" i="25"/>
  <c r="P40" i="25" s="1"/>
  <c r="O13" i="25"/>
  <c r="O40" i="25" s="1"/>
  <c r="N13" i="25"/>
  <c r="P12" i="25"/>
  <c r="P39" i="25" s="1"/>
  <c r="O12" i="25"/>
  <c r="O39" i="25" s="1"/>
  <c r="N12" i="25"/>
  <c r="Z12" i="25" s="1"/>
  <c r="P11" i="25"/>
  <c r="P38" i="25" s="1"/>
  <c r="O11" i="25"/>
  <c r="O38" i="25" s="1"/>
  <c r="N11" i="25"/>
  <c r="P10" i="25"/>
  <c r="P37" i="25" s="1"/>
  <c r="O10" i="25"/>
  <c r="O37" i="25" s="1"/>
  <c r="N10" i="25"/>
  <c r="P9" i="25"/>
  <c r="P36" i="25" s="1"/>
  <c r="O9" i="25"/>
  <c r="O36" i="25" s="1"/>
  <c r="N9" i="25"/>
  <c r="P8" i="25"/>
  <c r="P35" i="25" s="1"/>
  <c r="O8" i="25"/>
  <c r="O35" i="25" s="1"/>
  <c r="N8" i="25"/>
  <c r="Z8" i="25" s="1"/>
  <c r="P7" i="25"/>
  <c r="P34" i="25" s="1"/>
  <c r="O7" i="25"/>
  <c r="O34" i="25" s="1"/>
  <c r="N7" i="25"/>
  <c r="P6" i="25"/>
  <c r="P33" i="25" s="1"/>
  <c r="O6" i="25"/>
  <c r="O33" i="25" s="1"/>
  <c r="P5" i="25"/>
  <c r="P32" i="25" s="1"/>
  <c r="O5" i="25"/>
  <c r="O32" i="25" s="1"/>
  <c r="K21" i="25"/>
  <c r="K14" i="25"/>
  <c r="K12" i="25"/>
  <c r="K11" i="25"/>
  <c r="J9" i="10"/>
  <c r="J10" i="10"/>
  <c r="K13" i="22"/>
  <c r="AA73" i="25" l="1"/>
  <c r="T93" i="25"/>
  <c r="AA93" i="25" s="1"/>
  <c r="Q93" i="25"/>
  <c r="Q77" i="25"/>
  <c r="Q73" i="25"/>
  <c r="Q69" i="25"/>
  <c r="Q61" i="25"/>
  <c r="Q90" i="25" s="1"/>
  <c r="Q91" i="25"/>
  <c r="N91" i="25"/>
  <c r="T94" i="25"/>
  <c r="T102" i="25"/>
  <c r="AA102" i="25" s="1"/>
  <c r="P101" i="25"/>
  <c r="P96" i="25"/>
  <c r="AA78" i="25"/>
  <c r="AA64" i="25"/>
  <c r="N102" i="25"/>
  <c r="N94" i="25"/>
  <c r="N93" i="25"/>
  <c r="N90" i="25"/>
  <c r="S102" i="25"/>
  <c r="O102" i="25"/>
  <c r="W102" i="25" s="1"/>
  <c r="S95" i="25"/>
  <c r="S101" i="25"/>
  <c r="O101" i="25"/>
  <c r="Y101" i="25" s="1"/>
  <c r="S100" i="25"/>
  <c r="S94" i="25"/>
  <c r="S99" i="25"/>
  <c r="O99" i="25"/>
  <c r="Z99" i="25" s="1"/>
  <c r="S98" i="25"/>
  <c r="O98" i="25"/>
  <c r="Y98" i="25" s="1"/>
  <c r="S97" i="25"/>
  <c r="O97" i="25"/>
  <c r="X97" i="25" s="1"/>
  <c r="S93" i="25"/>
  <c r="S92" i="25"/>
  <c r="S96" i="25"/>
  <c r="O96" i="25"/>
  <c r="Y96" i="25" s="1"/>
  <c r="S91" i="25"/>
  <c r="S90" i="25"/>
  <c r="N100" i="25"/>
  <c r="P102" i="25"/>
  <c r="T101" i="25"/>
  <c r="AA101" i="25" s="1"/>
  <c r="P99" i="25"/>
  <c r="T92" i="25"/>
  <c r="AA92" i="25" s="1"/>
  <c r="T96" i="25"/>
  <c r="AA96" i="25" s="1"/>
  <c r="Z33" i="25"/>
  <c r="O62" i="25" s="1"/>
  <c r="Z62" i="25" s="1"/>
  <c r="AA80" i="25"/>
  <c r="N95" i="25"/>
  <c r="N99" i="25"/>
  <c r="N92" i="25"/>
  <c r="V102" i="25"/>
  <c r="R102" i="25"/>
  <c r="V95" i="25"/>
  <c r="R95" i="25"/>
  <c r="V101" i="25"/>
  <c r="R101" i="25"/>
  <c r="V100" i="25"/>
  <c r="R100" i="25"/>
  <c r="V94" i="25"/>
  <c r="R94" i="25"/>
  <c r="V99" i="25"/>
  <c r="R99" i="25"/>
  <c r="V98" i="25"/>
  <c r="R98" i="25"/>
  <c r="V97" i="25"/>
  <c r="R97" i="25"/>
  <c r="V93" i="25"/>
  <c r="R93" i="25"/>
  <c r="V92" i="25"/>
  <c r="R92" i="25"/>
  <c r="V96" i="25"/>
  <c r="R96" i="25"/>
  <c r="V91" i="25"/>
  <c r="R91" i="25"/>
  <c r="V90" i="25"/>
  <c r="R90" i="25"/>
  <c r="T100" i="25"/>
  <c r="AA100" i="25" s="1"/>
  <c r="T91" i="25"/>
  <c r="Z32" i="25"/>
  <c r="O61" i="25" s="1"/>
  <c r="N101" i="25"/>
  <c r="N98" i="25"/>
  <c r="N96" i="25"/>
  <c r="U102" i="25"/>
  <c r="Q102" i="25"/>
  <c r="U95" i="25"/>
  <c r="AA95" i="25" s="1"/>
  <c r="Q95" i="25"/>
  <c r="U101" i="25"/>
  <c r="U100" i="25"/>
  <c r="Q100" i="25"/>
  <c r="U94" i="25"/>
  <c r="Q94" i="25"/>
  <c r="U99" i="25"/>
  <c r="U98" i="25"/>
  <c r="Q98" i="25"/>
  <c r="U97" i="25"/>
  <c r="Q97" i="25"/>
  <c r="U93" i="25"/>
  <c r="U92" i="25"/>
  <c r="Q92" i="25"/>
  <c r="U96" i="25"/>
  <c r="Q96" i="25"/>
  <c r="U91" i="25"/>
  <c r="U90" i="25"/>
  <c r="AA90" i="25" s="1"/>
  <c r="X101" i="25"/>
  <c r="Y99" i="25"/>
  <c r="X98" i="25"/>
  <c r="W97" i="25"/>
  <c r="X96" i="25"/>
  <c r="Z101" i="25"/>
  <c r="Z98" i="25"/>
  <c r="Z96" i="25"/>
  <c r="Y102" i="25"/>
  <c r="W101" i="25"/>
  <c r="X99" i="25"/>
  <c r="W98" i="25"/>
  <c r="W96" i="25"/>
  <c r="Z97" i="25"/>
  <c r="X102" i="25"/>
  <c r="W99" i="25"/>
  <c r="Y97" i="25"/>
  <c r="Z102" i="25"/>
  <c r="W62" i="25"/>
  <c r="X62" i="25"/>
  <c r="Y62" i="25"/>
  <c r="P69" i="25"/>
  <c r="X61" i="25"/>
  <c r="N47" i="25"/>
  <c r="Z47" i="25" s="1"/>
  <c r="O76" i="25" s="1"/>
  <c r="Z76" i="25" s="1"/>
  <c r="AA63" i="25"/>
  <c r="AA62" i="25"/>
  <c r="AA77" i="25"/>
  <c r="AA61" i="25"/>
  <c r="Z6" i="25"/>
  <c r="Z10" i="25"/>
  <c r="N37" i="25"/>
  <c r="Z37" i="25" s="1"/>
  <c r="O66" i="25" s="1"/>
  <c r="Z66" i="25" s="1"/>
  <c r="Z14" i="25"/>
  <c r="N41" i="25"/>
  <c r="Z41" i="25" s="1"/>
  <c r="O70" i="25" s="1"/>
  <c r="Z70" i="25" s="1"/>
  <c r="Z18" i="25"/>
  <c r="N45" i="25"/>
  <c r="Z22" i="25"/>
  <c r="N49" i="25"/>
  <c r="Z49" i="25" s="1"/>
  <c r="O78" i="25" s="1"/>
  <c r="N50" i="25"/>
  <c r="Z50" i="25" s="1"/>
  <c r="O79" i="25" s="1"/>
  <c r="Z79" i="25" s="1"/>
  <c r="AA66" i="25"/>
  <c r="N35" i="25"/>
  <c r="Z35" i="25" s="1"/>
  <c r="O64" i="25" s="1"/>
  <c r="Z64" i="25" s="1"/>
  <c r="P71" i="25"/>
  <c r="Z5" i="25"/>
  <c r="Z9" i="25"/>
  <c r="N36" i="25"/>
  <c r="Z36" i="25" s="1"/>
  <c r="O65" i="25" s="1"/>
  <c r="Z65" i="25" s="1"/>
  <c r="Z13" i="25"/>
  <c r="N40" i="25"/>
  <c r="Z40" i="25" s="1"/>
  <c r="O69" i="25" s="1"/>
  <c r="Z69" i="25" s="1"/>
  <c r="Z17" i="25"/>
  <c r="N44" i="25"/>
  <c r="Z44" i="25" s="1"/>
  <c r="O73" i="25" s="1"/>
  <c r="Z73" i="25" s="1"/>
  <c r="Z21" i="25"/>
  <c r="N48" i="25"/>
  <c r="Z48" i="25" s="1"/>
  <c r="O77" i="25" s="1"/>
  <c r="Z77" i="25" s="1"/>
  <c r="N51" i="25"/>
  <c r="Z51" i="25" s="1"/>
  <c r="O80" i="25" s="1"/>
  <c r="Z80" i="25" s="1"/>
  <c r="N39" i="25"/>
  <c r="Z39" i="25" s="1"/>
  <c r="O68" i="25" s="1"/>
  <c r="Z68" i="25" s="1"/>
  <c r="P70" i="25"/>
  <c r="P66" i="25"/>
  <c r="Z7" i="25"/>
  <c r="N34" i="25"/>
  <c r="Z34" i="25" s="1"/>
  <c r="O63" i="25" s="1"/>
  <c r="Z63" i="25" s="1"/>
  <c r="Z11" i="25"/>
  <c r="N38" i="25"/>
  <c r="Z38" i="25" s="1"/>
  <c r="O67" i="25" s="1"/>
  <c r="Z67" i="25" s="1"/>
  <c r="Z15" i="25"/>
  <c r="N42" i="25"/>
  <c r="Z42" i="25" s="1"/>
  <c r="O71" i="25" s="1"/>
  <c r="Z71" i="25" s="1"/>
  <c r="Z19" i="25"/>
  <c r="N46" i="25"/>
  <c r="Z46" i="25" s="1"/>
  <c r="O75" i="25" s="1"/>
  <c r="Z75" i="25" s="1"/>
  <c r="N43" i="25"/>
  <c r="Z43" i="25" s="1"/>
  <c r="O72" i="25" s="1"/>
  <c r="Z72" i="25" s="1"/>
  <c r="AA65" i="25"/>
  <c r="Z45" i="25"/>
  <c r="O74" i="25" s="1"/>
  <c r="Z74" i="25" s="1"/>
  <c r="E42" i="5"/>
  <c r="E43" i="5"/>
  <c r="E44" i="5"/>
  <c r="L51" i="5"/>
  <c r="Z78" i="25" l="1"/>
  <c r="O95" i="25"/>
  <c r="P72" i="25"/>
  <c r="O91" i="25"/>
  <c r="O92" i="25"/>
  <c r="O100" i="25"/>
  <c r="Z61" i="25"/>
  <c r="Y61" i="25"/>
  <c r="W61" i="25"/>
  <c r="AA91" i="25"/>
  <c r="O90" i="25"/>
  <c r="O93" i="25"/>
  <c r="O94" i="25"/>
  <c r="AA94" i="25"/>
  <c r="W74" i="25"/>
  <c r="X74" i="25"/>
  <c r="Y74" i="25"/>
  <c r="W75" i="25"/>
  <c r="X75" i="25"/>
  <c r="Y75" i="25"/>
  <c r="W67" i="25"/>
  <c r="X67" i="25"/>
  <c r="Y67" i="25"/>
  <c r="W68" i="25"/>
  <c r="X68" i="25"/>
  <c r="Y68" i="25"/>
  <c r="W73" i="25"/>
  <c r="X73" i="25"/>
  <c r="Y73" i="25"/>
  <c r="W65" i="25"/>
  <c r="X65" i="25"/>
  <c r="Y65" i="25"/>
  <c r="P67" i="25"/>
  <c r="W64" i="25"/>
  <c r="X64" i="25"/>
  <c r="Y64" i="25"/>
  <c r="W80" i="25"/>
  <c r="X80" i="25"/>
  <c r="Y80" i="25"/>
  <c r="W66" i="25"/>
  <c r="X66" i="25"/>
  <c r="Y66" i="25"/>
  <c r="W76" i="25"/>
  <c r="X76" i="25"/>
  <c r="Y76" i="25"/>
  <c r="P76" i="25"/>
  <c r="W72" i="25"/>
  <c r="X72" i="25"/>
  <c r="Y72" i="25"/>
  <c r="W71" i="25"/>
  <c r="X71" i="25"/>
  <c r="Y71" i="25"/>
  <c r="W63" i="25"/>
  <c r="X63" i="25"/>
  <c r="Y63" i="25"/>
  <c r="P74" i="25"/>
  <c r="P94" i="25" s="1"/>
  <c r="W77" i="25"/>
  <c r="X77" i="25"/>
  <c r="Y77" i="25"/>
  <c r="W69" i="25"/>
  <c r="X69" i="25"/>
  <c r="Y69" i="25"/>
  <c r="P75" i="25"/>
  <c r="P100" i="25" s="1"/>
  <c r="W79" i="25"/>
  <c r="X79" i="25"/>
  <c r="Y79" i="25"/>
  <c r="P77" i="25"/>
  <c r="P64" i="25"/>
  <c r="P91" i="25" s="1"/>
  <c r="P80" i="25"/>
  <c r="W78" i="25"/>
  <c r="X78" i="25"/>
  <c r="Y78" i="25"/>
  <c r="P78" i="25"/>
  <c r="P95" i="25" s="1"/>
  <c r="P73" i="25"/>
  <c r="P93" i="25" s="1"/>
  <c r="P79" i="25"/>
  <c r="W70" i="25"/>
  <c r="X70" i="25"/>
  <c r="Y70" i="25"/>
  <c r="P68" i="25"/>
  <c r="P92" i="25" s="1"/>
  <c r="P65" i="25"/>
  <c r="J123" i="5"/>
  <c r="J115" i="5"/>
  <c r="Q69" i="24"/>
  <c r="Q70" i="24"/>
  <c r="Q71" i="24"/>
  <c r="N66" i="24" a="1"/>
  <c r="N66" i="24" s="1"/>
  <c r="I55" i="24"/>
  <c r="P85" i="24" s="1"/>
  <c r="P84" i="24" s="1"/>
  <c r="J69" i="24"/>
  <c r="J70" i="24"/>
  <c r="N234" i="24"/>
  <c r="N233" i="24"/>
  <c r="N232" i="24"/>
  <c r="N231" i="24"/>
  <c r="N230" i="24"/>
  <c r="N102" i="24"/>
  <c r="R102" i="24" s="1"/>
  <c r="N103" i="24"/>
  <c r="R103" i="24" s="1"/>
  <c r="N104" i="24"/>
  <c r="R104" i="24" s="1"/>
  <c r="N105" i="24"/>
  <c r="R105" i="24" s="1"/>
  <c r="N101" i="24"/>
  <c r="R101" i="24" s="1"/>
  <c r="T102" i="24"/>
  <c r="T103" i="24"/>
  <c r="T104" i="24"/>
  <c r="T105" i="24"/>
  <c r="T101" i="24"/>
  <c r="O102" i="24"/>
  <c r="O103" i="24"/>
  <c r="O104" i="24"/>
  <c r="O105" i="24"/>
  <c r="O101" i="24"/>
  <c r="O95" i="24"/>
  <c r="P105" i="24" s="1"/>
  <c r="P234" i="24" s="1"/>
  <c r="O93" i="24"/>
  <c r="P104" i="24" s="1"/>
  <c r="P233" i="24" s="1"/>
  <c r="O91" i="24"/>
  <c r="P103" i="24" s="1"/>
  <c r="O89" i="24"/>
  <c r="P102" i="24" s="1"/>
  <c r="P232" i="24" s="1"/>
  <c r="O87" i="24"/>
  <c r="P101" i="24" s="1"/>
  <c r="P231" i="24" s="1"/>
  <c r="O85" i="24"/>
  <c r="P230" i="24" s="1"/>
  <c r="D86" i="1" a="1"/>
  <c r="D86" i="1" s="1"/>
  <c r="P91" i="24"/>
  <c r="P90" i="24" s="1"/>
  <c r="W93" i="25" l="1"/>
  <c r="Y93" i="25"/>
  <c r="X93" i="25"/>
  <c r="Z93" i="25"/>
  <c r="X91" i="25"/>
  <c r="Z91" i="25"/>
  <c r="Y91" i="25"/>
  <c r="W91" i="25"/>
  <c r="X90" i="25"/>
  <c r="W90" i="25"/>
  <c r="Z90" i="25"/>
  <c r="Y90" i="25"/>
  <c r="X100" i="25"/>
  <c r="Z100" i="25"/>
  <c r="W100" i="25"/>
  <c r="Y100" i="25"/>
  <c r="Z95" i="25"/>
  <c r="W95" i="25"/>
  <c r="X95" i="25"/>
  <c r="Y95" i="25"/>
  <c r="W94" i="25"/>
  <c r="Y94" i="25"/>
  <c r="Z94" i="25"/>
  <c r="X94" i="25"/>
  <c r="Z92" i="25"/>
  <c r="W92" i="25"/>
  <c r="X92" i="25"/>
  <c r="Y92" i="25"/>
  <c r="P93" i="24"/>
  <c r="P92" i="24" s="1"/>
  <c r="I59" i="24"/>
  <c r="P87" i="24"/>
  <c r="P86" i="24" s="1"/>
  <c r="P95" i="24"/>
  <c r="P94" i="24" s="1"/>
  <c r="P89" i="24"/>
  <c r="P88" i="24" s="1"/>
  <c r="D42" i="24" l="1"/>
  <c r="D41" i="24"/>
  <c r="D43" i="24" l="1"/>
  <c r="I34" i="24"/>
  <c r="R233" i="24" s="1"/>
  <c r="O200" i="24" a="1"/>
  <c r="O200" i="24" s="1"/>
  <c r="P177" i="24"/>
  <c r="P179" i="24"/>
  <c r="O183" i="24"/>
  <c r="O181" i="24"/>
  <c r="O179" i="24"/>
  <c r="O177" i="24"/>
  <c r="O175" i="24"/>
  <c r="O173" i="24"/>
  <c r="J34" i="24"/>
  <c r="O156" i="24" s="1"/>
  <c r="N153" i="24" l="1" a="1"/>
  <c r="N153" i="24" s="1"/>
  <c r="N162" i="24" s="1" a="1"/>
  <c r="N162" i="24" s="1"/>
  <c r="N172" i="24" s="1"/>
  <c r="N84" i="4" a="1"/>
  <c r="N8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74" i="4" a="1"/>
  <c r="N74" i="4" s="1"/>
  <c r="V69" i="24"/>
  <c r="V70" i="24"/>
  <c r="P79" i="24"/>
  <c r="P78" i="24"/>
  <c r="O112" i="24" a="1"/>
  <c r="O55" i="24" a="1"/>
  <c r="O55" i="24" s="1"/>
  <c r="O126" i="24" s="1" a="1"/>
  <c r="O126" i="24" s="1"/>
  <c r="D80" i="1" a="1"/>
  <c r="D80" i="1" s="1"/>
  <c r="N55" i="24" a="1"/>
  <c r="N55" i="24" s="1"/>
  <c r="S55" i="24" s="1" a="1"/>
  <c r="S55" i="24" s="1"/>
  <c r="AQ11" i="23"/>
  <c r="AQ10" i="23"/>
  <c r="AQ9" i="23"/>
  <c r="AQ8" i="23"/>
  <c r="AQ7" i="23"/>
  <c r="AQ6" i="23"/>
  <c r="AR6" i="23"/>
  <c r="J25" i="23"/>
  <c r="J24" i="23"/>
  <c r="J23" i="23"/>
  <c r="J22" i="23"/>
  <c r="J21" i="23"/>
  <c r="J20" i="23"/>
  <c r="J19" i="23"/>
  <c r="J18" i="23"/>
  <c r="J17" i="23"/>
  <c r="J16" i="23"/>
  <c r="J15" i="23"/>
  <c r="J14" i="23"/>
  <c r="J13" i="23"/>
  <c r="J12" i="23"/>
  <c r="J11" i="23"/>
  <c r="J10" i="23"/>
  <c r="J9" i="23"/>
  <c r="J8" i="23"/>
  <c r="J7" i="23"/>
  <c r="J6" i="23"/>
  <c r="K9" i="23"/>
  <c r="K6" i="23"/>
  <c r="O162" i="24" l="1"/>
  <c r="O230" i="24"/>
  <c r="O112" i="24"/>
  <c r="S103" i="24"/>
  <c r="S104" i="24"/>
  <c r="S105" i="24"/>
  <c r="S102" i="24"/>
  <c r="S101" i="24"/>
  <c r="N77" i="24"/>
  <c r="N145" i="24"/>
  <c r="N140" i="24"/>
  <c r="N138" i="24"/>
  <c r="N143" i="24"/>
  <c r="N142" i="24"/>
  <c r="N79" i="24"/>
  <c r="N112" i="24" a="1"/>
  <c r="N112" i="24" s="1"/>
  <c r="T66" i="24" a="1"/>
  <c r="T66" i="24" s="1"/>
  <c r="N78" i="24"/>
  <c r="O43" i="24" l="1" a="1"/>
  <c r="N43" i="24" a="1"/>
  <c r="N43" i="24" s="1"/>
  <c r="Y36" i="24"/>
  <c r="V71" i="24" s="1"/>
  <c r="Y33" i="24"/>
  <c r="V68" i="24" s="1"/>
  <c r="Y32" i="24"/>
  <c r="V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P2" i="23"/>
  <c r="M1" i="23"/>
  <c r="M2" i="23" s="1"/>
  <c r="W16" i="23"/>
  <c r="AE56" i="23"/>
  <c r="AI39" i="23"/>
  <c r="S7" i="23" s="1"/>
  <c r="AJ39" i="23"/>
  <c r="T7" i="23" s="1"/>
  <c r="AK39" i="23"/>
  <c r="U7" i="23" s="1"/>
  <c r="AL39" i="23"/>
  <c r="V7" i="23" s="1"/>
  <c r="AM39" i="23"/>
  <c r="W7" i="23" s="1"/>
  <c r="AG40" i="23"/>
  <c r="AH40" i="23"/>
  <c r="AI40" i="23"/>
  <c r="AJ40" i="23"/>
  <c r="AK40" i="23"/>
  <c r="AL40" i="23"/>
  <c r="AM40" i="23"/>
  <c r="W19" i="23" s="1"/>
  <c r="AH42" i="23"/>
  <c r="AI42" i="23"/>
  <c r="AJ42" i="23"/>
  <c r="AK42" i="23"/>
  <c r="AL42" i="23"/>
  <c r="AM42" i="23"/>
  <c r="AJ43" i="23"/>
  <c r="AK43" i="23"/>
  <c r="AL43" i="23"/>
  <c r="AM43" i="23"/>
  <c r="AI45" i="23"/>
  <c r="AJ45" i="23"/>
  <c r="AK45" i="23"/>
  <c r="AL45" i="23"/>
  <c r="AM45" i="23"/>
  <c r="AK46" i="23"/>
  <c r="AL46" i="23"/>
  <c r="AM46" i="23"/>
  <c r="AD47" i="23"/>
  <c r="N6" i="23" s="1"/>
  <c r="AE47" i="23"/>
  <c r="O6" i="23" s="1"/>
  <c r="AF47" i="23"/>
  <c r="P6" i="23" s="1"/>
  <c r="AG47" i="23"/>
  <c r="Q6" i="23" s="1"/>
  <c r="AH47" i="23"/>
  <c r="R6" i="23" s="1"/>
  <c r="AI47" i="23"/>
  <c r="S6" i="23" s="1"/>
  <c r="AJ47" i="23"/>
  <c r="T6" i="23" s="1"/>
  <c r="AK47" i="23"/>
  <c r="U6" i="23" s="1"/>
  <c r="AL47" i="23"/>
  <c r="V6" i="23" s="1"/>
  <c r="AM47" i="23"/>
  <c r="W6" i="23" s="1"/>
  <c r="AG48" i="23"/>
  <c r="AH48" i="23"/>
  <c r="AI48" i="23"/>
  <c r="AJ48" i="23"/>
  <c r="AK48" i="23"/>
  <c r="AL48" i="23"/>
  <c r="AM48" i="23"/>
  <c r="AM49" i="23"/>
  <c r="AC51" i="23"/>
  <c r="AD51" i="23"/>
  <c r="AE51" i="23"/>
  <c r="AF51" i="23"/>
  <c r="AG51" i="23"/>
  <c r="AH51" i="23"/>
  <c r="AI51" i="23"/>
  <c r="AJ51" i="23"/>
  <c r="AK51" i="23"/>
  <c r="AL51" i="23"/>
  <c r="AM51" i="23"/>
  <c r="AC52" i="23"/>
  <c r="AD52" i="23"/>
  <c r="AE52" i="23"/>
  <c r="AF52" i="23"/>
  <c r="AG52" i="23"/>
  <c r="AH52" i="23"/>
  <c r="AI52" i="23"/>
  <c r="AJ52" i="23"/>
  <c r="AK52" i="23"/>
  <c r="AL52" i="23"/>
  <c r="AM52" i="23"/>
  <c r="AF53" i="23"/>
  <c r="AG53" i="23"/>
  <c r="AH53" i="23"/>
  <c r="AI53" i="23"/>
  <c r="AJ53" i="23"/>
  <c r="AK53" i="23"/>
  <c r="AL53" i="23"/>
  <c r="AM53" i="23"/>
  <c r="AI55" i="23"/>
  <c r="AJ55" i="23"/>
  <c r="AK55" i="23"/>
  <c r="AL55" i="23"/>
  <c r="AM55" i="23"/>
  <c r="AF56" i="23"/>
  <c r="AG56" i="23"/>
  <c r="AH56" i="23"/>
  <c r="AI56" i="23"/>
  <c r="AJ56" i="23"/>
  <c r="AK56" i="23"/>
  <c r="AL56" i="23"/>
  <c r="AM56" i="23"/>
  <c r="AE58" i="23"/>
  <c r="O8" i="23" s="1"/>
  <c r="AF58" i="23"/>
  <c r="P8" i="23" s="1"/>
  <c r="AG58" i="23"/>
  <c r="Q8" i="23" s="1"/>
  <c r="AH58" i="23"/>
  <c r="R8" i="23" s="1"/>
  <c r="AI58" i="23"/>
  <c r="S8" i="23" s="1"/>
  <c r="AJ58" i="23"/>
  <c r="T8" i="23" s="1"/>
  <c r="AK58" i="23"/>
  <c r="U8" i="23" s="1"/>
  <c r="AL58" i="23"/>
  <c r="V8" i="23" s="1"/>
  <c r="AM58" i="23"/>
  <c r="W8" i="23" s="1"/>
  <c r="AJ59" i="23"/>
  <c r="AK59" i="23"/>
  <c r="AL59" i="23"/>
  <c r="AM59" i="23"/>
  <c r="AJ60" i="23"/>
  <c r="T22" i="23" s="1"/>
  <c r="AK60" i="23"/>
  <c r="U22" i="23" s="1"/>
  <c r="AL60" i="23"/>
  <c r="V22" i="23" s="1"/>
  <c r="AM60" i="23"/>
  <c r="W22" i="23" s="1"/>
  <c r="AK61" i="23"/>
  <c r="U18" i="23" s="1"/>
  <c r="AL61" i="23"/>
  <c r="V18" i="23" s="1"/>
  <c r="AM61" i="23"/>
  <c r="W18" i="23" s="1"/>
  <c r="AJ62" i="23"/>
  <c r="AK62" i="23"/>
  <c r="AL62" i="23"/>
  <c r="AM62" i="23"/>
  <c r="AF63" i="23"/>
  <c r="AG63" i="23"/>
  <c r="AH63" i="23"/>
  <c r="AI63" i="23"/>
  <c r="AJ63" i="23"/>
  <c r="AK63" i="23"/>
  <c r="AL63" i="23"/>
  <c r="AM63" i="23"/>
  <c r="AH64" i="23"/>
  <c r="R13" i="23" s="1"/>
  <c r="AI64" i="23"/>
  <c r="S13" i="23" s="1"/>
  <c r="AJ64" i="23"/>
  <c r="T13" i="23" s="1"/>
  <c r="AK64" i="23"/>
  <c r="U13" i="23" s="1"/>
  <c r="AL64" i="23"/>
  <c r="V13" i="23" s="1"/>
  <c r="AM64" i="23"/>
  <c r="W13" i="23" s="1"/>
  <c r="AL66" i="23"/>
  <c r="V20" i="23" s="1"/>
  <c r="AM66" i="23"/>
  <c r="W20" i="23" s="1"/>
  <c r="AE37" i="23"/>
  <c r="AF37" i="23"/>
  <c r="AG37" i="23"/>
  <c r="AH37" i="23"/>
  <c r="AI37" i="23"/>
  <c r="AJ37" i="23"/>
  <c r="AK37" i="23"/>
  <c r="AL37" i="23"/>
  <c r="AM37" i="23"/>
  <c r="AJ38" i="23"/>
  <c r="AK38" i="23"/>
  <c r="AL38" i="23"/>
  <c r="AM38" i="23"/>
  <c r="AM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36" i="23"/>
  <c r="O43" i="24" l="1"/>
  <c r="O84" i="24" s="1"/>
  <c r="O92" i="24"/>
  <c r="O86" i="24"/>
  <c r="O90" i="24"/>
  <c r="O94" i="24"/>
  <c r="O88" i="24"/>
  <c r="I33" i="24"/>
  <c r="R232" i="24" s="1"/>
  <c r="I35" i="24"/>
  <c r="R234" i="24" s="1"/>
  <c r="I32" i="24"/>
  <c r="R231" i="24" s="1"/>
  <c r="I31" i="24"/>
  <c r="R230" i="24" s="1"/>
  <c r="I36" i="24"/>
  <c r="J31" i="24"/>
  <c r="J35" i="24"/>
  <c r="J32" i="24"/>
  <c r="O154" i="24" s="1"/>
  <c r="J36" i="24"/>
  <c r="O158" i="24" s="1"/>
  <c r="J33" i="24"/>
  <c r="O155" i="24" s="1"/>
  <c r="K31" i="24"/>
  <c r="K36" i="24"/>
  <c r="K32" i="24"/>
  <c r="K35" i="24"/>
  <c r="E9" i="24"/>
  <c r="Q43" i="24"/>
  <c r="Q33" i="24"/>
  <c r="Q34" i="24"/>
  <c r="L34" i="24"/>
  <c r="L35" i="24"/>
  <c r="L33" i="24"/>
  <c r="L36" i="24"/>
  <c r="P77" i="24"/>
  <c r="V66" i="24"/>
  <c r="Q31" i="24"/>
  <c r="Q35" i="24"/>
  <c r="F9" i="24"/>
  <c r="Q32" i="24"/>
  <c r="Q36" i="24"/>
  <c r="W11" i="23"/>
  <c r="W17" i="23"/>
  <c r="T10" i="23"/>
  <c r="P10" i="23"/>
  <c r="T11" i="23"/>
  <c r="V17" i="23"/>
  <c r="W10" i="23"/>
  <c r="S10" i="23"/>
  <c r="O10" i="23"/>
  <c r="W15" i="23"/>
  <c r="V10" i="23"/>
  <c r="R10" i="23"/>
  <c r="N10" i="23"/>
  <c r="V15" i="23"/>
  <c r="T17" i="23"/>
  <c r="U11" i="23"/>
  <c r="U10" i="23"/>
  <c r="Q10" i="23"/>
  <c r="M10" i="23"/>
  <c r="U15" i="23"/>
  <c r="V11" i="23"/>
  <c r="U17" i="23"/>
  <c r="I38" i="24" l="1"/>
  <c r="I39" i="24" s="1"/>
  <c r="I42" i="24" s="1"/>
  <c r="I41" i="24"/>
  <c r="P174" i="24"/>
  <c r="P175" i="24" s="1"/>
  <c r="P182" i="24"/>
  <c r="P183" i="24" s="1"/>
  <c r="O157" i="24"/>
  <c r="P180" i="24"/>
  <c r="P181" i="24" s="1"/>
  <c r="E10" i="24"/>
  <c r="Q45" i="24" s="1"/>
  <c r="Q44" i="24"/>
  <c r="P172" i="24"/>
  <c r="P173" i="24" s="1"/>
  <c r="O153" i="24"/>
  <c r="F10" i="24"/>
  <c r="W38" i="23" l="1"/>
  <c r="W37" i="23"/>
  <c r="W36" i="23"/>
  <c r="AB36" i="23" l="1"/>
  <c r="L16" i="23" s="1"/>
  <c r="Z16" i="23" s="1"/>
  <c r="AF36" i="23"/>
  <c r="P16" i="23" s="1"/>
  <c r="AD16" i="23" s="1"/>
  <c r="AJ36" i="23"/>
  <c r="T16" i="23" s="1"/>
  <c r="AH16" i="23" s="1"/>
  <c r="AA36" i="23"/>
  <c r="K16" i="23" s="1"/>
  <c r="AC36" i="23"/>
  <c r="M16" i="23" s="1"/>
  <c r="AA16" i="23" s="1"/>
  <c r="AG36" i="23"/>
  <c r="Q16" i="23" s="1"/>
  <c r="AE16" i="23" s="1"/>
  <c r="AK36" i="23"/>
  <c r="U16" i="23" s="1"/>
  <c r="AI16" i="23" s="1"/>
  <c r="AI36" i="23"/>
  <c r="S16" i="23" s="1"/>
  <c r="AG16" i="23" s="1"/>
  <c r="AD36" i="23"/>
  <c r="N16" i="23" s="1"/>
  <c r="AB16" i="23" s="1"/>
  <c r="AL36" i="23"/>
  <c r="V16" i="23" s="1"/>
  <c r="AJ16" i="23" s="1"/>
  <c r="AE36" i="23"/>
  <c r="O16" i="23" s="1"/>
  <c r="AC16" i="23" s="1"/>
  <c r="AH36" i="23"/>
  <c r="R16" i="23" s="1"/>
  <c r="AF16" i="23" s="1"/>
  <c r="AC37" i="23"/>
  <c r="AD37" i="23"/>
  <c r="AA37" i="23"/>
  <c r="AB37" i="23"/>
  <c r="L17" i="23" s="1"/>
  <c r="Z17" i="23" s="1"/>
  <c r="AB38" i="23"/>
  <c r="AF38" i="23"/>
  <c r="P17" i="23" s="1"/>
  <c r="AD17" i="23" s="1"/>
  <c r="AC38" i="23"/>
  <c r="AG38" i="23"/>
  <c r="Q17" i="23" s="1"/>
  <c r="AE17" i="23" s="1"/>
  <c r="AA38" i="23"/>
  <c r="AI38" i="23"/>
  <c r="S17" i="23" s="1"/>
  <c r="AG17" i="23" s="1"/>
  <c r="AD38" i="23"/>
  <c r="AE38" i="23"/>
  <c r="O17" i="23" s="1"/>
  <c r="AC17" i="23" s="1"/>
  <c r="AH38" i="23"/>
  <c r="R17" i="23" s="1"/>
  <c r="AF17" i="23" s="1"/>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X16" i="23" l="1"/>
  <c r="Y16" i="23"/>
  <c r="AL16" i="23" s="1"/>
  <c r="K17" i="23"/>
  <c r="Y17" i="23" s="1"/>
  <c r="N17" i="23"/>
  <c r="AB17" i="23" s="1"/>
  <c r="AA62" i="23"/>
  <c r="AE62" i="23"/>
  <c r="S11" i="23"/>
  <c r="AG11" i="23" s="1"/>
  <c r="AB62" i="23"/>
  <c r="AF62" i="23"/>
  <c r="P11" i="23" s="1"/>
  <c r="AD11" i="23" s="1"/>
  <c r="AC62" i="23"/>
  <c r="AG62" i="23"/>
  <c r="Q11" i="23" s="1"/>
  <c r="AE11" i="23" s="1"/>
  <c r="AH62" i="23"/>
  <c r="R11" i="23" s="1"/>
  <c r="AF11" i="23" s="1"/>
  <c r="AD62" i="23"/>
  <c r="M17" i="23"/>
  <c r="AC65" i="23"/>
  <c r="M24" i="23" s="1"/>
  <c r="AA24" i="23" s="1"/>
  <c r="AG65" i="23"/>
  <c r="Q24" i="23" s="1"/>
  <c r="AE24" i="23" s="1"/>
  <c r="AK65" i="23"/>
  <c r="U24" i="23" s="1"/>
  <c r="AI24" i="23" s="1"/>
  <c r="AD65" i="23"/>
  <c r="N24" i="23" s="1"/>
  <c r="AB24" i="23" s="1"/>
  <c r="AH65" i="23"/>
  <c r="R24" i="23" s="1"/>
  <c r="AF24" i="23" s="1"/>
  <c r="AL65" i="23"/>
  <c r="V24" i="23" s="1"/>
  <c r="AJ24" i="23" s="1"/>
  <c r="AB65" i="23"/>
  <c r="L24" i="23" s="1"/>
  <c r="Z24" i="23" s="1"/>
  <c r="AJ65" i="23"/>
  <c r="T24" i="23" s="1"/>
  <c r="AH24" i="23" s="1"/>
  <c r="AE65" i="23"/>
  <c r="O24" i="23" s="1"/>
  <c r="AC24" i="23" s="1"/>
  <c r="AM65" i="23"/>
  <c r="W24" i="23" s="1"/>
  <c r="AK24" i="23" s="1"/>
  <c r="AF65" i="23"/>
  <c r="P24" i="23" s="1"/>
  <c r="AD24" i="23" s="1"/>
  <c r="AA65" i="23"/>
  <c r="K24" i="23" s="1"/>
  <c r="Y24" i="23" s="1"/>
  <c r="AI65" i="23"/>
  <c r="S24" i="23" s="1"/>
  <c r="AG24" i="23" s="1"/>
  <c r="AC61" i="23"/>
  <c r="M18" i="23" s="1"/>
  <c r="AA18" i="23" s="1"/>
  <c r="AT9" i="23" s="1"/>
  <c r="AG61" i="23"/>
  <c r="Q18" i="23" s="1"/>
  <c r="AE18" i="23" s="1"/>
  <c r="AX9" i="23" s="1"/>
  <c r="AD61" i="23"/>
  <c r="N18" i="23" s="1"/>
  <c r="AB18" i="23" s="1"/>
  <c r="AU9" i="23" s="1"/>
  <c r="AH61" i="23"/>
  <c r="R18" i="23" s="1"/>
  <c r="AF18" i="23" s="1"/>
  <c r="AY9" i="23" s="1"/>
  <c r="AF61" i="23"/>
  <c r="P18" i="23" s="1"/>
  <c r="AD18" i="23" s="1"/>
  <c r="AW9" i="23" s="1"/>
  <c r="AA61" i="23"/>
  <c r="K18" i="23" s="1"/>
  <c r="Y18" i="23" s="1"/>
  <c r="AI61" i="23"/>
  <c r="S18" i="23" s="1"/>
  <c r="AG18" i="23" s="1"/>
  <c r="AZ9" i="23" s="1"/>
  <c r="AB61" i="23"/>
  <c r="L18" i="23" s="1"/>
  <c r="Z18" i="23" s="1"/>
  <c r="AS9" i="23" s="1"/>
  <c r="AJ61" i="23"/>
  <c r="T18" i="23" s="1"/>
  <c r="AH18" i="23" s="1"/>
  <c r="AE61" i="23"/>
  <c r="O18" i="23" s="1"/>
  <c r="AC18" i="23" s="1"/>
  <c r="AV9" i="23" s="1"/>
  <c r="AC57" i="23"/>
  <c r="AG57" i="23"/>
  <c r="Q12" i="23" s="1"/>
  <c r="AE12" i="23" s="1"/>
  <c r="AK57" i="23"/>
  <c r="U12" i="23" s="1"/>
  <c r="AI12" i="23" s="1"/>
  <c r="AD57" i="23"/>
  <c r="AH57" i="23"/>
  <c r="R12" i="23" s="1"/>
  <c r="AF12" i="23" s="1"/>
  <c r="AL57" i="23"/>
  <c r="V12" i="23" s="1"/>
  <c r="AJ12" i="23" s="1"/>
  <c r="AB57" i="23"/>
  <c r="AJ57" i="23"/>
  <c r="T12" i="23" s="1"/>
  <c r="AH12" i="23" s="1"/>
  <c r="AE57" i="23"/>
  <c r="O12" i="23" s="1"/>
  <c r="AC12" i="23" s="1"/>
  <c r="AM57" i="23"/>
  <c r="W12" i="23" s="1"/>
  <c r="AK12" i="23" s="1"/>
  <c r="AF57" i="23"/>
  <c r="P12" i="23" s="1"/>
  <c r="AD12" i="23" s="1"/>
  <c r="AA57" i="23"/>
  <c r="AI57" i="23"/>
  <c r="S12" i="23" s="1"/>
  <c r="AG12" i="23" s="1"/>
  <c r="AA53" i="23"/>
  <c r="AE53" i="23"/>
  <c r="AC53" i="23"/>
  <c r="AB53" i="23"/>
  <c r="AD53" i="23"/>
  <c r="AA49" i="23"/>
  <c r="AE49" i="23"/>
  <c r="AI49" i="23"/>
  <c r="AC49" i="23"/>
  <c r="AK49" i="23"/>
  <c r="AB49" i="23"/>
  <c r="AF49" i="23"/>
  <c r="AJ49" i="23"/>
  <c r="AG49" i="23"/>
  <c r="AD49" i="23"/>
  <c r="AH49" i="23"/>
  <c r="AA45" i="23"/>
  <c r="AE45" i="23"/>
  <c r="AC45" i="23"/>
  <c r="AB45" i="23"/>
  <c r="AF45" i="23"/>
  <c r="AG45" i="23"/>
  <c r="AD45" i="23"/>
  <c r="AH45" i="23"/>
  <c r="AA41" i="23"/>
  <c r="AE41" i="23"/>
  <c r="AI41" i="23"/>
  <c r="S19" i="23" s="1"/>
  <c r="AG19" i="23" s="1"/>
  <c r="AZ10" i="23" s="1"/>
  <c r="AG41" i="23"/>
  <c r="Q19" i="23" s="1"/>
  <c r="AE19" i="23" s="1"/>
  <c r="AB41" i="23"/>
  <c r="AF41" i="23"/>
  <c r="AJ41" i="23"/>
  <c r="T19" i="23" s="1"/>
  <c r="AH19" i="23" s="1"/>
  <c r="BA10" i="23" s="1"/>
  <c r="AC41" i="23"/>
  <c r="AK41" i="23"/>
  <c r="U19" i="23" s="1"/>
  <c r="AI19" i="23" s="1"/>
  <c r="AD41" i="23"/>
  <c r="N19" i="23" s="1"/>
  <c r="AB19" i="23" s="1"/>
  <c r="AH41" i="23"/>
  <c r="R19" i="23" s="1"/>
  <c r="AF19" i="23" s="1"/>
  <c r="AL41" i="23"/>
  <c r="V19" i="23" s="1"/>
  <c r="AJ19" i="23" s="1"/>
  <c r="AD68" i="23"/>
  <c r="N21" i="23" s="1"/>
  <c r="AB21" i="23" s="1"/>
  <c r="AH68" i="23"/>
  <c r="R21" i="23" s="1"/>
  <c r="AF21" i="23" s="1"/>
  <c r="AL68" i="23"/>
  <c r="V21" i="23" s="1"/>
  <c r="AJ21" i="23" s="1"/>
  <c r="AA68" i="23"/>
  <c r="K21" i="23" s="1"/>
  <c r="Y21" i="23" s="1"/>
  <c r="AE68" i="23"/>
  <c r="O21" i="23" s="1"/>
  <c r="AC21" i="23" s="1"/>
  <c r="AI68" i="23"/>
  <c r="S21" i="23" s="1"/>
  <c r="AG21" i="23" s="1"/>
  <c r="AM68" i="23"/>
  <c r="W21" i="23" s="1"/>
  <c r="AK21" i="23" s="1"/>
  <c r="AC68" i="23"/>
  <c r="M21" i="23" s="1"/>
  <c r="AA21" i="23" s="1"/>
  <c r="AK68" i="23"/>
  <c r="U21" i="23" s="1"/>
  <c r="AI21" i="23" s="1"/>
  <c r="AF68" i="23"/>
  <c r="P21" i="23" s="1"/>
  <c r="AD21" i="23" s="1"/>
  <c r="AG68" i="23"/>
  <c r="Q21" i="23" s="1"/>
  <c r="AE21" i="23" s="1"/>
  <c r="AB68" i="23"/>
  <c r="L21" i="23" s="1"/>
  <c r="Z21" i="23" s="1"/>
  <c r="AJ68" i="23"/>
  <c r="T21" i="23" s="1"/>
  <c r="AH21" i="23" s="1"/>
  <c r="AD64" i="23"/>
  <c r="N13" i="23" s="1"/>
  <c r="AB13" i="23" s="1"/>
  <c r="AA64" i="23"/>
  <c r="K13" i="23" s="1"/>
  <c r="Y13" i="23" s="1"/>
  <c r="AE64" i="23"/>
  <c r="O13" i="23" s="1"/>
  <c r="AC13" i="23" s="1"/>
  <c r="AG64" i="23"/>
  <c r="Q13" i="23" s="1"/>
  <c r="AE13" i="23" s="1"/>
  <c r="AB64" i="23"/>
  <c r="L13" i="23" s="1"/>
  <c r="Z13" i="23" s="1"/>
  <c r="AC64" i="23"/>
  <c r="M13" i="23" s="1"/>
  <c r="AA13" i="23" s="1"/>
  <c r="AF64" i="23"/>
  <c r="P13" i="23" s="1"/>
  <c r="AD13" i="23" s="1"/>
  <c r="AD60" i="23"/>
  <c r="AH60" i="23"/>
  <c r="AA60" i="23"/>
  <c r="AE60" i="23"/>
  <c r="AG60" i="23"/>
  <c r="AB60" i="23"/>
  <c r="AC60" i="23"/>
  <c r="AF60" i="23"/>
  <c r="AC56" i="23"/>
  <c r="M12" i="23" s="1"/>
  <c r="AA12" i="23" s="1"/>
  <c r="AB56" i="23"/>
  <c r="L12" i="23" s="1"/>
  <c r="Z12" i="23" s="1"/>
  <c r="AD56" i="23"/>
  <c r="AA56" i="23"/>
  <c r="AB52" i="23"/>
  <c r="AA52" i="23"/>
  <c r="AB48" i="23"/>
  <c r="AF48" i="23"/>
  <c r="AC48" i="23"/>
  <c r="AD48" i="23"/>
  <c r="AA48" i="23"/>
  <c r="AE48" i="23"/>
  <c r="AB44" i="23"/>
  <c r="AF44" i="23"/>
  <c r="AJ44" i="23"/>
  <c r="T14" i="23" s="1"/>
  <c r="AH14" i="23" s="1"/>
  <c r="BA8" i="23" s="1"/>
  <c r="AH44" i="23"/>
  <c r="AC44" i="23"/>
  <c r="AG44" i="23"/>
  <c r="AK44" i="23"/>
  <c r="U14" i="23" s="1"/>
  <c r="AI14" i="23" s="1"/>
  <c r="BB8" i="23" s="1"/>
  <c r="AD44" i="23"/>
  <c r="AL44" i="23"/>
  <c r="V14" i="23" s="1"/>
  <c r="AJ14" i="23" s="1"/>
  <c r="BC8" i="23" s="1"/>
  <c r="AI44" i="23"/>
  <c r="AM44" i="23"/>
  <c r="W14" i="23" s="1"/>
  <c r="AK14" i="23" s="1"/>
  <c r="BD8" i="23" s="1"/>
  <c r="AA44" i="23"/>
  <c r="AE44" i="23"/>
  <c r="AB40" i="23"/>
  <c r="AF40" i="23"/>
  <c r="AD40" i="23"/>
  <c r="AC40" i="23"/>
  <c r="AA40" i="23"/>
  <c r="AE40" i="23"/>
  <c r="AA67" i="23"/>
  <c r="K25" i="23" s="1"/>
  <c r="Y25" i="23" s="1"/>
  <c r="AE67" i="23"/>
  <c r="O25" i="23" s="1"/>
  <c r="AC25" i="23" s="1"/>
  <c r="AI67" i="23"/>
  <c r="S25" i="23" s="1"/>
  <c r="AG25" i="23" s="1"/>
  <c r="AM67" i="23"/>
  <c r="W25" i="23" s="1"/>
  <c r="AK25" i="23" s="1"/>
  <c r="AB67" i="23"/>
  <c r="L25" i="23" s="1"/>
  <c r="Z25" i="23" s="1"/>
  <c r="AF67" i="23"/>
  <c r="P25" i="23" s="1"/>
  <c r="AD25" i="23" s="1"/>
  <c r="AJ67" i="23"/>
  <c r="T25" i="23" s="1"/>
  <c r="AH25" i="23" s="1"/>
  <c r="AH67" i="23"/>
  <c r="R25" i="23" s="1"/>
  <c r="AF25" i="23" s="1"/>
  <c r="AC67" i="23"/>
  <c r="M25" i="23" s="1"/>
  <c r="AA25" i="23" s="1"/>
  <c r="AK67" i="23"/>
  <c r="U25" i="23" s="1"/>
  <c r="AI25" i="23" s="1"/>
  <c r="AD67" i="23"/>
  <c r="N25" i="23" s="1"/>
  <c r="AB25" i="23" s="1"/>
  <c r="AL67" i="23"/>
  <c r="V25" i="23" s="1"/>
  <c r="AJ25" i="23" s="1"/>
  <c r="AG67" i="23"/>
  <c r="Q25" i="23" s="1"/>
  <c r="AE25" i="23" s="1"/>
  <c r="AA63" i="23"/>
  <c r="AE63" i="23"/>
  <c r="AB63" i="23"/>
  <c r="AD63" i="23"/>
  <c r="AC63" i="23"/>
  <c r="AA59" i="23"/>
  <c r="AE59" i="23"/>
  <c r="AB59" i="23"/>
  <c r="AF59" i="23"/>
  <c r="AH59" i="23"/>
  <c r="AC59" i="23"/>
  <c r="AD59" i="23"/>
  <c r="AG59" i="23"/>
  <c r="AC55" i="23"/>
  <c r="AG55" i="23"/>
  <c r="AD55" i="23"/>
  <c r="AH55" i="23"/>
  <c r="AF55" i="23"/>
  <c r="AA55" i="23"/>
  <c r="AB55" i="23"/>
  <c r="AE55" i="23"/>
  <c r="AA51" i="23"/>
  <c r="AB51" i="23"/>
  <c r="AC47" i="23"/>
  <c r="M6" i="23" s="1"/>
  <c r="AA6" i="23" s="1"/>
  <c r="AA47" i="23"/>
  <c r="Y6" i="23" s="1"/>
  <c r="AB47" i="23"/>
  <c r="L6" i="23" s="1"/>
  <c r="Z6" i="23" s="1"/>
  <c r="AC43" i="23"/>
  <c r="AG43" i="23"/>
  <c r="AE43" i="23"/>
  <c r="AD43" i="23"/>
  <c r="AH43" i="23"/>
  <c r="R14" i="23" s="1"/>
  <c r="AF14" i="23" s="1"/>
  <c r="AA43" i="23"/>
  <c r="AI43" i="23"/>
  <c r="AB43" i="23"/>
  <c r="AF43" i="23"/>
  <c r="AC39" i="23"/>
  <c r="M7" i="23" s="1"/>
  <c r="AA7" i="23" s="1"/>
  <c r="AG39" i="23"/>
  <c r="Q7" i="23" s="1"/>
  <c r="AE7" i="23" s="1"/>
  <c r="AX6" i="23" s="1"/>
  <c r="AE39" i="23"/>
  <c r="O7" i="23" s="1"/>
  <c r="AC7" i="23" s="1"/>
  <c r="AV6" i="23" s="1"/>
  <c r="AD39" i="23"/>
  <c r="N7" i="23" s="1"/>
  <c r="AB7" i="23" s="1"/>
  <c r="AU6" i="23" s="1"/>
  <c r="AH39" i="23"/>
  <c r="R7" i="23" s="1"/>
  <c r="AF7" i="23" s="1"/>
  <c r="AY6" i="23" s="1"/>
  <c r="AA39" i="23"/>
  <c r="K7" i="23" s="1"/>
  <c r="Y7" i="23" s="1"/>
  <c r="AB39" i="23"/>
  <c r="L7" i="23" s="1"/>
  <c r="Z7" i="23" s="1"/>
  <c r="AF39" i="23"/>
  <c r="P7" i="23" s="1"/>
  <c r="AD7" i="23" s="1"/>
  <c r="AW6" i="23" s="1"/>
  <c r="AB66" i="23"/>
  <c r="L20" i="23" s="1"/>
  <c r="Z20" i="23" s="1"/>
  <c r="AF66" i="23"/>
  <c r="P20" i="23" s="1"/>
  <c r="AD20" i="23" s="1"/>
  <c r="AJ66" i="23"/>
  <c r="T20" i="23" s="1"/>
  <c r="AH20" i="23" s="1"/>
  <c r="AC66" i="23"/>
  <c r="M20" i="23" s="1"/>
  <c r="AA20" i="23" s="1"/>
  <c r="AG66" i="23"/>
  <c r="Q20" i="23" s="1"/>
  <c r="AE20" i="23" s="1"/>
  <c r="AK66" i="23"/>
  <c r="U20" i="23" s="1"/>
  <c r="AI20" i="23" s="1"/>
  <c r="AE66" i="23"/>
  <c r="O20" i="23" s="1"/>
  <c r="AC20" i="23" s="1"/>
  <c r="AH66" i="23"/>
  <c r="R20" i="23" s="1"/>
  <c r="AF20" i="23" s="1"/>
  <c r="AA66" i="23"/>
  <c r="K20" i="23" s="1"/>
  <c r="Y20" i="23" s="1"/>
  <c r="AI66" i="23"/>
  <c r="S20" i="23" s="1"/>
  <c r="AG20" i="23" s="1"/>
  <c r="AD66" i="23"/>
  <c r="N20" i="23" s="1"/>
  <c r="AB20" i="23" s="1"/>
  <c r="AB58" i="23"/>
  <c r="L8" i="23" s="1"/>
  <c r="Z8" i="23" s="1"/>
  <c r="AC58" i="23"/>
  <c r="M8" i="23" s="1"/>
  <c r="AA8" i="23" s="1"/>
  <c r="AA58" i="23"/>
  <c r="K8" i="23" s="1"/>
  <c r="Y8" i="23" s="1"/>
  <c r="N8" i="23"/>
  <c r="AD54" i="23"/>
  <c r="AH54" i="23"/>
  <c r="V23" i="23"/>
  <c r="AF54" i="23"/>
  <c r="P23" i="23" s="1"/>
  <c r="AD23" i="23" s="1"/>
  <c r="AW11" i="23" s="1"/>
  <c r="AA54" i="23"/>
  <c r="AE54" i="23"/>
  <c r="AI54" i="23"/>
  <c r="S23" i="23" s="1"/>
  <c r="AG23" i="23" s="1"/>
  <c r="AZ11" i="23" s="1"/>
  <c r="W23" i="23"/>
  <c r="AB54" i="23"/>
  <c r="AJ54" i="23"/>
  <c r="T23" i="23" s="1"/>
  <c r="AH23" i="23" s="1"/>
  <c r="BA11" i="23" s="1"/>
  <c r="AK54" i="23"/>
  <c r="U23" i="23" s="1"/>
  <c r="AC54" i="23"/>
  <c r="AG54" i="23"/>
  <c r="Q23" i="23" s="1"/>
  <c r="AE23" i="23" s="1"/>
  <c r="AX11" i="23" s="1"/>
  <c r="AD50" i="23"/>
  <c r="AH50" i="23"/>
  <c r="AL50" i="23"/>
  <c r="AF50" i="23"/>
  <c r="AA50" i="23"/>
  <c r="AE50" i="23"/>
  <c r="AI50" i="23"/>
  <c r="AM50" i="23"/>
  <c r="W9" i="23" s="1"/>
  <c r="AK9" i="23" s="1"/>
  <c r="BD7" i="23" s="1"/>
  <c r="AB50" i="23"/>
  <c r="AJ50" i="23"/>
  <c r="AK50" i="23"/>
  <c r="AC50" i="23"/>
  <c r="AG50" i="23"/>
  <c r="AD46" i="23"/>
  <c r="AH46" i="23"/>
  <c r="AF46" i="23"/>
  <c r="AJ46" i="23"/>
  <c r="T15" i="23" s="1"/>
  <c r="AH15" i="23" s="1"/>
  <c r="AA46" i="23"/>
  <c r="AE46" i="23"/>
  <c r="AI46" i="23"/>
  <c r="S15" i="23" s="1"/>
  <c r="AG15" i="23" s="1"/>
  <c r="AB46" i="23"/>
  <c r="AC46" i="23"/>
  <c r="AG46" i="23"/>
  <c r="AD42" i="23"/>
  <c r="AB42" i="23"/>
  <c r="AA42" i="23"/>
  <c r="AE42" i="23"/>
  <c r="AF42" i="23"/>
  <c r="AC42" i="23"/>
  <c r="AG42" i="23"/>
  <c r="J43" i="22"/>
  <c r="AS6" i="23" l="1"/>
  <c r="R22" i="23"/>
  <c r="AF22" i="23" s="1"/>
  <c r="P19" i="23"/>
  <c r="AD19" i="23" s="1"/>
  <c r="BD11" i="23"/>
  <c r="BC11" i="23"/>
  <c r="AL7" i="23"/>
  <c r="S14" i="23"/>
  <c r="AG14" i="23" s="1"/>
  <c r="AZ8" i="23" s="1"/>
  <c r="AL6" i="23"/>
  <c r="BB10" i="23"/>
  <c r="AL8" i="23"/>
  <c r="AL20" i="23"/>
  <c r="AT6" i="23"/>
  <c r="AL25" i="23"/>
  <c r="K12" i="23"/>
  <c r="Y12" i="23" s="1"/>
  <c r="AL21" i="23"/>
  <c r="BC10" i="23"/>
  <c r="S9" i="23"/>
  <c r="AG9" i="23" s="1"/>
  <c r="AZ7" i="23" s="1"/>
  <c r="AL24" i="23"/>
  <c r="X17" i="23"/>
  <c r="AA17" i="23"/>
  <c r="AL17" i="23" s="1"/>
  <c r="AL13" i="23"/>
  <c r="AY10" i="23"/>
  <c r="AL18" i="23"/>
  <c r="AR9" i="23"/>
  <c r="BE9" i="23" s="1"/>
  <c r="W34" i="24" s="1"/>
  <c r="BB11" i="23"/>
  <c r="R23" i="23"/>
  <c r="AF23" i="23" s="1"/>
  <c r="AY11" i="23" s="1"/>
  <c r="K14" i="23"/>
  <c r="Y14" i="23" s="1"/>
  <c r="Q22" i="23"/>
  <c r="AE22" i="23" s="1"/>
  <c r="AX10" i="23" s="1"/>
  <c r="N15" i="23"/>
  <c r="AB15" i="23" s="1"/>
  <c r="O9" i="23"/>
  <c r="AC9" i="23" s="1"/>
  <c r="P22" i="23"/>
  <c r="AD22" i="23" s="1"/>
  <c r="L19" i="23"/>
  <c r="Z19" i="23" s="1"/>
  <c r="O19" i="23"/>
  <c r="AC19" i="23" s="1"/>
  <c r="Q15" i="23"/>
  <c r="AE15" i="23" s="1"/>
  <c r="O15" i="23"/>
  <c r="AC15" i="23" s="1"/>
  <c r="V9" i="23"/>
  <c r="AJ9" i="23" s="1"/>
  <c r="M23" i="23"/>
  <c r="AA23" i="23" s="1"/>
  <c r="AT11" i="23" s="1"/>
  <c r="X20" i="23"/>
  <c r="Q14" i="23"/>
  <c r="AE14" i="23" s="1"/>
  <c r="AX8" i="23" s="1"/>
  <c r="M9" i="23"/>
  <c r="AA9" i="23" s="1"/>
  <c r="AT7" i="23" s="1"/>
  <c r="M15" i="23"/>
  <c r="AA15" i="23" s="1"/>
  <c r="X24" i="23"/>
  <c r="O11" i="23"/>
  <c r="AC11" i="23" s="1"/>
  <c r="K10" i="23"/>
  <c r="L23" i="23"/>
  <c r="Z23" i="23" s="1"/>
  <c r="AS11" i="23" s="1"/>
  <c r="L10" i="23"/>
  <c r="Z10" i="23" s="1"/>
  <c r="X25" i="23"/>
  <c r="N22" i="23"/>
  <c r="AB22" i="23" s="1"/>
  <c r="AU10" i="23" s="1"/>
  <c r="X18" i="23"/>
  <c r="N11" i="23"/>
  <c r="AB11" i="23" s="1"/>
  <c r="K11" i="23"/>
  <c r="Y11" i="23" s="1"/>
  <c r="AL11" i="23" s="1"/>
  <c r="L14" i="23"/>
  <c r="Z14" i="23" s="1"/>
  <c r="N14" i="23"/>
  <c r="AB14" i="23" s="1"/>
  <c r="AU8" i="23" s="1"/>
  <c r="Y9" i="23"/>
  <c r="L9" i="23"/>
  <c r="Z9" i="23" s="1"/>
  <c r="AS7" i="23" s="1"/>
  <c r="N12" i="23"/>
  <c r="M22" i="23"/>
  <c r="AA22" i="23" s="1"/>
  <c r="O22" i="23"/>
  <c r="AC22" i="23" s="1"/>
  <c r="X21" i="23"/>
  <c r="M19" i="23"/>
  <c r="AA19" i="23" s="1"/>
  <c r="K19" i="23"/>
  <c r="Y19" i="23" s="1"/>
  <c r="P15" i="23"/>
  <c r="AD15" i="23" s="1"/>
  <c r="K15" i="23"/>
  <c r="Y15" i="23" s="1"/>
  <c r="AL15" i="23" s="1"/>
  <c r="Q9" i="23"/>
  <c r="AE9" i="23" s="1"/>
  <c r="AX7" i="23" s="1"/>
  <c r="U9" i="23"/>
  <c r="AI9" i="23" s="1"/>
  <c r="BB7" i="23" s="1"/>
  <c r="O23" i="23"/>
  <c r="AC23" i="23" s="1"/>
  <c r="AV11" i="23" s="1"/>
  <c r="L11" i="23"/>
  <c r="Z11" i="23" s="1"/>
  <c r="M11" i="23"/>
  <c r="AA11" i="23" s="1"/>
  <c r="P14" i="23"/>
  <c r="AD14" i="23" s="1"/>
  <c r="AW8" i="23" s="1"/>
  <c r="M14" i="23"/>
  <c r="AA14" i="23" s="1"/>
  <c r="AT8" i="23" s="1"/>
  <c r="P9" i="23"/>
  <c r="AD9" i="23" s="1"/>
  <c r="AW7" i="23" s="1"/>
  <c r="S22" i="23"/>
  <c r="X8" i="23"/>
  <c r="X7" i="23"/>
  <c r="O14" i="23"/>
  <c r="AC14" i="23" s="1"/>
  <c r="AV8" i="23" s="1"/>
  <c r="X6" i="23"/>
  <c r="N9" i="23"/>
  <c r="AB9" i="23" s="1"/>
  <c r="L22" i="23"/>
  <c r="Z22" i="23" s="1"/>
  <c r="K22" i="23"/>
  <c r="Y22" i="23" s="1"/>
  <c r="X13" i="23"/>
  <c r="R15" i="23"/>
  <c r="AF15" i="23" s="1"/>
  <c r="AY8" i="23" s="1"/>
  <c r="L15" i="23"/>
  <c r="Z15" i="23" s="1"/>
  <c r="AS8" i="23" s="1"/>
  <c r="R9" i="23"/>
  <c r="AF9" i="23" s="1"/>
  <c r="AY7" i="23" s="1"/>
  <c r="T9" i="23"/>
  <c r="AH9" i="23" s="1"/>
  <c r="BA7" i="23" s="1"/>
  <c r="N23" i="23"/>
  <c r="AB23" i="23" s="1"/>
  <c r="AU11" i="23" s="1"/>
  <c r="K23" i="23"/>
  <c r="Y23" i="23" s="1"/>
  <c r="AR11" i="23" s="1"/>
  <c r="J39" i="22"/>
  <c r="J40" i="22"/>
  <c r="J41" i="22"/>
  <c r="J42" i="22"/>
  <c r="G68" i="23"/>
  <c r="D68" i="23" s="1"/>
  <c r="G67" i="23"/>
  <c r="D67" i="23" s="1"/>
  <c r="G66" i="23"/>
  <c r="D66" i="23" s="1"/>
  <c r="G65" i="23"/>
  <c r="D65" i="23" s="1"/>
  <c r="D64" i="23"/>
  <c r="E64" i="23" s="1"/>
  <c r="I64" i="23" s="1"/>
  <c r="G63" i="23"/>
  <c r="D63" i="23" s="1"/>
  <c r="G62" i="23"/>
  <c r="D62" i="23" s="1"/>
  <c r="G61" i="23"/>
  <c r="D61" i="23" s="1"/>
  <c r="G60" i="23"/>
  <c r="D60" i="23" s="1"/>
  <c r="G59" i="23"/>
  <c r="D59" i="23" s="1"/>
  <c r="D58" i="23"/>
  <c r="D57" i="23"/>
  <c r="G56" i="23"/>
  <c r="D56" i="23" s="1"/>
  <c r="G55" i="23"/>
  <c r="D55" i="23" s="1"/>
  <c r="G54" i="23"/>
  <c r="D54" i="23" s="1"/>
  <c r="G53" i="23"/>
  <c r="D53" i="23" s="1"/>
  <c r="G52" i="23"/>
  <c r="D52" i="23" s="1"/>
  <c r="G51" i="23"/>
  <c r="D51" i="23" s="1"/>
  <c r="G50" i="23"/>
  <c r="D50" i="23" s="1"/>
  <c r="G49" i="23"/>
  <c r="D49" i="23" s="1"/>
  <c r="G48" i="23"/>
  <c r="D48" i="23" s="1"/>
  <c r="D47" i="23"/>
  <c r="G46" i="23"/>
  <c r="D46" i="23" s="1"/>
  <c r="D45" i="23"/>
  <c r="G44" i="23"/>
  <c r="D44" i="23" s="1"/>
  <c r="E44" i="23" s="1"/>
  <c r="I44" i="23" s="1"/>
  <c r="D43" i="23"/>
  <c r="E43" i="23" s="1"/>
  <c r="I43" i="23" s="1"/>
  <c r="D42" i="23"/>
  <c r="E42" i="23" s="1"/>
  <c r="I42" i="23" s="1"/>
  <c r="G41" i="23"/>
  <c r="D41" i="23" s="1"/>
  <c r="E41" i="23" s="1"/>
  <c r="I41" i="23" s="1"/>
  <c r="G40" i="23"/>
  <c r="D40" i="23" s="1"/>
  <c r="D39" i="23"/>
  <c r="E39" i="23" s="1"/>
  <c r="G38" i="23"/>
  <c r="D38" i="23" s="1"/>
  <c r="G37" i="23"/>
  <c r="D37" i="23" s="1"/>
  <c r="G36" i="23"/>
  <c r="D36" i="23" s="1"/>
  <c r="AL14" i="23" l="1"/>
  <c r="BE11" i="23"/>
  <c r="AV7" i="23"/>
  <c r="BE6" i="23"/>
  <c r="W31" i="24" s="1"/>
  <c r="AW10" i="23"/>
  <c r="AR10" i="23"/>
  <c r="AL19" i="23"/>
  <c r="AV10" i="23"/>
  <c r="AL23" i="23"/>
  <c r="AL22" i="23"/>
  <c r="AT10" i="23"/>
  <c r="X12" i="23"/>
  <c r="AB12" i="23"/>
  <c r="AU7" i="23" s="1"/>
  <c r="X10" i="23"/>
  <c r="Y10" i="23"/>
  <c r="AL10" i="23" s="1"/>
  <c r="AL9" i="23"/>
  <c r="BC7" i="23"/>
  <c r="AS10" i="23"/>
  <c r="AR8" i="23"/>
  <c r="BE8" i="23" s="1"/>
  <c r="W33" i="24" s="1"/>
  <c r="X14" i="23"/>
  <c r="X19" i="23"/>
  <c r="X22" i="23"/>
  <c r="X15" i="23"/>
  <c r="X23" i="23"/>
  <c r="X9" i="23"/>
  <c r="X11" i="23"/>
  <c r="E54" i="23"/>
  <c r="I54" i="23" s="1"/>
  <c r="E49" i="23"/>
  <c r="I49" i="23" s="1"/>
  <c r="I39" i="23"/>
  <c r="F39" i="23"/>
  <c r="E53" i="23"/>
  <c r="I53" i="23" s="1"/>
  <c r="V71" i="23"/>
  <c r="E36" i="23"/>
  <c r="I36" i="23" s="1"/>
  <c r="E47" i="23"/>
  <c r="I47" i="23" s="1"/>
  <c r="E58" i="23"/>
  <c r="I58" i="23" s="1"/>
  <c r="E60" i="23"/>
  <c r="I60" i="23" s="1"/>
  <c r="E50" i="23"/>
  <c r="D74" i="23" s="1"/>
  <c r="E57" i="23"/>
  <c r="I57" i="23" s="1"/>
  <c r="E65" i="23"/>
  <c r="I65" i="23" s="1"/>
  <c r="F64" i="23"/>
  <c r="J44" i="22"/>
  <c r="K41" i="22" s="1"/>
  <c r="K43" i="22"/>
  <c r="E38" i="23"/>
  <c r="I38" i="23" s="1"/>
  <c r="D71" i="23"/>
  <c r="E62" i="23"/>
  <c r="I62" i="23" s="1"/>
  <c r="E40" i="23"/>
  <c r="I40" i="23" s="1"/>
  <c r="E52" i="23"/>
  <c r="I52" i="23" s="1"/>
  <c r="E63" i="23"/>
  <c r="I63" i="23" s="1"/>
  <c r="E67" i="23"/>
  <c r="I67" i="23" s="1"/>
  <c r="E48" i="23"/>
  <c r="F48" i="23" s="1"/>
  <c r="E56" i="23"/>
  <c r="I56" i="23" s="1"/>
  <c r="S71" i="23"/>
  <c r="E46" i="23"/>
  <c r="I46" i="23" s="1"/>
  <c r="E59" i="23"/>
  <c r="I59" i="23" s="1"/>
  <c r="E68" i="23"/>
  <c r="I68" i="23" s="1"/>
  <c r="F42" i="23"/>
  <c r="F43" i="23"/>
  <c r="F44" i="23"/>
  <c r="E45" i="23"/>
  <c r="I45" i="23" s="1"/>
  <c r="E51" i="23"/>
  <c r="I51" i="23" s="1"/>
  <c r="E55" i="23"/>
  <c r="I55" i="23" s="1"/>
  <c r="E61" i="23"/>
  <c r="I61" i="23" s="1"/>
  <c r="E66" i="23"/>
  <c r="I66" i="23" s="1"/>
  <c r="L71" i="23"/>
  <c r="P71" i="23"/>
  <c r="T71" i="23"/>
  <c r="E37" i="23"/>
  <c r="I37" i="23" s="1"/>
  <c r="F41" i="23"/>
  <c r="M71" i="23"/>
  <c r="Q71" i="23"/>
  <c r="U71" i="23"/>
  <c r="N71" i="23"/>
  <c r="R71" i="23"/>
  <c r="J71" i="23"/>
  <c r="O71" i="23"/>
  <c r="AL12" i="23" l="1"/>
  <c r="BE15" i="23"/>
  <c r="BE16" i="23" s="1"/>
  <c r="W36" i="24"/>
  <c r="AK27" i="23"/>
  <c r="BE10" i="23"/>
  <c r="W35" i="24" s="1"/>
  <c r="AR7" i="23"/>
  <c r="F36" i="23"/>
  <c r="D73" i="23"/>
  <c r="I50" i="23"/>
  <c r="F55" i="23"/>
  <c r="F62" i="23"/>
  <c r="F49" i="23"/>
  <c r="F65" i="23"/>
  <c r="F57" i="23"/>
  <c r="F58" i="23"/>
  <c r="F50" i="23"/>
  <c r="P72" i="23"/>
  <c r="J72" i="23"/>
  <c r="J73" i="23" s="1"/>
  <c r="F56" i="23"/>
  <c r="F68" i="23"/>
  <c r="F46" i="23"/>
  <c r="F51" i="23"/>
  <c r="F53" i="23"/>
  <c r="F61" i="23"/>
  <c r="F63" i="23"/>
  <c r="F60" i="23"/>
  <c r="F47" i="23"/>
  <c r="F54" i="23"/>
  <c r="K39" i="22"/>
  <c r="K42" i="22"/>
  <c r="K40" i="22"/>
  <c r="L72" i="23"/>
  <c r="L73" i="23" s="1"/>
  <c r="R72" i="23"/>
  <c r="F67" i="23"/>
  <c r="F40" i="23"/>
  <c r="F37" i="23"/>
  <c r="Q72" i="23"/>
  <c r="N72" i="23"/>
  <c r="S72" i="23"/>
  <c r="F59" i="23"/>
  <c r="F66" i="23"/>
  <c r="D72" i="23"/>
  <c r="I48" i="23"/>
  <c r="F52" i="23"/>
  <c r="F38" i="23"/>
  <c r="U72" i="23"/>
  <c r="M72" i="23"/>
  <c r="T72" i="23"/>
  <c r="O72" i="23"/>
  <c r="F45" i="23"/>
  <c r="V72" i="23"/>
  <c r="BE7" i="23" l="1"/>
  <c r="W32" i="24" s="1"/>
  <c r="AR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N59" i="22"/>
  <c r="O59" i="22" s="1"/>
  <c r="L59" i="22"/>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J32" i="22"/>
  <c r="M31" i="22"/>
  <c r="L31" i="22"/>
  <c r="K31" i="22"/>
  <c r="J31" i="22"/>
  <c r="M30" i="22"/>
  <c r="L30" i="22"/>
  <c r="K30" i="22"/>
  <c r="J30" i="22"/>
  <c r="M19" i="22"/>
  <c r="L19" i="22"/>
  <c r="K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S31" i="24" l="1"/>
  <c r="S34" i="24"/>
  <c r="S32" i="24"/>
  <c r="S35" i="24"/>
  <c r="S33" i="24"/>
  <c r="S36" i="24"/>
  <c r="G44" i="22"/>
  <c r="H39" i="22"/>
  <c r="O152" i="20"/>
  <c r="R34" i="20"/>
  <c r="R79" i="19"/>
  <c r="R72" i="19"/>
  <c r="O11" i="20"/>
  <c r="P11" i="20" s="1"/>
  <c r="T35" i="24" l="1"/>
  <c r="T32" i="24"/>
  <c r="T36" i="24"/>
  <c r="T33" i="24"/>
  <c r="V33" i="24" s="1"/>
  <c r="P141" i="24" s="1"/>
  <c r="P140" i="24" s="1"/>
  <c r="T31" i="24"/>
  <c r="D45" i="24"/>
  <c r="D46" i="24" s="1"/>
  <c r="AB31" i="24"/>
  <c r="T34" i="24"/>
  <c r="AB34" i="24"/>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56" i="24" l="1"/>
  <c r="W67" i="24" s="1"/>
  <c r="P56" i="24"/>
  <c r="V58" i="24"/>
  <c r="J66" i="24" s="1"/>
  <c r="P58" i="24"/>
  <c r="V57" i="24"/>
  <c r="P57" i="24"/>
  <c r="P55" i="24"/>
  <c r="V55" i="24"/>
  <c r="P60" i="24"/>
  <c r="V60" i="24"/>
  <c r="J68" i="24" s="1"/>
  <c r="P59" i="24"/>
  <c r="V59" i="24"/>
  <c r="J67" i="24" s="1"/>
  <c r="V34" i="24"/>
  <c r="P142" i="24" s="1"/>
  <c r="U31" i="24"/>
  <c r="P112" i="24" s="1"/>
  <c r="W68" i="24"/>
  <c r="U34" i="24"/>
  <c r="W71" i="24"/>
  <c r="W69" i="24"/>
  <c r="U35" i="24"/>
  <c r="P144" i="24" s="1"/>
  <c r="P143" i="24" s="1"/>
  <c r="V35" i="24"/>
  <c r="U32" i="24"/>
  <c r="V32" i="24"/>
  <c r="P139" i="24" s="1"/>
  <c r="P138" i="24" s="1"/>
  <c r="U33" i="24"/>
  <c r="U36" i="24"/>
  <c r="V36" i="24"/>
  <c r="P146" i="24" s="1"/>
  <c r="P145" i="24" s="1"/>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J65" i="24" l="1"/>
  <c r="Q68" i="24"/>
  <c r="J64" i="24"/>
  <c r="Q67" i="24"/>
  <c r="Q66" i="24"/>
  <c r="W66" i="24"/>
  <c r="J63" i="24"/>
  <c r="W70" i="24"/>
  <c r="P115" i="24"/>
  <c r="P117" i="24"/>
  <c r="P113" i="24"/>
  <c r="P114" i="24"/>
  <c r="P116"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42" authorId="0" shapeId="0" xr:uid="{6A3D87BF-81F6-433B-9D32-8E721E97ED9E}">
      <text>
        <r>
          <rPr>
            <b/>
            <sz val="9"/>
            <color indexed="81"/>
            <rFont val="Tahoma"/>
            <family val="2"/>
          </rPr>
          <t>JULIAN:</t>
        </r>
        <r>
          <rPr>
            <sz val="9"/>
            <color indexed="81"/>
            <rFont val="Tahoma"/>
            <family val="2"/>
          </rPr>
          <t xml:space="preserve">
spe-171080-ms</t>
        </r>
      </text>
    </comment>
    <comment ref="K43" authorId="0" shapeId="0" xr:uid="{42C88E79-DF82-4C3E-A177-B7CBE0BC5FD6}">
      <text>
        <r>
          <rPr>
            <b/>
            <sz val="9"/>
            <color indexed="81"/>
            <rFont val="Tahoma"/>
            <family val="2"/>
          </rPr>
          <t>JULIAN:</t>
        </r>
        <r>
          <rPr>
            <sz val="9"/>
            <color indexed="81"/>
            <rFont val="Tahoma"/>
            <family val="2"/>
          </rPr>
          <t xml:space="preserve">
9-16 api</t>
        </r>
      </text>
    </comment>
    <comment ref="K44"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6" authorId="0" shapeId="0" xr:uid="{7D84FB21-E05E-4FD7-8634-71490CAF1012}">
      <text>
        <r>
          <rPr>
            <b/>
            <sz val="9"/>
            <color indexed="81"/>
            <rFont val="Tahoma"/>
            <family val="2"/>
          </rPr>
          <t>JULIAN:</t>
        </r>
        <r>
          <rPr>
            <sz val="9"/>
            <color indexed="81"/>
            <rFont val="Tahoma"/>
            <family val="2"/>
          </rPr>
          <t xml:space="preserve">
Solo vapor.</t>
        </r>
      </text>
    </comment>
    <comment ref="K49" authorId="0" shapeId="0" xr:uid="{EC1E7508-8FF3-4C5E-A31C-BA580E6F1B07}">
      <text>
        <r>
          <rPr>
            <b/>
            <sz val="9"/>
            <color indexed="81"/>
            <rFont val="Tahoma"/>
            <family val="2"/>
          </rPr>
          <t>JULIAN:</t>
        </r>
        <r>
          <rPr>
            <sz val="9"/>
            <color indexed="81"/>
            <rFont val="Tahoma"/>
            <family val="2"/>
          </rPr>
          <t xml:space="preserve">
spe-165273-ms</t>
        </r>
      </text>
    </comment>
    <comment ref="I50"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0" authorId="0" shapeId="0" xr:uid="{893C82EE-48AF-4B2F-B3D6-5438A7F0226B}">
      <text>
        <r>
          <rPr>
            <b/>
            <sz val="9"/>
            <color indexed="81"/>
            <rFont val="Tahoma"/>
            <family val="2"/>
          </rPr>
          <t>JULIAN:</t>
        </r>
        <r>
          <rPr>
            <sz val="9"/>
            <color indexed="81"/>
            <rFont val="Tahoma"/>
            <family val="2"/>
          </rPr>
          <t xml:space="preserve">
spe-138979-ms</t>
        </r>
      </text>
    </comment>
    <comment ref="K51"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1" authorId="0" shapeId="0" xr:uid="{769888F9-A8A1-48CF-96DC-7DFF97A6698D}">
      <text>
        <r>
          <rPr>
            <b/>
            <sz val="9"/>
            <color indexed="81"/>
            <rFont val="Tahoma"/>
            <family val="2"/>
          </rPr>
          <t>JULIAN:</t>
        </r>
        <r>
          <rPr>
            <sz val="9"/>
            <color indexed="81"/>
            <rFont val="Tahoma"/>
            <family val="2"/>
          </rPr>
          <t xml:space="preserve">
spe-171080-ms</t>
        </r>
      </text>
    </comment>
    <comment ref="AW71" authorId="0" shapeId="0" xr:uid="{0929258A-A0CC-4E6D-AD2A-006FABB63D39}">
      <text>
        <r>
          <rPr>
            <b/>
            <sz val="9"/>
            <color indexed="81"/>
            <rFont val="Tahoma"/>
            <family val="2"/>
          </rPr>
          <t>JULIAN:</t>
        </r>
        <r>
          <rPr>
            <sz val="9"/>
            <color indexed="81"/>
            <rFont val="Tahoma"/>
            <family val="2"/>
          </rPr>
          <t xml:space="preserve">
spe-171080-ms</t>
        </r>
      </text>
    </comment>
    <comment ref="K72" authorId="0" shapeId="0" xr:uid="{F5500532-7F7F-48B0-A20F-C36861C94ED6}">
      <text>
        <r>
          <rPr>
            <b/>
            <sz val="9"/>
            <color indexed="81"/>
            <rFont val="Tahoma"/>
            <family val="2"/>
          </rPr>
          <t>JULIAN:</t>
        </r>
        <r>
          <rPr>
            <sz val="9"/>
            <color indexed="81"/>
            <rFont val="Tahoma"/>
            <family val="2"/>
          </rPr>
          <t xml:space="preserve">
9-16 api</t>
        </r>
      </text>
    </comment>
    <comment ref="AW72" authorId="0" shapeId="0" xr:uid="{53EC2FC1-2BE5-4C11-9D25-8FBCA8EBF515}">
      <text>
        <r>
          <rPr>
            <b/>
            <sz val="9"/>
            <color indexed="81"/>
            <rFont val="Tahoma"/>
            <family val="2"/>
          </rPr>
          <t>JULIAN:</t>
        </r>
        <r>
          <rPr>
            <sz val="9"/>
            <color indexed="81"/>
            <rFont val="Tahoma"/>
            <family val="2"/>
          </rPr>
          <t xml:space="preserve">
9-16 api</t>
        </r>
      </text>
    </comment>
    <comment ref="K73"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AW73"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75" authorId="0" shapeId="0" xr:uid="{F7460676-1C8F-4948-B4EF-836E51D8E73D}">
      <text>
        <r>
          <rPr>
            <b/>
            <sz val="9"/>
            <color indexed="81"/>
            <rFont val="Tahoma"/>
            <family val="2"/>
          </rPr>
          <t>JULIAN:</t>
        </r>
        <r>
          <rPr>
            <sz val="9"/>
            <color indexed="81"/>
            <rFont val="Tahoma"/>
            <family val="2"/>
          </rPr>
          <t xml:space="preserve">
Solo vapor.</t>
        </r>
      </text>
    </comment>
    <comment ref="AW75" authorId="0" shapeId="0" xr:uid="{B13F66D7-205A-476E-9BB8-75D950E2E169}">
      <text>
        <r>
          <rPr>
            <b/>
            <sz val="9"/>
            <color indexed="81"/>
            <rFont val="Tahoma"/>
            <family val="2"/>
          </rPr>
          <t>JULIAN:</t>
        </r>
        <r>
          <rPr>
            <sz val="9"/>
            <color indexed="81"/>
            <rFont val="Tahoma"/>
            <family val="2"/>
          </rPr>
          <t xml:space="preserve">
Solo vapor.</t>
        </r>
      </text>
    </comment>
    <comment ref="K78" authorId="0" shapeId="0" xr:uid="{5838EBE5-BC3C-4DCC-AA34-4D9119679F4A}">
      <text>
        <r>
          <rPr>
            <b/>
            <sz val="9"/>
            <color indexed="81"/>
            <rFont val="Tahoma"/>
            <family val="2"/>
          </rPr>
          <t>JULIAN:</t>
        </r>
        <r>
          <rPr>
            <sz val="9"/>
            <color indexed="81"/>
            <rFont val="Tahoma"/>
            <family val="2"/>
          </rPr>
          <t xml:space="preserve">
spe-165273-ms</t>
        </r>
      </text>
    </comment>
    <comment ref="AW78" authorId="0" shapeId="0" xr:uid="{CB70454D-98DA-4E50-91D3-378729FB8808}">
      <text>
        <r>
          <rPr>
            <b/>
            <sz val="9"/>
            <color indexed="81"/>
            <rFont val="Tahoma"/>
            <family val="2"/>
          </rPr>
          <t>JULIAN:</t>
        </r>
        <r>
          <rPr>
            <sz val="9"/>
            <color indexed="81"/>
            <rFont val="Tahoma"/>
            <family val="2"/>
          </rPr>
          <t xml:space="preserve">
spe-165273-ms</t>
        </r>
      </text>
    </comment>
    <comment ref="I79"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79" authorId="0" shapeId="0" xr:uid="{74B8E652-BEF7-45EC-92A6-322B838661B7}">
      <text>
        <r>
          <rPr>
            <b/>
            <sz val="9"/>
            <color indexed="81"/>
            <rFont val="Tahoma"/>
            <family val="2"/>
          </rPr>
          <t>JULIAN:</t>
        </r>
        <r>
          <rPr>
            <sz val="9"/>
            <color indexed="81"/>
            <rFont val="Tahoma"/>
            <family val="2"/>
          </rPr>
          <t xml:space="preserve">
spe-138979-ms</t>
        </r>
      </text>
    </comment>
    <comment ref="AU79" authorId="0" shapeId="0" xr:uid="{382E11AC-8285-475E-B7AF-B19B014D4586}">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AW79" authorId="0" shapeId="0" xr:uid="{3143EDB3-3336-48B3-A5E0-D0A25331FC23}">
      <text>
        <r>
          <rPr>
            <b/>
            <sz val="9"/>
            <color indexed="81"/>
            <rFont val="Tahoma"/>
            <family val="2"/>
          </rPr>
          <t>JULIAN:</t>
        </r>
        <r>
          <rPr>
            <sz val="9"/>
            <color indexed="81"/>
            <rFont val="Tahoma"/>
            <family val="2"/>
          </rPr>
          <t xml:space="preserve">
spe-138979-ms</t>
        </r>
      </text>
    </comment>
    <comment ref="K80"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AW80"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<sst xmlns="http://schemas.openxmlformats.org/spreadsheetml/2006/main" count="3423" uniqueCount="1044">
  <si>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</si>
  <si>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</si>
  <si>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</si>
  <si>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</si>
  <si>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</si>
  <si>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</si>
  <si>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</si>
  <si>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</si>
  <si>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</si>
  <si>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</si>
  <si>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</si>
  <si>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</si>
  <si>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</si>
  <si>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</si>
  <si>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</si>
  <si>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</si>
  <si>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</si>
  <si>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</si>
  <si>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</si>
  <si>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</si>
  <si>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</si>
  <si>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</si>
  <si>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</si>
  <si>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</si>
  <si>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</si>
  <si>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</si>
  <si>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</si>
  <si>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</si>
  <si>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</si>
  <si>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</si>
  <si>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</si>
  <si>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</si>
  <si>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</si>
  <si>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</si>
  <si>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</si>
  <si>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</si>
  <si>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</si>
  <si>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</si>
  <si>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</si>
  <si>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</si>
  <si>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</si>
  <si>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</si>
  <si>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</si>
  <si>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</si>
  <si>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</si>
  <si>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</si>
  <si>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</si>
  <si>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</si>
  <si>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</si>
  <si>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</si>
  <si>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</si>
  <si>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</si>
  <si>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</si>
  <si>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</si>
  <si>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</si>
  <si>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</si>
  <si>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</si>
  <si>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</si>
  <si>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</si>
  <si>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</si>
  <si>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</si>
  <si>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</si>
  <si>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</si>
  <si>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</si>
  <si>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</si>
  <si>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</si>
  <si>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</si>
  <si>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</si>
  <si>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</si>
  <si>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</si>
  <si>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</si>
  <si>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</si>
  <si>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</si>
  <si>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</si>
  <si>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</si>
  <si>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</si>
  <si>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</si>
  <si>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</si>
  <si>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</si>
  <si>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</si>
  <si>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</si>
  <si>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</si>
  <si>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</si>
  <si>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</si>
  <si>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</si>
  <si>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</si>
  <si>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</si>
  <si>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</si>
  <si>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</si>
  <si>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</si>
  <si>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</si>
  <si>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</si>
  <si>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</si>
  <si>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</si>
  <si>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</si>
  <si>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</si>
  <si>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</si>
  <si>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</si>
  <si>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</si>
  <si>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</si>
  <si>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</si>
  <si>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</si>
  <si>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</si>
  <si>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</si>
  <si>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</si>
  <si>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</si>
  <si>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</si>
  <si>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</si>
  <si>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</si>
  <si>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</si>
  <si>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</si>
  <si>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</si>
  <si>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</si>
  <si>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</si>
  <si>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</si>
  <si>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</si>
  <si>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</si>
  <si>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</si>
  <si>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</si>
  <si>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</si>
  <si>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</si>
  <si>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</si>
  <si>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</si>
  <si>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</si>
  <si>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</si>
  <si>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</si>
  <si>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</si>
  <si>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</si>
  <si>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</si>
  <si>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</si>
  <si>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</si>
  <si>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</si>
  <si>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</si>
  <si>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</si>
  <si>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</si>
  <si>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</si>
  <si>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</si>
  <si>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</si>
  <si>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</si>
  <si>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</si>
  <si>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</si>
  <si>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</si>
  <si>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</si>
  <si>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</si>
  <si>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</si>
  <si>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</si>
  <si>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</si>
  <si>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</si>
  <si>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</si>
  <si>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</si>
  <si>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</si>
  <si>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</si>
  <si>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</si>
  <si>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</si>
  <si>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</si>
  <si>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</si>
  <si>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</si>
  <si>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</si>
  <si>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</si>
  <si>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</si>
  <si>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</si>
  <si>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</si>
  <si>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</si>
  <si>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</si>
  <si>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</si>
  <si>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</si>
  <si>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</si>
  <si>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</si>
  <si>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</si>
  <si>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</si>
  <si>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</si>
  <si>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</si>
  <si>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</si>
  <si>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</si>
  <si>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</si>
  <si>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</si>
  <si>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</si>
  <si>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</si>
  <si>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</si>
  <si>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</si>
  <si>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</si>
  <si>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</si>
  <si>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</si>
  <si>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</si>
  <si>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</si>
  <si>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</si>
  <si>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</si>
  <si>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</si>
  <si>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</si>
  <si>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</si>
  <si>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</si>
  <si>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</si>
  <si>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</si>
  <si>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</si>
  <si>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</si>
  <si>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</si>
  <si>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</si>
  <si>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</si>
  <si>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</si>
  <si>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</si>
  <si>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</si>
  <si>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</si>
  <si>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</si>
  <si>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</si>
  <si>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</si>
  <si>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</si>
  <si>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</si>
  <si>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</si>
  <si>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</si>
  <si>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</si>
  <si>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</si>
  <si>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</si>
  <si>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</si>
  <si>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</si>
  <si>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</si>
  <si>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</si>
  <si>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</si>
  <si>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</si>
  <si>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</si>
  <si>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</si>
  <si>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</si>
  <si>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</si>
  <si>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</si>
  <si>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</si>
  <si>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</si>
  <si>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</si>
  <si>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</si>
  <si>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</si>
  <si>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</si>
  <si>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</si>
  <si>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</si>
  <si>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</si>
  <si>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</si>
  <si>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</si>
  <si>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</si>
  <si>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</si>
  <si>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</si>
  <si>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</si>
  <si>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</si>
  <si>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</si>
  <si>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</si>
  <si>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</si>
  <si>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</si>
  <si>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</si>
  <si>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</si>
  <si>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</si>
  <si>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</si>
  <si>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</si>
  <si>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</si>
  <si>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</si>
  <si>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</si>
  <si>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</si>
  <si>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</si>
  <si>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</si>
  <si>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</si>
  <si>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</si>
  <si>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</si>
  <si>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</si>
  <si>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</si>
  <si>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</si>
  <si>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</si>
  <si>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</si>
  <si>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</si>
  <si>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</si>
  <si>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</si>
  <si>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</si>
  <si>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</si>
  <si>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</si>
  <si>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</si>
  <si>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</si>
  <si>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</si>
  <si>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</si>
  <si>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</si>
  <si>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</si>
  <si>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</si>
  <si>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</si>
  <si>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</si>
  <si>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</si>
  <si>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</si>
  <si>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</si>
  <si>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</si>
  <si>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</si>
  <si>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</si>
  <si>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</si>
  <si>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</si>
  <si>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</si>
  <si>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</si>
  <si>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</si>
  <si>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</si>
  <si>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</si>
  <si>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</si>
  <si>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</si>
  <si>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</si>
  <si>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</si>
  <si>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</si>
  <si>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</si>
  <si>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</si>
  <si>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</si>
  <si>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</si>
  <si>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</si>
  <si>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</si>
  <si>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</si>
  <si>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</si>
  <si>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</si>
  <si>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</si>
  <si>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</si>
  <si>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</si>
  <si>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</si>
  <si>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</si>
  <si>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</si>
  <si>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</si>
  <si>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</si>
  <si>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</si>
  <si>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</si>
  <si>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</si>
  <si>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</si>
  <si>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</si>
  <si>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</si>
  <si>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</si>
  <si>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</si>
  <si>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</si>
  <si>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</si>
  <si>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</si>
  <si>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</si>
  <si>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</si>
  <si>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</si>
  <si>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</si>
  <si>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</si>
  <si>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</si>
  <si>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</si>
  <si>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</si>
  <si>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</si>
  <si>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</si>
  <si>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</si>
  <si>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</si>
  <si>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</si>
  <si>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</si>
  <si>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</si>
  <si>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</si>
  <si>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</si>
  <si>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</si>
  <si>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</si>
  <si>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</si>
  <si>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</si>
  <si>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</si>
  <si>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</si>
  <si>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</si>
  <si>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</si>
  <si>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</si>
  <si>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</si>
  <si>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</si>
  <si>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</si>
  <si>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</si>
  <si>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</si>
  <si>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</si>
  <si>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</si>
  <si>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</si>
  <si>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</si>
  <si>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</si>
  <si>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</si>
  <si>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</si>
  <si>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</si>
  <si>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</si>
  <si>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</si>
  <si>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</si>
  <si>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</si>
  <si>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</si>
  <si>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</si>
  <si>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</si>
  <si>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</si>
  <si>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</si>
  <si>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</si>
  <si>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</si>
  <si>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</si>
  <si>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</si>
  <si>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</si>
  <si>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</si>
  <si>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</si>
  <si>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</si>
  <si>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</si>
  <si>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</si>
  <si>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</si>
  <si>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</si>
  <si>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</si>
  <si>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</si>
  <si>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</si>
  <si>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</si>
  <si>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</si>
  <si>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</si>
  <si>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</si>
  <si>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</si>
  <si>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</si>
  <si>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</si>
  <si>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</si>
  <si>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</si>
  <si>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</si>
  <si>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</si>
  <si>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</si>
  <si>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</si>
  <si>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</si>
  <si>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</si>
  <si>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</si>
  <si>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</si>
  <si>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</si>
  <si>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</si>
  <si>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</si>
  <si>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</si>
  <si>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</si>
  <si>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</si>
  <si>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</si>
  <si>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</si>
  <si>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</si>
  <si>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</si>
  <si>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</si>
  <si>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</si>
  <si>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</si>
  <si>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</si>
  <si>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</si>
  <si>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</si>
  <si>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</si>
  <si>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</si>
  <si>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</si>
  <si>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</si>
  <si>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</si>
  <si>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</si>
  <si>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</si>
  <si>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</si>
  <si>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</si>
  <si>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</si>
  <si>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</si>
  <si>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</si>
  <si>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</si>
  <si>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</si>
  <si>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</si>
  <si>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</si>
  <si>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</si>
  <si>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</si>
  <si>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</si>
  <si>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</si>
  <si>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</si>
  <si>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</si>
  <si>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</si>
  <si>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</si>
  <si>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</si>
  <si>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</si>
  <si>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</si>
  <si>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</si>
  <si>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</si>
  <si>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</si>
  <si>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</si>
  <si>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</si>
  <si>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</si>
  <si>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</si>
  <si>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</si>
  <si>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</si>
  <si>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</si>
  <si>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</si>
  <si>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</si>
  <si>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</si>
  <si>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</si>
  <si>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</si>
  <si>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</si>
  <si>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</si>
  <si>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</si>
  <si>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</si>
  <si>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</si>
  <si>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</si>
  <si>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</si>
  <si>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</si>
  <si>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</si>
  <si>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</si>
  <si>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</si>
  <si>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</si>
  <si>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</si>
  <si>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</si>
  <si>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</si>
  <si>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</si>
  <si>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</si>
  <si>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</si>
  <si>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</si>
  <si>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</si>
  <si>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</si>
  <si>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</si>
  <si>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</si>
  <si>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</si>
  <si>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</si>
  <si>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</si>
  <si>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</si>
  <si>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</si>
  <si>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</si>
  <si>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</si>
  <si>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</si>
  <si>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</si>
  <si>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</si>
  <si>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</si>
  <si>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</si>
  <si>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</si>
  <si>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</si>
  <si>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</si>
  <si>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</si>
  <si>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</si>
  <si>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</si>
  <si>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</si>
  <si>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</si>
  <si>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</si>
  <si>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</si>
  <si>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</si>
  <si>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</si>
  <si>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</si>
  <si>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</si>
  <si>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</si>
  <si>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</si>
  <si>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</si>
  <si>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</si>
  <si>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</si>
  <si>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</si>
  <si>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</si>
  <si>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</si>
  <si>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</si>
  <si>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</si>
  <si>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</si>
  <si>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</si>
  <si>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</si>
  <si>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</si>
  <si>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</si>
  <si>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</si>
  <si>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</si>
  <si>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</si>
  <si>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</si>
  <si>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</si>
  <si>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</si>
  <si>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</si>
  <si>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</si>
  <si>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</si>
  <si>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</si>
  <si>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</si>
  <si>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</si>
  <si>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</si>
  <si>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</si>
  <si>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</si>
  <si>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</si>
  <si>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</si>
  <si>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</si>
  <si>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</si>
  <si>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</si>
  <si>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</si>
  <si>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</si>
  <si>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</si>
  <si>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</si>
  <si>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</si>
  <si>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</si>
  <si>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</si>
  <si>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</si>
  <si>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</si>
  <si>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</si>
  <si>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</si>
  <si>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</si>
  <si>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</si>
  <si>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</si>
  <si>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</si>
  <si>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</si>
  <si>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</si>
  <si>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</si>
  <si>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</si>
  <si>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</si>
  <si>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</si>
  <si>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</si>
  <si>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</si>
  <si>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</si>
  <si>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</si>
  <si>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</si>
  <si>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</si>
  <si>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</si>
  <si>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</si>
  <si>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</si>
  <si>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</si>
  <si>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</si>
  <si>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</si>
  <si>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</si>
  <si>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</si>
  <si>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</si>
  <si>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</si>
  <si>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</si>
  <si>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</si>
  <si>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</si>
  <si>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</si>
  <si>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</si>
  <si>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</si>
  <si>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</si>
  <si>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</si>
  <si>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</si>
  <si>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</si>
  <si>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</si>
  <si>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</si>
  <si>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</si>
  <si>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</si>
  <si>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</si>
  <si>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</si>
  <si>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</si>
  <si>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</si>
  <si>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</si>
  <si>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</si>
  <si>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</si>
  <si>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</si>
  <si>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</si>
  <si>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</si>
  <si>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</si>
  <si>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</si>
  <si>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</si>
  <si>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</si>
  <si>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</si>
  <si>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</si>
  <si>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</si>
  <si>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</si>
  <si>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</si>
  <si>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</si>
  <si>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</si>
  <si>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</si>
  <si>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</si>
  <si>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</si>
  <si>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</si>
  <si>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</si>
  <si>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</si>
  <si>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</si>
  <si>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</si>
  <si>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</si>
  <si>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</si>
  <si>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</si>
  <si>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</si>
  <si>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</si>
  <si>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</si>
  <si>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</si>
  <si>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</si>
  <si>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</si>
  <si>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</si>
  <si>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</si>
  <si>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</si>
  <si>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</si>
  <si>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</si>
  <si>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</si>
  <si>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</si>
  <si>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</si>
  <si>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</si>
  <si>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</si>
  <si>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</si>
  <si>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</si>
  <si>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</si>
  <si>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</si>
  <si>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</si>
  <si>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</si>
  <si>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</si>
  <si>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</si>
  <si>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</si>
  <si>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</si>
  <si>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</si>
  <si>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</si>
  <si>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</si>
  <si>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</si>
  <si>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</si>
  <si>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</si>
  <si>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</si>
  <si>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</si>
  <si>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</si>
  <si>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</si>
  <si>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</si>
  <si>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</si>
  <si>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</si>
  <si>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</si>
  <si>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</si>
  <si>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</si>
  <si>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</si>
  <si>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</si>
  <si>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</si>
  <si>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</si>
  <si>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</si>
  <si>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</si>
  <si>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</si>
  <si>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</si>
  <si>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</si>
  <si>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</si>
  <si>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</si>
  <si>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</si>
  <si>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</si>
  <si>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</si>
  <si>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</si>
  <si>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</si>
  <si>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</si>
  <si>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</si>
  <si>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</si>
  <si>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</si>
  <si>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</si>
  <si>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</si>
  <si>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</si>
  <si>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</si>
  <si>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</si>
  <si>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</si>
  <si>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</si>
  <si>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</si>
  <si>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</si>
  <si>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</si>
  <si>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</si>
  <si>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</si>
  <si>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</si>
  <si>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</si>
  <si>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</si>
  <si>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</si>
  <si>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</si>
  <si>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</si>
  <si>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</si>
  <si>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</si>
  <si>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</si>
  <si>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</si>
  <si>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</si>
  <si>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</si>
  <si>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</si>
  <si>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</si>
  <si>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</si>
  <si>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</si>
  <si>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</si>
  <si>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</si>
  <si>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</si>
  <si>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</si>
  <si>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</si>
  <si>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</si>
  <si>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</si>
  <si>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</si>
  <si>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</si>
  <si>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</si>
  <si>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</si>
  <si>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</si>
  <si>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</si>
  <si>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</si>
  <si>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</si>
  <si>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</si>
  <si>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</si>
  <si>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</si>
  <si>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</si>
  <si>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</si>
  <si>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</si>
  <si>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</si>
  <si>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</si>
  <si>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</si>
  <si>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</si>
  <si>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</si>
  <si>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</si>
  <si>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</si>
  <si>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</si>
  <si>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</si>
  <si>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</si>
  <si>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</si>
  <si>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</si>
  <si>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</si>
  <si>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</si>
  <si>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</si>
  <si>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</si>
  <si>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</si>
  <si>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</si>
  <si>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</si>
  <si>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</si>
  <si>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</si>
  <si>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</si>
  <si>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</si>
  <si>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</si>
  <si>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</si>
  <si>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</si>
  <si>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</si>
  <si>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</si>
  <si>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</si>
  <si>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</si>
  <si>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</si>
  <si>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</si>
  <si>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</si>
  <si>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</si>
  <si>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</si>
  <si>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</si>
  <si>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</si>
  <si>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</si>
  <si>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</si>
  <si>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</si>
  <si>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</si>
  <si>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</si>
  <si>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</si>
  <si>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</si>
  <si>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</si>
  <si>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</si>
  <si>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</si>
  <si>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</si>
  <si>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</si>
  <si>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</si>
  <si>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</si>
  <si>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</si>
  <si>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</si>
  <si>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</si>
  <si>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</si>
  <si>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</si>
  <si>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</si>
  <si>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</si>
  <si>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</si>
  <si>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</si>
  <si>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</si>
  <si>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</si>
  <si>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</si>
  <si>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</si>
  <si>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</si>
  <si>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</si>
  <si>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</si>
  <si>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</si>
  <si>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</si>
  <si>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</si>
  <si>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</si>
  <si>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</si>
  <si>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</si>
  <si>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</si>
  <si>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</si>
  <si>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</si>
  <si>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</si>
  <si>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</si>
  <si>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</si>
  <si>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</si>
  <si>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</si>
  <si>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</si>
  <si>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</si>
  <si>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</si>
  <si>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</si>
  <si>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</si>
  <si>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</si>
  <si>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</si>
  <si>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</si>
  <si>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</si>
  <si>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</si>
  <si>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</si>
  <si>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</si>
  <si>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</si>
  <si>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</si>
  <si>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</si>
  <si>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</si>
  <si>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</si>
  <si>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</si>
  <si>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</si>
  <si>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</si>
  <si>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</si>
  <si>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</si>
  <si>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</si>
  <si>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</si>
  <si>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</si>
  <si>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</si>
  <si>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</si>
  <si>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</si>
  <si>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</si>
  <si>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</si>
  <si>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</si>
  <si>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</si>
  <si>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</si>
  <si>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</si>
  <si>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</si>
  <si>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</si>
  <si>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</si>
  <si>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</si>
  <si>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</si>
  <si>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</si>
  <si>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</si>
  <si>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</si>
  <si>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</si>
  <si>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</si>
  <si>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</si>
  <si>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</si>
  <si>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</si>
  <si>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</si>
  <si>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</si>
  <si>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</si>
  <si>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</si>
  <si>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</si>
  <si>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</si>
  <si>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</si>
  <si>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</si>
  <si>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</si>
  <si>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</si>
  <si>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</si>
  <si>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</si>
  <si>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</si>
  <si>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</si>
  <si>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</si>
  <si>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</si>
  <si>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</si>
  <si>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</si>
  <si>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</si>
  <si>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</si>
  <si>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</si>
  <si>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</si>
  <si>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</si>
  <si>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</si>
  <si>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</si>
  <si>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</si>
  <si>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</si>
  <si>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</si>
  <si>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</si>
  <si>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</si>
  <si>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</si>
  <si>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</si>
  <si>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</si>
  <si>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</si>
  <si>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</si>
  <si>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</si>
  <si>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</si>
  <si>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</si>
  <si>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</si>
  <si>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</si>
  <si>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</si>
  <si>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</si>
  <si>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</si>
  <si>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</si>
  <si>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</si>
  <si>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</si>
  <si>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</si>
  <si>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</si>
  <si>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</si>
  <si>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</si>
  <si>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</si>
  <si>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</si>
  <si>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</si>
  <si>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</si>
  <si>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</si>
  <si>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</si>
  <si>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</si>
  <si>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</si>
  <si>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</si>
  <si>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</si>
  <si>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</si>
  <si>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</si>
  <si>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</si>
  <si>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</si>
  <si>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</si>
  <si>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</si>
  <si>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</si>
  <si>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</si>
  <si>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</si>
  <si>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</si>
  <si>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</si>
  <si>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</si>
  <si>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</si>
  <si>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</si>
  <si>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</si>
  <si>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</si>
  <si>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</si>
  <si>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</si>
  <si>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</si>
  <si>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</si>
  <si>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</si>
  <si>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</si>
  <si>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</si>
  <si>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</si>
  <si>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</si>
  <si>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</si>
  <si>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</si>
  <si>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</si>
  <si>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</si>
  <si>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</si>
  <si>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</si>
  <si>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</si>
  <si>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</si>
  <si>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</si>
  <si>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</si>
  <si>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</si>
  <si>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</si>
  <si>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</si>
  <si>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</si>
  <si>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</si>
  <si>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</si>
  <si>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</si>
  <si>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</si>
  <si>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</si>
  <si>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</si>
  <si>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</si>
  <si>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</si>
  <si>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</si>
  <si>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</si>
  <si>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</si>
  <si>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</si>
  <si>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</si>
  <si>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</si>
  <si>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</si>
  <si>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</si>
  <si>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</si>
  <si>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</si>
  <si>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</si>
  <si>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</si>
  <si>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</si>
  <si>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</si>
  <si>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</si>
  <si>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</si>
  <si>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</si>
  <si>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</si>
  <si>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</si>
  <si>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</si>
  <si>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</si>
  <si>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</si>
  <si>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</si>
  <si>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</si>
  <si>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</si>
  <si>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</si>
  <si>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</si>
  <si>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</si>
  <si>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</si>
  <si>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</si>
  <si>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</si>
  <si>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</si>
  <si>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</si>
  <si>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</si>
  <si>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</si>
  <si>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</si>
  <si>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</si>
  <si>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</si>
  <si>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</si>
  <si>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</si>
  <si>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</si>
  <si>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</si>
  <si>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</si>
  <si>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</si>
  <si>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</si>
  <si>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</si>
  <si>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</si>
  <si>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</si>
  <si>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</si>
  <si>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</si>
  <si>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</si>
  <si>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</si>
  <si>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</si>
  <si>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</si>
  <si>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</si>
  <si>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</si>
  <si>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</si>
  <si>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</si>
  <si>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</si>
  <si>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</si>
  <si>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GOR</t>
  </si>
  <si>
    <t>USES</t>
  </si>
  <si>
    <t>Type Fluid</t>
  </si>
  <si>
    <t>P</t>
  </si>
  <si>
    <t>LLO - Ligth</t>
  </si>
  <si>
    <t>LLO - Heavy</t>
  </si>
  <si>
    <t>PU - Ligth</t>
  </si>
  <si>
    <t>VMM - Medium</t>
  </si>
  <si>
    <t>VSM - Medium</t>
  </si>
  <si>
    <t>GU -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</si>
</sst>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57"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s>
  <fills count="18">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654">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0" fontId="10" fillId="0" borderId="2" xfId="0" applyFont="1" applyBorder="1"/>
    <xf numFmtId="0" fontId="10" fillId="0" borderId="11" xfId="0" applyFont="1" applyBorder="1"/>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0" fillId="0" borderId="12" xfId="0" applyNumberFormat="1" applyBorder="1" applyAlignment="1">
      <alignment horizontal="center"/>
    </xf>
    <xf numFmtId="1" fontId="0" fillId="0" borderId="1" xfId="0" applyNumberFormat="1" applyBorder="1" applyAlignment="1">
      <alignment horizontal="center"/>
    </xf>
    <xf numFmtId="1" fontId="0" fillId="0" borderId="13" xfId="0" applyNumberFormat="1" applyBorder="1" applyAlignment="1">
      <alignment horizontal="center"/>
    </xf>
    <xf numFmtId="1" fontId="0" fillId="0" borderId="22" xfId="0" applyNumberFormat="1" applyBorder="1" applyAlignment="1">
      <alignment horizontal="center"/>
    </xf>
    <xf numFmtId="1" fontId="0" fillId="0" borderId="23" xfId="0" applyNumberFormat="1" applyBorder="1" applyAlignment="1">
      <alignment horizontal="center"/>
    </xf>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1" fontId="0" fillId="0" borderId="14" xfId="0" applyNumberFormat="1" applyBorder="1" applyAlignment="1">
      <alignment horizontal="center"/>
    </xf>
    <xf numFmtId="1" fontId="0" fillId="0" borderId="24" xfId="0" applyNumberFormat="1" applyBorder="1" applyAlignment="1">
      <alignment horizontal="center"/>
    </xf>
    <xf numFmtId="1" fontId="0" fillId="0" borderId="15" xfId="0" applyNumberFormat="1" applyBorder="1" applyAlignment="1">
      <alignment horizont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6" fillId="3" borderId="1" xfId="0" applyFont="1" applyFill="1" applyBorder="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6"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6"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3"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184" fontId="0" fillId="0" borderId="0" xfId="5" applyNumberFormat="1" applyFont="1"/>
    <xf numFmtId="180" fontId="0" fillId="8" borderId="4" xfId="0" applyNumberFormat="1" applyFill="1" applyBorder="1" applyAlignment="1">
      <alignment horizontal="center" vertical="center"/>
    </xf>
    <xf numFmtId="2" fontId="15" fillId="3" borderId="1" xfId="0" applyNumberFormat="1" applyFont="1" applyFill="1" applyBorder="1" applyAlignment="1">
      <alignment horizontal="center" vertical="center" wrapText="1"/>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166" fontId="15" fillId="7" borderId="1" xfId="0" applyNumberFormat="1" applyFont="1" applyFill="1" applyBorder="1" applyAlignment="1">
      <alignment horizontal="center" vertical="center" wrapText="1"/>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166"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31" fillId="0" borderId="0" xfId="0" applyFont="1" applyAlignment="1">
      <alignment horizontal="center"/>
    </xf>
    <xf numFmtId="0" fontId="31" fillId="7" borderId="0" xfId="0" applyFont="1" applyFill="1" applyAlignment="1">
      <alignment horizontal="center"/>
    </xf>
    <xf numFmtId="0" fontId="31" fillId="7" borderId="0" xfId="0" applyFont="1" applyFill="1" applyAlignment="1">
      <alignment horizontal="center" vertic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10" fillId="15" borderId="0" xfId="0" applyFont="1" applyFill="1" applyAlignment="1">
      <alignment horizontal="center"/>
    </xf>
    <xf numFmtId="0" fontId="10" fillId="7" borderId="0" xfId="0" applyFont="1" applyFill="1" applyAlignment="1">
      <alignment horizontal="center"/>
    </xf>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98">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microsoft.com/office/2020/07/relationships/rdRichValueWebImage" Target="richData/rdRichValueWebImag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5" Type="http://schemas.microsoft.com/office/2017/06/relationships/richStyles" Target="richData/rich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Array" Target="richData/rdarray.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17/06/relationships/rdRichValue" Target="richData/rdrichvalue.xml"/><Relationship Id="rId27" Type="http://schemas.microsoft.com/office/2017/06/relationships/rdSupportingPropertyBag" Target="richData/rdsupportingpropertybag.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24</xdr:row>
      <xdr:rowOff>161925</xdr:rowOff>
    </xdr:from>
    <xdr:to>
      <xdr:col>16</xdr:col>
      <xdr:colOff>533400</xdr:colOff>
      <xdr:row>28</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52</xdr:row>
      <xdr:rowOff>47625</xdr:rowOff>
    </xdr:from>
    <xdr:to>
      <xdr:col>16</xdr:col>
      <xdr:colOff>561975</xdr:colOff>
      <xdr:row>55</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2.bin"/><Relationship Id="rId4"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91"/>
  <sheetViews>
    <sheetView zoomScale="130" zoomScaleNormal="130" workbookViewId="0">
      <selection activeCell="E6" sqref="E6"/>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600" t="s">
        <v>101</v>
      </c>
      <c r="Y14" s="600"/>
      <c r="Z14" s="600"/>
      <c r="AA14" s="600"/>
      <c r="AB14" s="600"/>
      <c r="AC14" s="600"/>
      <c r="AD14" s="600"/>
      <c r="AE14" s="600"/>
      <c r="AF14" s="600"/>
    </row>
    <row r="15" spans="1:1409" x14ac:dyDescent="0.25">
      <c r="B15" s="600" t="s">
        <v>83</v>
      </c>
      <c r="C15" s="600"/>
      <c r="D15" s="600"/>
      <c r="E15" s="600"/>
      <c r="F15" s="600"/>
      <c r="G15" s="600"/>
      <c r="H15" s="600"/>
      <c r="I15" s="600"/>
      <c r="J15" s="600"/>
      <c r="M15" s="600" t="s">
        <v>84</v>
      </c>
      <c r="N15" s="600"/>
      <c r="O15" s="600"/>
      <c r="P15" s="600"/>
      <c r="Q15" s="600"/>
      <c r="R15" s="600"/>
      <c r="S15" s="600"/>
      <c r="T15" s="600"/>
      <c r="U15" s="600"/>
      <c r="AI15" s="600" t="s">
        <v>97</v>
      </c>
      <c r="AJ15" s="600"/>
      <c r="AK15" s="600"/>
      <c r="AL15" s="600"/>
      <c r="AM15" s="600"/>
      <c r="AN15" s="600"/>
      <c r="AO15" s="600"/>
      <c r="AP15" s="600"/>
      <c r="AQ15" s="600"/>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939</v>
      </c>
      <c r="F80" s="1" t="s">
        <v>9</v>
      </c>
    </row>
    <row r="81" spans="4:6" x14ac:dyDescent="0.25">
      <c r="D81" s="1" t="str">
        <v>FLU-CAM2</v>
      </c>
      <c r="E81" s="1" t="s">
        <v>940</v>
      </c>
      <c r="F81" s="1" t="s">
        <v>9</v>
      </c>
    </row>
    <row r="82" spans="4:6" x14ac:dyDescent="0.25">
      <c r="D82" s="1" t="str">
        <v>FLU-CAM3</v>
      </c>
      <c r="E82" s="1" t="s">
        <v>941</v>
      </c>
      <c r="F82" s="1" t="s">
        <v>9</v>
      </c>
    </row>
    <row r="83" spans="4:6" x14ac:dyDescent="0.25">
      <c r="D83" s="1" t="str">
        <v>FLU-CAM4</v>
      </c>
      <c r="E83" s="1" t="s">
        <v>942</v>
      </c>
      <c r="F83" s="1" t="s">
        <v>9</v>
      </c>
    </row>
    <row r="84" spans="4:6" x14ac:dyDescent="0.25">
      <c r="D84" s="1" t="str">
        <v>FLU-CAM5</v>
      </c>
      <c r="E84" s="1" t="s">
        <v>943</v>
      </c>
      <c r="F84" s="1" t="s">
        <v>9</v>
      </c>
    </row>
    <row r="85" spans="4:6" x14ac:dyDescent="0.25">
      <c r="D85" s="1" t="str">
        <v>FLU-CAM6</v>
      </c>
      <c r="E85" s="1" t="s">
        <v>944</v>
      </c>
      <c r="F85" s="1" t="s">
        <v>9</v>
      </c>
    </row>
    <row r="86" spans="4:6" x14ac:dyDescent="0.25">
      <c r="D86" s="1" t="str" cm="1">
        <f t="array" ref="D86:D91">+"ELC-"&amp;B3:B8</f>
        <v>ELC-CAM1</v>
      </c>
      <c r="E86" s="1" t="s">
        <v>983</v>
      </c>
      <c r="F86" s="1" t="s">
        <v>9</v>
      </c>
    </row>
    <row r="87" spans="4:6" x14ac:dyDescent="0.25">
      <c r="D87" s="1" t="str">
        <v>ELC-CAM2</v>
      </c>
      <c r="E87" s="1" t="s">
        <v>984</v>
      </c>
      <c r="F87" s="1" t="s">
        <v>9</v>
      </c>
    </row>
    <row r="88" spans="4:6" x14ac:dyDescent="0.25">
      <c r="D88" s="1" t="str">
        <v>ELC-CAM3</v>
      </c>
      <c r="E88" s="1" t="s">
        <v>985</v>
      </c>
      <c r="F88" s="1" t="s">
        <v>9</v>
      </c>
    </row>
    <row r="89" spans="4:6" x14ac:dyDescent="0.25">
      <c r="D89" s="1" t="str">
        <v>ELC-CAM4</v>
      </c>
      <c r="E89" s="1" t="s">
        <v>986</v>
      </c>
      <c r="F89" s="1" t="s">
        <v>9</v>
      </c>
    </row>
    <row r="90" spans="4:6" x14ac:dyDescent="0.25">
      <c r="D90" s="1" t="str">
        <v>ELC-CAM5</v>
      </c>
      <c r="E90" s="1" t="s">
        <v>987</v>
      </c>
      <c r="F90" s="1" t="s">
        <v>9</v>
      </c>
    </row>
    <row r="91" spans="4:6" x14ac:dyDescent="0.25">
      <c r="D91" s="1" t="str">
        <v>ELC-CAM6</v>
      </c>
      <c r="E91" s="1" t="s">
        <v>988</v>
      </c>
      <c r="F91"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95"/>
  <sheetViews>
    <sheetView showGridLines="0" topLeftCell="A59" zoomScale="85" zoomScaleNormal="85" workbookViewId="0">
      <selection activeCell="Q89" sqref="P89:Q95"/>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601" t="s">
        <v>119</v>
      </c>
      <c r="C18" s="601"/>
      <c r="D18" s="601"/>
      <c r="E18" s="601"/>
      <c r="F18" s="601"/>
      <c r="G18" s="601"/>
      <c r="H18" s="601"/>
      <c r="I18" s="601"/>
      <c r="J18" s="601"/>
      <c r="L18" s="601" t="s">
        <v>124</v>
      </c>
      <c r="M18" s="601"/>
      <c r="N18" s="601"/>
      <c r="O18" s="601"/>
      <c r="P18" s="601"/>
      <c r="Q18" s="601"/>
      <c r="R18" s="601"/>
      <c r="S18" s="601"/>
      <c r="T18" s="601"/>
      <c r="V18" s="601" t="s">
        <v>121</v>
      </c>
      <c r="W18" s="601"/>
      <c r="X18" s="601"/>
      <c r="Y18" s="601"/>
      <c r="Z18" s="601"/>
      <c r="AA18" s="601"/>
      <c r="AB18" s="601"/>
      <c r="AC18" s="601"/>
      <c r="AD18" s="601"/>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945</v>
      </c>
      <c r="P74" t="s">
        <v>9</v>
      </c>
      <c r="Q74" t="s">
        <v>42</v>
      </c>
    </row>
    <row r="75" spans="14:17" x14ac:dyDescent="0.25">
      <c r="N75" t="str">
        <v>SEP-CAM2</v>
      </c>
      <c r="O75" t="s">
        <v>946</v>
      </c>
      <c r="P75" t="s">
        <v>9</v>
      </c>
      <c r="Q75" t="s">
        <v>42</v>
      </c>
    </row>
    <row r="76" spans="14:17" x14ac:dyDescent="0.25">
      <c r="N76" t="str">
        <v>SEP-CAM3</v>
      </c>
      <c r="O76" t="s">
        <v>947</v>
      </c>
      <c r="P76" t="s">
        <v>9</v>
      </c>
      <c r="Q76" t="s">
        <v>42</v>
      </c>
    </row>
    <row r="77" spans="14:17" x14ac:dyDescent="0.25">
      <c r="N77" t="str">
        <v>SEP-CAM4</v>
      </c>
      <c r="O77" t="s">
        <v>948</v>
      </c>
      <c r="P77" t="s">
        <v>9</v>
      </c>
      <c r="Q77" t="s">
        <v>42</v>
      </c>
    </row>
    <row r="78" spans="14:17" x14ac:dyDescent="0.25">
      <c r="N78" t="str">
        <v>SEP-CAM5</v>
      </c>
      <c r="O78" t="s">
        <v>949</v>
      </c>
      <c r="P78" t="s">
        <v>9</v>
      </c>
      <c r="Q78" t="s">
        <v>42</v>
      </c>
    </row>
    <row r="79" spans="14:17" x14ac:dyDescent="0.25">
      <c r="N79" t="str">
        <v>SEP-CAM6</v>
      </c>
      <c r="O79" t="s">
        <v>950</v>
      </c>
      <c r="P79" t="s">
        <v>9</v>
      </c>
      <c r="Q79" t="s">
        <v>42</v>
      </c>
    </row>
    <row r="80" spans="14:17" x14ac:dyDescent="0.25">
      <c r="N80" t="s">
        <v>952</v>
      </c>
      <c r="O80" t="s">
        <v>956</v>
      </c>
      <c r="P80" t="s">
        <v>9</v>
      </c>
      <c r="Q80" t="s">
        <v>42</v>
      </c>
    </row>
    <row r="81" spans="14:17" x14ac:dyDescent="0.25">
      <c r="N81" t="s">
        <v>953</v>
      </c>
      <c r="O81" t="s">
        <v>957</v>
      </c>
      <c r="P81" t="s">
        <v>9</v>
      </c>
      <c r="Q81" t="s">
        <v>42</v>
      </c>
    </row>
    <row r="82" spans="14:17" x14ac:dyDescent="0.25">
      <c r="N82" t="s">
        <v>954</v>
      </c>
      <c r="O82" t="s">
        <v>958</v>
      </c>
      <c r="P82" t="s">
        <v>9</v>
      </c>
      <c r="Q82" t="s">
        <v>42</v>
      </c>
    </row>
    <row r="83" spans="14:17" x14ac:dyDescent="0.25">
      <c r="N83" t="s">
        <v>955</v>
      </c>
      <c r="O83" t="s">
        <v>959</v>
      </c>
      <c r="P83" t="s">
        <v>9</v>
      </c>
      <c r="Q83" t="s">
        <v>42</v>
      </c>
    </row>
    <row r="84" spans="14:17" x14ac:dyDescent="0.25">
      <c r="N84" t="str" cm="1">
        <f t="array" ref="N84:N89">+"PLT-"&amp;B4:B9</f>
        <v>PLT-CAM1</v>
      </c>
      <c r="O84" t="s">
        <v>962</v>
      </c>
      <c r="P84" t="s">
        <v>9</v>
      </c>
      <c r="Q84" t="s">
        <v>42</v>
      </c>
    </row>
    <row r="85" spans="14:17" x14ac:dyDescent="0.25">
      <c r="N85" t="str">
        <v>PLT-CAM2</v>
      </c>
      <c r="O85" t="s">
        <v>963</v>
      </c>
      <c r="P85" t="s">
        <v>9</v>
      </c>
      <c r="Q85" t="s">
        <v>42</v>
      </c>
    </row>
    <row r="86" spans="14:17" x14ac:dyDescent="0.25">
      <c r="N86" t="str">
        <v>PLT-CAM3</v>
      </c>
      <c r="O86" t="s">
        <v>964</v>
      </c>
      <c r="P86" t="s">
        <v>9</v>
      </c>
      <c r="Q86" t="s">
        <v>42</v>
      </c>
    </row>
    <row r="87" spans="14:17" x14ac:dyDescent="0.25">
      <c r="N87" t="str">
        <v>PLT-CAM4</v>
      </c>
      <c r="O87" t="s">
        <v>965</v>
      </c>
      <c r="P87" t="s">
        <v>9</v>
      </c>
      <c r="Q87" t="s">
        <v>42</v>
      </c>
    </row>
    <row r="88" spans="14:17" x14ac:dyDescent="0.25">
      <c r="N88" t="str">
        <v>PLT-CAM5</v>
      </c>
      <c r="O88" t="s">
        <v>966</v>
      </c>
      <c r="P88" t="s">
        <v>9</v>
      </c>
      <c r="Q88" t="s">
        <v>42</v>
      </c>
    </row>
    <row r="89" spans="14:17" x14ac:dyDescent="0.25">
      <c r="N89" t="str">
        <v>PLT-CAM6</v>
      </c>
      <c r="O89" t="s">
        <v>967</v>
      </c>
      <c r="P89" t="s">
        <v>9</v>
      </c>
      <c r="Q89" t="s">
        <v>42</v>
      </c>
    </row>
    <row r="90" spans="14:17" x14ac:dyDescent="0.25">
      <c r="N90" s="557" t="s">
        <v>1001</v>
      </c>
      <c r="O90" s="417" t="s">
        <v>1011</v>
      </c>
      <c r="P90" t="s">
        <v>9</v>
      </c>
      <c r="Q90" t="s">
        <v>42</v>
      </c>
    </row>
    <row r="91" spans="14:17" x14ac:dyDescent="0.25">
      <c r="N91" s="557" t="s">
        <v>1002</v>
      </c>
      <c r="O91" s="417" t="s">
        <v>1012</v>
      </c>
      <c r="P91" t="s">
        <v>9</v>
      </c>
      <c r="Q91" t="s">
        <v>42</v>
      </c>
    </row>
    <row r="92" spans="14:17" x14ac:dyDescent="0.25">
      <c r="N92" s="557" t="s">
        <v>1003</v>
      </c>
      <c r="O92" s="417" t="s">
        <v>1013</v>
      </c>
      <c r="P92" t="s">
        <v>9</v>
      </c>
      <c r="Q92" t="s">
        <v>42</v>
      </c>
    </row>
    <row r="93" spans="14:17" x14ac:dyDescent="0.25">
      <c r="N93" s="557" t="s">
        <v>1004</v>
      </c>
      <c r="O93" s="417" t="s">
        <v>1014</v>
      </c>
      <c r="P93" t="s">
        <v>9</v>
      </c>
      <c r="Q93" t="s">
        <v>42</v>
      </c>
    </row>
    <row r="94" spans="14:17" x14ac:dyDescent="0.25">
      <c r="N94" s="557" t="s">
        <v>1005</v>
      </c>
      <c r="O94" s="417" t="s">
        <v>1015</v>
      </c>
      <c r="P94" t="s">
        <v>9</v>
      </c>
      <c r="Q94" t="s">
        <v>42</v>
      </c>
    </row>
    <row r="95" spans="14:17" x14ac:dyDescent="0.25">
      <c r="N95" s="557" t="s">
        <v>1006</v>
      </c>
      <c r="O95" s="417" t="s">
        <v>1016</v>
      </c>
      <c r="P95" t="s">
        <v>9</v>
      </c>
      <c r="Q95"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3" zoomScale="145" zoomScaleNormal="145" workbookViewId="0">
      <selection activeCell="K11" sqref="K11"/>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602" t="s">
        <v>277</v>
      </c>
      <c r="G2" s="603"/>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604" t="s">
        <v>503</v>
      </c>
      <c r="E7" s="145" t="s">
        <v>52</v>
      </c>
      <c r="F7" s="215">
        <f>E46</f>
        <v>6.0871741676095334</v>
      </c>
      <c r="G7" s="204">
        <f>F46</f>
        <v>77.841777688967127</v>
      </c>
      <c r="J7" s="124">
        <f>IF(E62&lt;$S$49,D44*(100%-$Q$49),D44*(100%-$Q$49))</f>
        <v>0</v>
      </c>
    </row>
    <row r="8" spans="2:41" ht="15" x14ac:dyDescent="0.25">
      <c r="B8" s="210" t="s">
        <v>411</v>
      </c>
      <c r="C8" s="229" t="s">
        <v>493</v>
      </c>
      <c r="D8" s="605"/>
      <c r="E8" s="19" t="s">
        <v>67</v>
      </c>
      <c r="F8" s="220"/>
      <c r="G8" s="218"/>
    </row>
    <row r="9" spans="2:41" ht="15" x14ac:dyDescent="0.25">
      <c r="B9" s="211" t="s">
        <v>407</v>
      </c>
      <c r="C9" s="230" t="s">
        <v>493</v>
      </c>
      <c r="D9" s="606"/>
      <c r="E9" s="153" t="s">
        <v>53</v>
      </c>
      <c r="F9" s="221"/>
      <c r="G9" s="219"/>
      <c r="J9" s="124">
        <f>1013*(1000/F7)</f>
        <v>166415.47820173684</v>
      </c>
      <c r="K9" s="124" t="s">
        <v>1028</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1028</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630" t="s">
        <v>277</v>
      </c>
      <c r="F41" s="631"/>
      <c r="G41" s="630" t="s">
        <v>483</v>
      </c>
      <c r="H41" s="633"/>
      <c r="I41" s="633"/>
      <c r="J41" s="633"/>
      <c r="K41" s="633"/>
      <c r="L41" s="633"/>
      <c r="M41" s="633"/>
      <c r="N41" s="631"/>
    </row>
    <row r="42" spans="2:43" ht="15" x14ac:dyDescent="0.25">
      <c r="B42"/>
      <c r="C42"/>
      <c r="D42"/>
      <c r="E42" s="175" t="s">
        <v>403</v>
      </c>
      <c r="F42" s="186" t="s">
        <v>404</v>
      </c>
      <c r="G42" s="172"/>
      <c r="K42" s="632" t="s">
        <v>330</v>
      </c>
      <c r="L42" s="632"/>
      <c r="M42" s="632"/>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621">
        <f>+G114</f>
        <v>6.0871741676095334</v>
      </c>
      <c r="F46" s="624">
        <f>+L114*1000</f>
        <v>77.841777688967127</v>
      </c>
      <c r="G46" s="615">
        <v>6.0871741676095334</v>
      </c>
      <c r="H46" s="618" t="s">
        <v>473</v>
      </c>
      <c r="I46" s="618">
        <v>40670.462586675276</v>
      </c>
      <c r="J46" s="627" t="s">
        <v>479</v>
      </c>
      <c r="K46" s="124">
        <v>77841.778000000006</v>
      </c>
      <c r="L46" s="124">
        <v>3</v>
      </c>
      <c r="M46" s="124">
        <v>0.6</v>
      </c>
      <c r="N46" s="179">
        <f>+SUMPRODUCT($K$43:$M$43,K46:M46)/1000</f>
        <v>78.084778</v>
      </c>
    </row>
    <row r="47" spans="2:43" ht="15" x14ac:dyDescent="0.25">
      <c r="B47" s="148" t="s">
        <v>411</v>
      </c>
      <c r="C47" t="s">
        <v>463</v>
      </c>
      <c r="D47" s="19" t="s">
        <v>67</v>
      </c>
      <c r="E47" s="622"/>
      <c r="F47" s="625"/>
      <c r="G47" s="616"/>
      <c r="H47" s="619"/>
      <c r="I47" s="619"/>
      <c r="J47" s="628"/>
      <c r="N47" s="179"/>
    </row>
    <row r="48" spans="2:43" ht="15" x14ac:dyDescent="0.25">
      <c r="B48" s="151" t="s">
        <v>407</v>
      </c>
      <c r="C48" s="152" t="s">
        <v>463</v>
      </c>
      <c r="D48" s="153" t="s">
        <v>53</v>
      </c>
      <c r="E48" s="623"/>
      <c r="F48" s="626"/>
      <c r="G48" s="617"/>
      <c r="H48" s="620"/>
      <c r="I48" s="620"/>
      <c r="J48" s="629"/>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610" t="s">
        <v>244</v>
      </c>
      <c r="C106" s="611"/>
      <c r="D106" s="611"/>
      <c r="E106" s="611"/>
      <c r="F106" s="611"/>
      <c r="G106" s="611"/>
      <c r="H106" s="611"/>
      <c r="I106" s="611"/>
      <c r="J106" s="611"/>
      <c r="K106" s="611"/>
      <c r="L106" s="612"/>
      <c r="M106" s="133"/>
      <c r="N106" s="133"/>
      <c r="P106" s="38">
        <f>+P105/42</f>
        <v>833563.54687623237</v>
      </c>
    </row>
    <row r="107" spans="2:23" ht="12.75" customHeight="1" x14ac:dyDescent="0.2">
      <c r="B107" s="76" t="s">
        <v>245</v>
      </c>
      <c r="C107" s="77" t="s">
        <v>246</v>
      </c>
      <c r="D107" s="607" t="s">
        <v>247</v>
      </c>
      <c r="E107" s="608"/>
      <c r="F107" s="608"/>
      <c r="G107" s="608"/>
      <c r="H107" s="608"/>
      <c r="I107" s="608"/>
      <c r="J107" s="609"/>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610" t="s">
        <v>289</v>
      </c>
      <c r="C123" s="611"/>
      <c r="D123" s="611"/>
      <c r="E123" s="611"/>
      <c r="F123" s="611"/>
      <c r="G123" s="611"/>
      <c r="H123" s="611"/>
      <c r="I123" s="611"/>
      <c r="J123" s="611"/>
      <c r="K123" s="611"/>
      <c r="L123" s="612"/>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613"/>
      <c r="C140" s="613"/>
      <c r="D140" s="613"/>
      <c r="E140" s="613"/>
      <c r="G140" s="614" t="s">
        <v>425</v>
      </c>
      <c r="H140" s="614"/>
      <c r="I140" s="614"/>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1021</v>
      </c>
    </row>
    <row r="114" spans="8:17" x14ac:dyDescent="0.25">
      <c r="J114">
        <v>2019</v>
      </c>
      <c r="K114">
        <v>2020</v>
      </c>
      <c r="L114">
        <v>2025</v>
      </c>
      <c r="M114">
        <v>2030</v>
      </c>
      <c r="N114">
        <v>2035</v>
      </c>
      <c r="O114">
        <v>2040</v>
      </c>
      <c r="P114">
        <v>2045</v>
      </c>
      <c r="Q114">
        <v>2050</v>
      </c>
    </row>
    <row r="115" spans="8:17" x14ac:dyDescent="0.25">
      <c r="H115" t="s">
        <v>45</v>
      </c>
      <c r="I115" t="s">
        <v>1018</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1019</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1020</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1022</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1023</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1022</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1018</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1019</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1020</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1024</v>
      </c>
    </row>
    <row r="168" spans="9:17" x14ac:dyDescent="0.25">
      <c r="I168" t="s">
        <v>1023</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1022</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1018</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1019</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1020</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1025</v>
      </c>
    </row>
    <row r="187" spans="9:17" x14ac:dyDescent="0.25">
      <c r="I187" t="s">
        <v>1023</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1022</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1018</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1019</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1020</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1026</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1022</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1020</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1027</v>
      </c>
    </row>
    <row r="222" spans="8:17" x14ac:dyDescent="0.25">
      <c r="I222" s="19" t="s">
        <v>1023</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1022</v>
      </c>
      <c r="I224" t="s">
        <v>518</v>
      </c>
      <c r="J224" s="565">
        <v>21.475872844615932</v>
      </c>
      <c r="K224" s="565">
        <v>21.173796174722664</v>
      </c>
      <c r="L224" s="565">
        <v>23.09908472316074</v>
      </c>
      <c r="M224" s="565">
        <v>25.352291121728861</v>
      </c>
      <c r="N224" s="565">
        <v>28.770631310279356</v>
      </c>
      <c r="O224" s="565">
        <v>30.877675811857468</v>
      </c>
      <c r="P224" s="565">
        <v>33.171074715211802</v>
      </c>
      <c r="Q224" s="565">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1020</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6"/>
  <sheetViews>
    <sheetView showGridLines="0" topLeftCell="E60" zoomScaleNormal="100" workbookViewId="0">
      <selection activeCell="I103" sqref="I103"/>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topLeftCell="A34"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634" t="s">
        <v>576</v>
      </c>
      <c r="E5" s="634"/>
      <c r="F5" s="634"/>
    </row>
    <row r="6" spans="2:10" x14ac:dyDescent="0.25">
      <c r="B6" s="286"/>
      <c r="C6" s="287"/>
      <c r="D6" s="287" t="s">
        <v>573</v>
      </c>
      <c r="E6" s="287" t="s">
        <v>577</v>
      </c>
      <c r="F6" s="287" t="s">
        <v>575</v>
      </c>
    </row>
    <row r="7" spans="2:10" x14ac:dyDescent="0.25">
      <c r="B7" s="635" t="s">
        <v>579</v>
      </c>
      <c r="C7" s="287" t="s">
        <v>572</v>
      </c>
      <c r="D7" s="288">
        <v>62846</v>
      </c>
      <c r="E7" s="288">
        <v>105000</v>
      </c>
      <c r="F7" s="288">
        <f>+E7+D7</f>
        <v>167846</v>
      </c>
    </row>
    <row r="8" spans="2:10" x14ac:dyDescent="0.25">
      <c r="B8" s="635"/>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636" t="s">
        <v>582</v>
      </c>
      <c r="C45" t="s">
        <v>587</v>
      </c>
    </row>
    <row r="46" spans="2:9" x14ac:dyDescent="0.25">
      <c r="B46" s="636"/>
      <c r="D46" s="19" t="s">
        <v>573</v>
      </c>
      <c r="E46" t="s">
        <v>577</v>
      </c>
      <c r="F46" t="s">
        <v>590</v>
      </c>
    </row>
    <row r="47" spans="2:9" x14ac:dyDescent="0.25">
      <c r="B47" s="636"/>
      <c r="C47" t="s">
        <v>85</v>
      </c>
      <c r="D47" s="283">
        <v>62000</v>
      </c>
      <c r="E47" s="282">
        <v>27000</v>
      </c>
      <c r="F47" s="283">
        <v>113000</v>
      </c>
      <c r="G47" s="291"/>
      <c r="I47" s="291"/>
    </row>
    <row r="48" spans="2:9" x14ac:dyDescent="0.25">
      <c r="B48" s="636"/>
      <c r="C48" t="s">
        <v>86</v>
      </c>
      <c r="D48" s="283">
        <v>64000</v>
      </c>
      <c r="E48" s="282">
        <v>77000</v>
      </c>
      <c r="F48" s="283">
        <v>113300</v>
      </c>
      <c r="H48" s="291"/>
      <c r="I48" s="291"/>
    </row>
    <row r="49" spans="2:15" x14ac:dyDescent="0.25">
      <c r="B49" s="636"/>
      <c r="C49" t="s">
        <v>586</v>
      </c>
      <c r="D49" s="283">
        <v>21000</v>
      </c>
      <c r="E49" s="282">
        <v>7000</v>
      </c>
      <c r="F49" s="283">
        <v>36200</v>
      </c>
      <c r="H49" s="291"/>
      <c r="I49" s="291"/>
    </row>
    <row r="50" spans="2:15" x14ac:dyDescent="0.25">
      <c r="B50" s="636"/>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zoomScale="115" zoomScaleNormal="115" workbookViewId="0">
      <selection activeCell="F2" sqref="F2"/>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602" t="s">
        <v>612</v>
      </c>
      <c r="M7" s="637"/>
      <c r="N7" s="637"/>
      <c r="O7" s="637"/>
      <c r="P7" s="637"/>
      <c r="Q7" s="637"/>
      <c r="R7" s="637"/>
      <c r="S7" s="637"/>
      <c r="T7" s="637"/>
      <c r="U7" s="60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42" t="s">
        <v>722</v>
      </c>
      <c r="O9" s="643"/>
      <c r="P9" s="64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638"/>
      <c r="S10" s="63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639"/>
      <c r="P12" s="360"/>
      <c r="R12" s="19"/>
      <c r="S12" s="64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640"/>
      <c r="P13" s="362"/>
      <c r="R13" s="19"/>
      <c r="S13" s="63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1017</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47">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602" t="s">
        <v>667</v>
      </c>
      <c r="M28" s="637"/>
      <c r="N28" s="637"/>
      <c r="O28" s="637"/>
      <c r="P28" s="637"/>
      <c r="Q28" s="637"/>
      <c r="R28" s="637"/>
      <c r="S28" s="637"/>
      <c r="T28" s="637"/>
      <c r="U28" s="603"/>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602" t="s">
        <v>666</v>
      </c>
      <c r="M48" s="637"/>
      <c r="N48" s="637"/>
      <c r="O48" s="637"/>
      <c r="P48" s="637"/>
      <c r="Q48" s="637"/>
      <c r="R48" s="637"/>
      <c r="S48" s="637"/>
      <c r="T48" s="637"/>
      <c r="U48" s="60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602" t="s">
        <v>668</v>
      </c>
      <c r="M81" s="637"/>
      <c r="N81" s="637"/>
      <c r="O81" s="637"/>
      <c r="P81" s="637"/>
      <c r="Q81" s="637"/>
      <c r="R81" s="637"/>
      <c r="S81" s="637"/>
      <c r="T81" s="637"/>
      <c r="U81" s="60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602" t="s">
        <v>673</v>
      </c>
      <c r="M104" s="637"/>
      <c r="N104" s="637"/>
      <c r="O104" s="637"/>
      <c r="P104" s="637"/>
      <c r="Q104" s="637"/>
      <c r="R104" s="637"/>
      <c r="S104" s="637"/>
      <c r="T104" s="637"/>
      <c r="U104" s="60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602" t="s">
        <v>679</v>
      </c>
      <c r="M128" s="637"/>
      <c r="N128" s="637"/>
      <c r="O128" s="637"/>
      <c r="P128" s="637"/>
      <c r="Q128" s="637"/>
      <c r="R128" s="637"/>
      <c r="S128" s="637"/>
      <c r="T128" s="637"/>
      <c r="U128" s="60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602" t="s">
        <v>711</v>
      </c>
      <c r="M162" s="637"/>
      <c r="N162" s="637"/>
      <c r="O162" s="637"/>
      <c r="P162" s="637"/>
      <c r="Q162" s="637"/>
      <c r="R162" s="637"/>
      <c r="S162" s="637"/>
      <c r="T162" s="637"/>
      <c r="U162" s="60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1" zoomScale="115" zoomScaleNormal="115" workbookViewId="0">
      <selection activeCell="M33" sqref="M3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602" t="s">
        <v>612</v>
      </c>
      <c r="M7" s="637"/>
      <c r="N7" s="637"/>
      <c r="O7" s="637"/>
      <c r="P7" s="637"/>
      <c r="Q7" s="637"/>
      <c r="R7" s="637"/>
      <c r="S7" s="637"/>
      <c r="T7" s="637"/>
      <c r="U7" s="60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42" t="s">
        <v>613</v>
      </c>
      <c r="O9" s="643"/>
      <c r="P9" s="64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638"/>
      <c r="S10" s="63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639"/>
      <c r="P12" s="360"/>
      <c r="R12" s="19"/>
      <c r="S12" s="64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640"/>
      <c r="P13" s="362"/>
      <c r="R13" s="19"/>
      <c r="S13" s="63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602" t="s">
        <v>667</v>
      </c>
      <c r="M28" s="637"/>
      <c r="N28" s="637"/>
      <c r="O28" s="637"/>
      <c r="P28" s="637"/>
      <c r="Q28" s="637"/>
      <c r="R28" s="637"/>
      <c r="S28" s="637"/>
      <c r="T28" s="637"/>
      <c r="U28" s="603"/>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602" t="s">
        <v>666</v>
      </c>
      <c r="M48" s="637"/>
      <c r="N48" s="637"/>
      <c r="O48" s="637"/>
      <c r="P48" s="637"/>
      <c r="Q48" s="637"/>
      <c r="R48" s="637"/>
      <c r="S48" s="637"/>
      <c r="T48" s="637"/>
      <c r="U48" s="60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8132</v>
      </c>
      <c r="P63" s="368">
        <f>+SUM(P55:P61)</f>
        <v>1</v>
      </c>
      <c r="Q63" s="369">
        <f>+SUM(Q55:Q61)</f>
        <v>1</v>
      </c>
      <c r="U63" s="297"/>
    </row>
    <row r="64" spans="2:21" x14ac:dyDescent="0.25">
      <c r="B64" s="1"/>
      <c r="C64" s="1"/>
      <c r="D64" s="1"/>
      <c r="E64" s="1"/>
      <c r="F64" s="1"/>
      <c r="G64" s="1"/>
      <c r="H64" s="1"/>
      <c r="I64" s="1"/>
      <c r="L64" s="148"/>
      <c r="M64" s="323" t="s">
        <v>568</v>
      </c>
      <c r="N64" s="367"/>
      <c r="O64" s="367">
        <f>24.39-O63</f>
        <v>-8107.61</v>
      </c>
      <c r="P64" s="365"/>
      <c r="S64" s="309"/>
      <c r="T64" s="309"/>
      <c r="U64" s="297"/>
    </row>
    <row r="65" spans="2:21" x14ac:dyDescent="0.25">
      <c r="B65" s="1"/>
      <c r="C65" s="1"/>
      <c r="D65" s="1"/>
      <c r="E65" s="1"/>
      <c r="F65" s="1"/>
      <c r="G65" s="1"/>
      <c r="H65" s="1"/>
      <c r="I65" s="1"/>
      <c r="L65" s="148"/>
      <c r="M65" s="323" t="s">
        <v>575</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742</v>
      </c>
      <c r="P77" s="299">
        <f>+P61</f>
        <v>3.578455484505657E-2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602" t="s">
        <v>668</v>
      </c>
      <c r="M81" s="637"/>
      <c r="N81" s="637"/>
      <c r="O81" s="637"/>
      <c r="P81" s="637"/>
      <c r="Q81" s="637"/>
      <c r="R81" s="637"/>
      <c r="S81" s="637"/>
      <c r="T81" s="637"/>
      <c r="U81" s="60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2.0105514796801851E-3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602" t="s">
        <v>673</v>
      </c>
      <c r="M104" s="637"/>
      <c r="N104" s="637"/>
      <c r="O104" s="637"/>
      <c r="P104" s="637"/>
      <c r="Q104" s="637"/>
      <c r="R104" s="637"/>
      <c r="S104" s="637"/>
      <c r="T104" s="637"/>
      <c r="U104" s="60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602" t="s">
        <v>679</v>
      </c>
      <c r="M128" s="637"/>
      <c r="N128" s="637"/>
      <c r="O128" s="637"/>
      <c r="P128" s="637"/>
      <c r="Q128" s="637"/>
      <c r="R128" s="637"/>
      <c r="S128" s="637"/>
      <c r="T128" s="637"/>
      <c r="U128" s="60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602" t="s">
        <v>711</v>
      </c>
      <c r="M162" s="637"/>
      <c r="N162" s="637"/>
      <c r="O162" s="637"/>
      <c r="P162" s="637"/>
      <c r="Q162" s="637"/>
      <c r="R162" s="637"/>
      <c r="S162" s="637"/>
      <c r="T162" s="637"/>
      <c r="U162" s="60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E76"/>
  <sheetViews>
    <sheetView showGridLines="0" topLeftCell="Z1" zoomScale="85" zoomScaleNormal="85" workbookViewId="0">
      <selection activeCell="D86" sqref="D86:D91"/>
    </sheetView>
  </sheetViews>
  <sheetFormatPr baseColWidth="10" defaultColWidth="9.140625" defaultRowHeight="15" x14ac:dyDescent="0.25"/>
  <cols>
    <col min="2" max="2" width="18.5703125" customWidth="1"/>
    <col min="3" max="3" width="20.28515625" customWidth="1"/>
    <col min="4" max="4" width="9.140625" customWidth="1"/>
    <col min="5" max="5" width="33.7109375" customWidth="1"/>
    <col min="6" max="6" width="27.140625" customWidth="1"/>
    <col min="7" max="7" width="17" customWidth="1"/>
    <col min="8" max="8" width="24.5703125" customWidth="1"/>
    <col min="9" max="9" width="27.28515625" style="292" customWidth="1"/>
    <col min="10" max="10" width="30.5703125" customWidth="1"/>
    <col min="11" max="11" width="11.85546875" customWidth="1"/>
    <col min="12" max="12" width="11" customWidth="1"/>
    <col min="24" max="24" width="14.140625" customWidth="1"/>
    <col min="26" max="26" width="13.5703125" customWidth="1"/>
    <col min="36" max="36" width="11" customWidth="1"/>
    <col min="42" max="42" width="22.140625" customWidth="1"/>
    <col min="45" max="45" width="22" customWidth="1"/>
    <col min="57" max="57" width="11" bestFit="1" customWidth="1"/>
  </cols>
  <sheetData>
    <row r="1" spans="5:57" x14ac:dyDescent="0.25">
      <c r="M1" s="122">
        <f>+'4.1 Ref_Cart'!E8</f>
        <v>6.0871741676095334</v>
      </c>
      <c r="N1" t="s">
        <v>914</v>
      </c>
      <c r="P1">
        <v>5.7</v>
      </c>
      <c r="Q1" t="s">
        <v>916</v>
      </c>
    </row>
    <row r="2" spans="5:57" x14ac:dyDescent="0.25">
      <c r="M2">
        <f>+M1/1000</f>
        <v>6.0871741676095338E-3</v>
      </c>
      <c r="N2" t="s">
        <v>915</v>
      </c>
      <c r="P2">
        <f>+P1/1000</f>
        <v>5.7000000000000002E-3</v>
      </c>
      <c r="Q2" t="s">
        <v>915</v>
      </c>
    </row>
    <row r="4" spans="5:57" ht="15.75" x14ac:dyDescent="0.25">
      <c r="K4" s="647" t="s">
        <v>912</v>
      </c>
      <c r="L4" s="647"/>
      <c r="M4" s="647"/>
      <c r="N4" s="647"/>
      <c r="O4" s="647"/>
      <c r="P4" s="647"/>
      <c r="Q4" s="647"/>
      <c r="R4" s="647"/>
      <c r="S4" s="647"/>
      <c r="T4" s="647"/>
      <c r="U4" s="51"/>
      <c r="V4" s="51"/>
      <c r="W4" s="51"/>
      <c r="Y4" s="647" t="s">
        <v>917</v>
      </c>
      <c r="Z4" s="647"/>
      <c r="AA4" s="647"/>
      <c r="AB4" s="647"/>
      <c r="AC4" s="647"/>
      <c r="AD4" s="647"/>
      <c r="AE4" s="647"/>
      <c r="AF4" s="647"/>
      <c r="AG4" s="647"/>
      <c r="AH4" s="647"/>
      <c r="AI4" s="51"/>
      <c r="AJ4" s="51"/>
      <c r="AR4" s="532" t="s">
        <v>917</v>
      </c>
      <c r="AS4" s="532"/>
      <c r="AT4" s="532"/>
      <c r="AU4" s="532"/>
      <c r="AV4" s="532"/>
      <c r="AW4" s="532"/>
      <c r="AX4" s="532"/>
      <c r="AY4" s="532"/>
      <c r="AZ4" s="532"/>
      <c r="BA4" s="532"/>
      <c r="BB4" s="533"/>
      <c r="BC4" s="533"/>
      <c r="BD4" s="533"/>
    </row>
    <row r="5" spans="5:57" ht="18.75" x14ac:dyDescent="0.25">
      <c r="E5" s="530" t="s">
        <v>795</v>
      </c>
      <c r="F5" s="530" t="s">
        <v>796</v>
      </c>
      <c r="G5" s="468" t="s">
        <v>797</v>
      </c>
      <c r="H5" s="530" t="s">
        <v>798</v>
      </c>
      <c r="I5" s="530" t="s">
        <v>799</v>
      </c>
      <c r="K5" s="515">
        <v>2020</v>
      </c>
      <c r="L5" s="516">
        <v>2023</v>
      </c>
      <c r="M5" s="516">
        <v>2025</v>
      </c>
      <c r="N5" s="516">
        <v>2027</v>
      </c>
      <c r="O5" s="516">
        <v>2030</v>
      </c>
      <c r="P5" s="516">
        <v>2033</v>
      </c>
      <c r="Q5" s="516">
        <v>2035</v>
      </c>
      <c r="R5" s="516">
        <v>2037</v>
      </c>
      <c r="S5" s="516">
        <v>2040</v>
      </c>
      <c r="T5" s="516">
        <v>2043</v>
      </c>
      <c r="U5" s="511">
        <v>2045</v>
      </c>
      <c r="V5" s="511">
        <v>2047</v>
      </c>
      <c r="W5" s="512">
        <v>2050</v>
      </c>
      <c r="X5" s="51" t="s">
        <v>913</v>
      </c>
      <c r="Y5" s="515">
        <v>2020</v>
      </c>
      <c r="Z5" s="516">
        <v>2023</v>
      </c>
      <c r="AA5" s="516">
        <v>2025</v>
      </c>
      <c r="AB5" s="516">
        <v>2027</v>
      </c>
      <c r="AC5" s="516">
        <v>2030</v>
      </c>
      <c r="AD5" s="516">
        <v>2033</v>
      </c>
      <c r="AE5" s="516">
        <v>2035</v>
      </c>
      <c r="AF5" s="516">
        <v>2037</v>
      </c>
      <c r="AG5" s="516">
        <v>2040</v>
      </c>
      <c r="AH5" s="516">
        <v>2043</v>
      </c>
      <c r="AI5" s="511">
        <v>2045</v>
      </c>
      <c r="AJ5" s="511">
        <v>2047</v>
      </c>
      <c r="AK5" s="508">
        <v>2050</v>
      </c>
      <c r="AL5" s="531" t="s">
        <v>918</v>
      </c>
      <c r="AP5" s="486" t="s">
        <v>935</v>
      </c>
      <c r="AQ5" t="s">
        <v>960</v>
      </c>
      <c r="AR5" s="504">
        <v>2020</v>
      </c>
      <c r="AS5" s="504">
        <v>2023</v>
      </c>
      <c r="AT5" s="504">
        <v>2025</v>
      </c>
      <c r="AU5" s="504">
        <v>2027</v>
      </c>
      <c r="AV5" s="504">
        <v>2030</v>
      </c>
      <c r="AW5" s="504">
        <v>2033</v>
      </c>
      <c r="AX5" s="504">
        <v>2035</v>
      </c>
      <c r="AY5" s="504">
        <v>2037</v>
      </c>
      <c r="AZ5" s="504">
        <v>2040</v>
      </c>
      <c r="BA5" s="504">
        <v>2043</v>
      </c>
      <c r="BB5" s="505">
        <v>2045</v>
      </c>
      <c r="BC5" s="505">
        <v>2047</v>
      </c>
      <c r="BD5" s="504">
        <v>2050</v>
      </c>
      <c r="BE5" s="531" t="s">
        <v>918</v>
      </c>
    </row>
    <row r="6" spans="5:57" ht="15.75" x14ac:dyDescent="0.25">
      <c r="E6" s="473" t="e" vm="1">
        <v>#VALUE!</v>
      </c>
      <c r="F6" s="474" t="s">
        <v>815</v>
      </c>
      <c r="G6" s="474" t="s">
        <v>836</v>
      </c>
      <c r="H6" s="474" t="s">
        <v>837</v>
      </c>
      <c r="I6" s="475" t="s">
        <v>838</v>
      </c>
      <c r="J6" s="517">
        <f>+C47</f>
        <v>28.68</v>
      </c>
      <c r="K6" s="517">
        <f>+AA47</f>
        <v>18483.601194567513</v>
      </c>
      <c r="L6" s="517">
        <f t="shared" ref="L6:W6" si="0">+AB47</f>
        <v>14640.064399328548</v>
      </c>
      <c r="M6" s="517">
        <f t="shared" si="0"/>
        <v>12077.70653583575</v>
      </c>
      <c r="N6" s="517">
        <f t="shared" si="0"/>
        <v>0</v>
      </c>
      <c r="O6" s="517">
        <f t="shared" si="0"/>
        <v>0</v>
      </c>
      <c r="P6" s="517">
        <f t="shared" si="0"/>
        <v>0</v>
      </c>
      <c r="Q6" s="517">
        <f t="shared" si="0"/>
        <v>0</v>
      </c>
      <c r="R6" s="517">
        <f t="shared" si="0"/>
        <v>0</v>
      </c>
      <c r="S6" s="517">
        <f t="shared" si="0"/>
        <v>0</v>
      </c>
      <c r="T6" s="517">
        <f t="shared" si="0"/>
        <v>0</v>
      </c>
      <c r="U6" s="514">
        <f t="shared" si="0"/>
        <v>0</v>
      </c>
      <c r="V6" s="514">
        <f t="shared" si="0"/>
        <v>0</v>
      </c>
      <c r="W6" s="514">
        <f t="shared" si="0"/>
        <v>0</v>
      </c>
      <c r="X6" s="514">
        <f>+SLOPE(K6:W6,K$5:W$5)</f>
        <v>-510.41980077296512</v>
      </c>
      <c r="Y6" s="518">
        <f>+K6*$P$2*365/1000</f>
        <v>38.455132285297715</v>
      </c>
      <c r="Z6" s="518">
        <f t="shared" ref="Z6:AA6" si="1">+L6*$P$2*365/1000</f>
        <v>30.458653982803046</v>
      </c>
      <c r="AA6" s="518">
        <f t="shared" si="1"/>
        <v>25.127668447806283</v>
      </c>
      <c r="AB6" s="518"/>
      <c r="AC6" s="518"/>
      <c r="AD6" s="518"/>
      <c r="AE6" s="518"/>
      <c r="AF6" s="518"/>
      <c r="AG6" s="518"/>
      <c r="AH6" s="518"/>
      <c r="AI6" s="518"/>
      <c r="AJ6" s="518"/>
      <c r="AK6" s="518"/>
      <c r="AL6" s="519">
        <f>+SLOPE(Y6:AK6,Y$5:AK$5)</f>
        <v>-2.6654927674982813</v>
      </c>
      <c r="AM6" s="518" t="s">
        <v>838</v>
      </c>
      <c r="AO6" s="75"/>
      <c r="AP6" s="543" t="s">
        <v>925</v>
      </c>
      <c r="AQ6" s="534">
        <f>+J6+J7</f>
        <v>43.6</v>
      </c>
      <c r="AR6" s="534">
        <f t="shared" ref="AR6:AY6" si="2">+Y6+Y7</f>
        <v>45.816389720978073</v>
      </c>
      <c r="AS6" s="535">
        <f t="shared" si="2"/>
        <v>36.93438053993998</v>
      </c>
      <c r="AT6" s="535">
        <f t="shared" si="2"/>
        <v>31.01304108591415</v>
      </c>
      <c r="AU6" s="535">
        <f t="shared" si="2"/>
        <v>5.2950187190789215</v>
      </c>
      <c r="AV6" s="535">
        <f t="shared" si="2"/>
        <v>4.4094878405355011</v>
      </c>
      <c r="AW6" s="535">
        <f t="shared" si="2"/>
        <v>3.5239569619919613</v>
      </c>
      <c r="AX6" s="535">
        <f t="shared" si="2"/>
        <v>2.9336030429630142</v>
      </c>
      <c r="AY6" s="535">
        <f t="shared" si="2"/>
        <v>2.3432491239340676</v>
      </c>
      <c r="AZ6" s="535"/>
      <c r="BA6" s="535"/>
      <c r="BB6" s="535"/>
      <c r="BC6" s="535"/>
      <c r="BD6" s="536"/>
      <c r="BE6">
        <f t="shared" ref="BE6:BE11" si="3">+SLOPE(AR6:BD6,AR$5:BD$5)</f>
        <v>-2.6851115732294639</v>
      </c>
    </row>
    <row r="7" spans="5:57" ht="15.75" x14ac:dyDescent="0.25">
      <c r="E7" s="473" t="e" vm="1">
        <v>#VALUE!</v>
      </c>
      <c r="F7" s="474" t="s">
        <v>815</v>
      </c>
      <c r="G7" s="474" t="s">
        <v>836</v>
      </c>
      <c r="H7" s="474" t="s">
        <v>837</v>
      </c>
      <c r="I7" s="475" t="s">
        <v>839</v>
      </c>
      <c r="J7" s="517">
        <f>+C39</f>
        <v>14.92</v>
      </c>
      <c r="K7" s="517">
        <f>+AA39</f>
        <v>3538.2155422640499</v>
      </c>
      <c r="L7" s="517">
        <f t="shared" ref="L7:W7" si="4">+AB39</f>
        <v>3112.5818587536342</v>
      </c>
      <c r="M7" s="517">
        <f t="shared" si="4"/>
        <v>2828.8260697466321</v>
      </c>
      <c r="N7" s="517">
        <f t="shared" si="4"/>
        <v>2545.0702807396883</v>
      </c>
      <c r="O7" s="517">
        <f t="shared" si="4"/>
        <v>2119.4365972292726</v>
      </c>
      <c r="P7" s="517">
        <f t="shared" si="4"/>
        <v>1693.8029137187987</v>
      </c>
      <c r="Q7" s="517">
        <f t="shared" si="4"/>
        <v>1410.0471247118548</v>
      </c>
      <c r="R7" s="517">
        <f t="shared" si="4"/>
        <v>1126.291335704911</v>
      </c>
      <c r="S7" s="517">
        <f t="shared" si="4"/>
        <v>0</v>
      </c>
      <c r="T7" s="517">
        <f t="shared" si="4"/>
        <v>0</v>
      </c>
      <c r="U7" s="514">
        <f t="shared" si="4"/>
        <v>0</v>
      </c>
      <c r="V7" s="514">
        <f t="shared" si="4"/>
        <v>0</v>
      </c>
      <c r="W7" s="514">
        <f t="shared" si="4"/>
        <v>0</v>
      </c>
      <c r="X7" s="514">
        <f t="shared" ref="X7:X25" si="5">+SLOPE(K7:W7,K$5:W$5)</f>
        <v>-134.16836701473517</v>
      </c>
      <c r="Y7" s="518">
        <f t="shared" ref="Y7:Y25" si="6">+K7*$P$2*365/1000</f>
        <v>7.361257435680356</v>
      </c>
      <c r="Z7" s="518">
        <f t="shared" ref="Z7:Z25" si="7">+L7*$P$2*365/1000</f>
        <v>6.4757265571369373</v>
      </c>
      <c r="AA7" s="518">
        <f t="shared" ref="AA7:AA25" si="8">+M7*$P$2*365/1000</f>
        <v>5.8853726381078681</v>
      </c>
      <c r="AB7" s="518">
        <f t="shared" ref="AB7:AB25" si="9">+N7*$P$2*365/1000</f>
        <v>5.2950187190789215</v>
      </c>
      <c r="AC7" s="518">
        <f t="shared" ref="AC7:AC25" si="10">+O7*$P$2*365/1000</f>
        <v>4.4094878405355011</v>
      </c>
      <c r="AD7" s="518">
        <f t="shared" ref="AD7:AD25" si="11">+P7*$P$2*365/1000</f>
        <v>3.5239569619919613</v>
      </c>
      <c r="AE7" s="518">
        <f t="shared" ref="AE7:AE25" si="12">+Q7*$P$2*365/1000</f>
        <v>2.9336030429630142</v>
      </c>
      <c r="AF7" s="518">
        <f t="shared" ref="AF7:AF25" si="13">+R7*$P$2*365/1000</f>
        <v>2.3432491239340676</v>
      </c>
      <c r="AG7" s="518"/>
      <c r="AH7" s="518"/>
      <c r="AI7" s="518"/>
      <c r="AJ7" s="518"/>
      <c r="AK7" s="518"/>
      <c r="AL7" s="519">
        <f t="shared" ref="AL7:AL25" si="14">+SLOPE(Y7:AK7,Y$5:AK$5)</f>
        <v>-0.29517695951448913</v>
      </c>
      <c r="AM7" t="s">
        <v>839</v>
      </c>
      <c r="AP7" s="544" t="s">
        <v>924</v>
      </c>
      <c r="AQ7" s="537">
        <f>+J8+J9+J10+J11+J12</f>
        <v>360.53999999999996</v>
      </c>
      <c r="AR7" s="537">
        <f t="shared" ref="AR7:BD7" si="15">+Y8+Y9+Y10+Y11+Y12</f>
        <v>301.36815227622213</v>
      </c>
      <c r="AS7" s="538">
        <f t="shared" si="15"/>
        <v>242.4264960500318</v>
      </c>
      <c r="AT7" s="538">
        <f t="shared" si="15"/>
        <v>171.85349200804063</v>
      </c>
      <c r="AU7" s="538">
        <f t="shared" si="15"/>
        <v>144.12763630355897</v>
      </c>
      <c r="AV7" s="538">
        <f t="shared" si="15"/>
        <v>105.8236587820916</v>
      </c>
      <c r="AW7" s="538">
        <f t="shared" si="15"/>
        <v>70.344739436893036</v>
      </c>
      <c r="AX7" s="538">
        <f t="shared" si="15"/>
        <v>40.133944941341369</v>
      </c>
      <c r="AY7" s="538">
        <f t="shared" si="15"/>
        <v>26.750010300979817</v>
      </c>
      <c r="AZ7" s="538">
        <f t="shared" si="15"/>
        <v>15.011164110721554</v>
      </c>
      <c r="BA7" s="538">
        <f t="shared" si="15"/>
        <v>11.223685114326383</v>
      </c>
      <c r="BB7" s="538">
        <f t="shared" si="15"/>
        <v>8.6986991167298644</v>
      </c>
      <c r="BC7" s="538">
        <f t="shared" si="15"/>
        <v>6.3213973707030426</v>
      </c>
      <c r="BD7" s="539">
        <f t="shared" si="15"/>
        <v>2.9625197140667652</v>
      </c>
      <c r="BE7">
        <f t="shared" si="3"/>
        <v>-9.382008134021282</v>
      </c>
    </row>
    <row r="8" spans="5:57" x14ac:dyDescent="0.25">
      <c r="E8" s="473" t="e" vm="2">
        <v>#VALUE!</v>
      </c>
      <c r="F8" s="474" t="s">
        <v>815</v>
      </c>
      <c r="G8" s="474" t="s">
        <v>849</v>
      </c>
      <c r="H8" s="474" t="s">
        <v>822</v>
      </c>
      <c r="I8" s="475" t="s">
        <v>850</v>
      </c>
      <c r="J8" s="517">
        <f>+C58</f>
        <v>3.84</v>
      </c>
      <c r="K8" s="517">
        <f>+AA58</f>
        <v>4827.9957140304614</v>
      </c>
      <c r="L8" s="517">
        <f t="shared" ref="L8:W8" si="16">+AB58</f>
        <v>2686.6182510862127</v>
      </c>
      <c r="M8" s="517">
        <f t="shared" si="16"/>
        <v>1259.0332757900469</v>
      </c>
      <c r="N8" s="517">
        <f t="shared" si="16"/>
        <v>0</v>
      </c>
      <c r="O8" s="517">
        <f t="shared" si="16"/>
        <v>0</v>
      </c>
      <c r="P8" s="517">
        <f t="shared" si="16"/>
        <v>0</v>
      </c>
      <c r="Q8" s="517">
        <f t="shared" si="16"/>
        <v>0</v>
      </c>
      <c r="R8" s="517">
        <f t="shared" si="16"/>
        <v>0</v>
      </c>
      <c r="S8" s="517">
        <f t="shared" si="16"/>
        <v>0</v>
      </c>
      <c r="T8" s="517">
        <f t="shared" si="16"/>
        <v>0</v>
      </c>
      <c r="U8" s="514">
        <f t="shared" si="16"/>
        <v>0</v>
      </c>
      <c r="V8" s="514">
        <f t="shared" si="16"/>
        <v>0</v>
      </c>
      <c r="W8" s="514">
        <f t="shared" si="16"/>
        <v>0</v>
      </c>
      <c r="X8" s="514">
        <f t="shared" si="5"/>
        <v>-104.31466857775084</v>
      </c>
      <c r="Y8" s="518">
        <f t="shared" si="6"/>
        <v>10.044645083040376</v>
      </c>
      <c r="Z8" s="518">
        <f t="shared" si="7"/>
        <v>5.5895092713848653</v>
      </c>
      <c r="AA8" s="518">
        <f t="shared" si="8"/>
        <v>2.6194187302811924</v>
      </c>
      <c r="AB8" s="518"/>
      <c r="AC8" s="518"/>
      <c r="AD8" s="518"/>
      <c r="AE8" s="518"/>
      <c r="AF8" s="518"/>
      <c r="AG8" s="518"/>
      <c r="AH8" s="518"/>
      <c r="AI8" s="518"/>
      <c r="AJ8" s="518"/>
      <c r="AK8" s="518"/>
      <c r="AL8" s="519">
        <f t="shared" si="14"/>
        <v>-1.4850452705518367</v>
      </c>
      <c r="AM8" t="s">
        <v>850</v>
      </c>
      <c r="AP8" s="545" t="s">
        <v>926</v>
      </c>
      <c r="AQ8" s="537">
        <f>+J13+J14+J15+J16+J17</f>
        <v>1300.8399999999997</v>
      </c>
      <c r="AR8" s="537">
        <f t="shared" ref="AR8:BD8" si="17">+Y13+Y14+Y15+Y16+Y17</f>
        <v>608.13099036155506</v>
      </c>
      <c r="AS8" s="538">
        <f t="shared" si="17"/>
        <v>522.49516194613284</v>
      </c>
      <c r="AT8" s="538">
        <f t="shared" si="17"/>
        <v>465.4046096691859</v>
      </c>
      <c r="AU8" s="538">
        <f t="shared" si="17"/>
        <v>408.31405739223914</v>
      </c>
      <c r="AV8" s="538">
        <f t="shared" si="17"/>
        <v>322.94891794545288</v>
      </c>
      <c r="AW8" s="538">
        <f t="shared" si="17"/>
        <v>238.8461909306553</v>
      </c>
      <c r="AX8" s="538">
        <f t="shared" si="17"/>
        <v>182.7777062541233</v>
      </c>
      <c r="AY8" s="538">
        <f t="shared" si="17"/>
        <v>108.5477198417107</v>
      </c>
      <c r="AZ8" s="538">
        <f t="shared" si="17"/>
        <v>81.980543736094816</v>
      </c>
      <c r="BA8" s="538">
        <f t="shared" si="17"/>
        <v>69.118940327005319</v>
      </c>
      <c r="BB8" s="538">
        <f t="shared" si="17"/>
        <v>57.053872779304349</v>
      </c>
      <c r="BC8" s="538">
        <f t="shared" si="17"/>
        <v>51.833914283484027</v>
      </c>
      <c r="BD8" s="539">
        <f t="shared" si="17"/>
        <v>40.640370330935419</v>
      </c>
      <c r="BE8">
        <f t="shared" si="3"/>
        <v>-19.949111557879402</v>
      </c>
    </row>
    <row r="9" spans="5:57" ht="30" x14ac:dyDescent="0.25">
      <c r="E9" s="473" t="e" vm="3">
        <v>#VALUE!</v>
      </c>
      <c r="F9" s="474" t="s">
        <v>815</v>
      </c>
      <c r="G9" s="474" t="s">
        <v>821</v>
      </c>
      <c r="H9" s="474" t="s">
        <v>822</v>
      </c>
      <c r="I9" s="475" t="s">
        <v>823</v>
      </c>
      <c r="J9" s="517">
        <f>+C48+C49+C50</f>
        <v>181.95999999999998</v>
      </c>
      <c r="K9" s="517">
        <f>+AA48+AA49+AA50</f>
        <v>57199.273556603264</v>
      </c>
      <c r="L9" s="517">
        <f t="shared" ref="L9:W9" si="18">+AB48+AB49+AB50</f>
        <v>48216.942760049453</v>
      </c>
      <c r="M9" s="517">
        <f t="shared" si="18"/>
        <v>42228.72222901287</v>
      </c>
      <c r="N9" s="517">
        <f t="shared" si="18"/>
        <v>36240.501697976375</v>
      </c>
      <c r="O9" s="517">
        <f t="shared" si="18"/>
        <v>27258.170901422563</v>
      </c>
      <c r="P9" s="517">
        <f t="shared" si="18"/>
        <v>18275.840104868665</v>
      </c>
      <c r="Q9" s="517">
        <f t="shared" si="18"/>
        <v>9120.5378289312648</v>
      </c>
      <c r="R9" s="517">
        <f t="shared" si="18"/>
        <v>8053.1278169640864</v>
      </c>
      <c r="S9" s="517">
        <f t="shared" si="18"/>
        <v>6452.0127990135225</v>
      </c>
      <c r="T9" s="517">
        <f t="shared" si="18"/>
        <v>4850.897781062813</v>
      </c>
      <c r="U9" s="514">
        <f t="shared" si="18"/>
        <v>3783.4877690957801</v>
      </c>
      <c r="V9" s="514">
        <f t="shared" si="18"/>
        <v>2787.0627374554751</v>
      </c>
      <c r="W9" s="514">
        <f t="shared" si="18"/>
        <v>1391.9565345775336</v>
      </c>
      <c r="X9" s="514">
        <f t="shared" si="5"/>
        <v>-1905.9730485977291</v>
      </c>
      <c r="Y9" s="518">
        <f t="shared" si="6"/>
        <v>119.00308863451311</v>
      </c>
      <c r="Z9" s="518">
        <f t="shared" si="7"/>
        <v>100.31534941228288</v>
      </c>
      <c r="AA9" s="518">
        <f t="shared" si="8"/>
        <v>87.856856597461288</v>
      </c>
      <c r="AB9" s="518">
        <f t="shared" si="9"/>
        <v>75.398363782639848</v>
      </c>
      <c r="AC9" s="518">
        <f t="shared" si="10"/>
        <v>56.710624560409649</v>
      </c>
      <c r="AD9" s="518">
        <f t="shared" si="11"/>
        <v>38.022885338179258</v>
      </c>
      <c r="AE9" s="518">
        <f t="shared" si="12"/>
        <v>18.975278953091497</v>
      </c>
      <c r="AF9" s="518">
        <f t="shared" si="13"/>
        <v>16.754532423193783</v>
      </c>
      <c r="AG9" s="518">
        <f t="shared" ref="AG9:AG25" si="19">+S9*$P$2*365/1000</f>
        <v>13.423412628347632</v>
      </c>
      <c r="AH9" s="518">
        <f t="shared" ref="AH9:AH25" si="20">+T9*$P$2*365/1000</f>
        <v>10.092292833501183</v>
      </c>
      <c r="AI9" s="518">
        <f t="shared" ref="AI9:AI25" si="21">+U9*$P$2*365/1000</f>
        <v>7.8715463036037701</v>
      </c>
      <c r="AJ9" s="518">
        <f t="shared" ref="AJ9:AJ25" si="22">+V9*$P$2*365/1000</f>
        <v>5.7984840252761156</v>
      </c>
      <c r="AK9" s="518">
        <f t="shared" ref="AK9:AK25" si="23">+W9*$P$2*365/1000</f>
        <v>2.8959655701885585</v>
      </c>
      <c r="AL9" s="519">
        <f t="shared" si="14"/>
        <v>-3.9653769276075757</v>
      </c>
      <c r="AM9" t="s">
        <v>823</v>
      </c>
      <c r="AP9" s="545" t="s">
        <v>927</v>
      </c>
      <c r="AQ9" s="537">
        <f>+J18</f>
        <v>7.3</v>
      </c>
      <c r="AR9" s="537">
        <f t="shared" ref="AR9:AZ9" si="24">+Y18</f>
        <v>3.8691863439810894</v>
      </c>
      <c r="AS9" s="538">
        <f t="shared" si="24"/>
        <v>3.4185516111034171</v>
      </c>
      <c r="AT9" s="538">
        <f t="shared" si="24"/>
        <v>3.1181284558516555</v>
      </c>
      <c r="AU9" s="538">
        <f t="shared" si="24"/>
        <v>2.8177053005998336</v>
      </c>
      <c r="AV9" s="538">
        <f t="shared" si="24"/>
        <v>2.3670705677222217</v>
      </c>
      <c r="AW9" s="538">
        <f t="shared" si="24"/>
        <v>1.9164358348445492</v>
      </c>
      <c r="AX9" s="538">
        <f t="shared" si="24"/>
        <v>1.616012679592727</v>
      </c>
      <c r="AY9" s="538">
        <f t="shared" si="24"/>
        <v>1.3155895243409652</v>
      </c>
      <c r="AZ9" s="538">
        <f t="shared" si="24"/>
        <v>0.86495479146329268</v>
      </c>
      <c r="BA9" s="538"/>
      <c r="BB9" s="538"/>
      <c r="BC9" s="538"/>
      <c r="BD9" s="539"/>
      <c r="BE9">
        <f t="shared" si="3"/>
        <v>-0.15021157762588969</v>
      </c>
    </row>
    <row r="10" spans="5:57" x14ac:dyDescent="0.25">
      <c r="E10" s="473" t="e" vm="3">
        <v>#VALUE!</v>
      </c>
      <c r="F10" s="474" t="s">
        <v>815</v>
      </c>
      <c r="G10" s="474" t="s">
        <v>824</v>
      </c>
      <c r="H10" s="474" t="s">
        <v>822</v>
      </c>
      <c r="I10" s="475" t="s">
        <v>825</v>
      </c>
      <c r="J10" s="517">
        <f>+C51+C52</f>
        <v>27.95</v>
      </c>
      <c r="K10" s="517">
        <f>+AA51+AA52</f>
        <v>28513.982927143341</v>
      </c>
      <c r="L10" s="517">
        <f t="shared" ref="L10:W10" si="25">+AB51+AB52</f>
        <v>20426.088212779025</v>
      </c>
      <c r="M10" s="517">
        <f t="shared" si="25"/>
        <v>0</v>
      </c>
      <c r="N10" s="517">
        <f t="shared" si="25"/>
        <v>0</v>
      </c>
      <c r="O10" s="517">
        <f t="shared" si="25"/>
        <v>0</v>
      </c>
      <c r="P10" s="517">
        <f t="shared" si="25"/>
        <v>0</v>
      </c>
      <c r="Q10" s="517">
        <f t="shared" si="25"/>
        <v>0</v>
      </c>
      <c r="R10" s="517">
        <f t="shared" si="25"/>
        <v>0</v>
      </c>
      <c r="S10" s="517">
        <f t="shared" si="25"/>
        <v>0</v>
      </c>
      <c r="T10" s="517">
        <f t="shared" si="25"/>
        <v>0</v>
      </c>
      <c r="U10" s="514">
        <f t="shared" si="25"/>
        <v>0</v>
      </c>
      <c r="V10" s="514">
        <f t="shared" si="25"/>
        <v>0</v>
      </c>
      <c r="W10" s="514">
        <f t="shared" si="25"/>
        <v>0</v>
      </c>
      <c r="X10" s="514">
        <f t="shared" si="5"/>
        <v>-598.59679934208043</v>
      </c>
      <c r="Y10" s="518">
        <f t="shared" si="6"/>
        <v>59.323341479921723</v>
      </c>
      <c r="Z10" s="518">
        <f t="shared" si="7"/>
        <v>42.496476526686763</v>
      </c>
      <c r="AA10" s="518"/>
      <c r="AB10" s="518"/>
      <c r="AC10" s="518"/>
      <c r="AD10" s="518"/>
      <c r="AE10" s="518"/>
      <c r="AF10" s="518"/>
      <c r="AG10" s="518"/>
      <c r="AH10" s="518"/>
      <c r="AI10" s="518"/>
      <c r="AJ10" s="518"/>
      <c r="AK10" s="518"/>
      <c r="AL10" s="519">
        <f t="shared" si="14"/>
        <v>-5.6089549844116533</v>
      </c>
      <c r="AM10" t="s">
        <v>825</v>
      </c>
      <c r="AP10" s="545" t="s">
        <v>929</v>
      </c>
      <c r="AQ10" s="537">
        <f>+J19+J21+J22</f>
        <v>179.83</v>
      </c>
      <c r="AR10" s="537">
        <f t="shared" ref="AR10:BC10" si="26">+Y19+Y21+Y22</f>
        <v>120.10488082771383</v>
      </c>
      <c r="AS10" s="538">
        <f t="shared" si="26"/>
        <v>102.2710976328155</v>
      </c>
      <c r="AT10" s="538">
        <f t="shared" si="26"/>
        <v>90.38190883621688</v>
      </c>
      <c r="AU10" s="538">
        <f t="shared" si="26"/>
        <v>78.492720039619002</v>
      </c>
      <c r="AV10" s="538">
        <f t="shared" si="26"/>
        <v>60.658936844720685</v>
      </c>
      <c r="AW10" s="538">
        <f t="shared" si="26"/>
        <v>42.82515364982315</v>
      </c>
      <c r="AX10" s="538">
        <f t="shared" si="26"/>
        <v>29.271790257160674</v>
      </c>
      <c r="AY10" s="538">
        <f t="shared" si="26"/>
        <v>19.864940326937376</v>
      </c>
      <c r="AZ10" s="538">
        <f t="shared" si="26"/>
        <v>13.68927126234288</v>
      </c>
      <c r="BA10" s="538">
        <f t="shared" si="26"/>
        <v>9.6070650611223698</v>
      </c>
      <c r="BB10" s="538">
        <f t="shared" si="26"/>
        <v>6.8855942603083893</v>
      </c>
      <c r="BC10" s="538">
        <f t="shared" si="26"/>
        <v>4.1641234594948973</v>
      </c>
      <c r="BD10" s="539"/>
      <c r="BE10">
        <f t="shared" si="3"/>
        <v>-4.4565773241322679</v>
      </c>
    </row>
    <row r="11" spans="5:57" ht="15.75" x14ac:dyDescent="0.25">
      <c r="E11" s="473" t="e" vm="3">
        <v>#VALUE!</v>
      </c>
      <c r="F11" s="474" t="s">
        <v>815</v>
      </c>
      <c r="G11" s="474" t="s">
        <v>826</v>
      </c>
      <c r="H11" s="474" t="s">
        <v>822</v>
      </c>
      <c r="I11" s="475" t="s">
        <v>827</v>
      </c>
      <c r="J11" s="517">
        <f>+C62+C63</f>
        <v>130.80000000000001</v>
      </c>
      <c r="K11" s="517">
        <f>+AA62+AA63</f>
        <v>48633.343378444086</v>
      </c>
      <c r="L11" s="517">
        <f t="shared" ref="L11:W11" si="27">+AB62+AB63</f>
        <v>40676.95037223761</v>
      </c>
      <c r="M11" s="517">
        <f t="shared" si="27"/>
        <v>35372.688368100266</v>
      </c>
      <c r="N11" s="517">
        <f t="shared" si="27"/>
        <v>30068.426363962935</v>
      </c>
      <c r="O11" s="517">
        <f t="shared" si="27"/>
        <v>22112.03335775646</v>
      </c>
      <c r="P11" s="517">
        <f t="shared" si="27"/>
        <v>14260.641422443092</v>
      </c>
      <c r="Q11" s="517">
        <f t="shared" si="27"/>
        <v>9041.2476984513924</v>
      </c>
      <c r="R11" s="517">
        <f t="shared" si="27"/>
        <v>3821.8539744596928</v>
      </c>
      <c r="S11" s="517">
        <f t="shared" si="27"/>
        <v>0</v>
      </c>
      <c r="T11" s="517">
        <f t="shared" si="27"/>
        <v>0</v>
      </c>
      <c r="U11" s="514">
        <f t="shared" si="27"/>
        <v>0</v>
      </c>
      <c r="V11" s="514">
        <f t="shared" si="27"/>
        <v>0</v>
      </c>
      <c r="W11" s="514">
        <f t="shared" si="27"/>
        <v>0</v>
      </c>
      <c r="X11" s="514">
        <f t="shared" si="5"/>
        <v>-1728.9462557126046</v>
      </c>
      <c r="Y11" s="518">
        <f t="shared" si="6"/>
        <v>101.18167089885293</v>
      </c>
      <c r="Z11" s="518">
        <f t="shared" si="7"/>
        <v>84.628395249440345</v>
      </c>
      <c r="AA11" s="518">
        <f t="shared" si="8"/>
        <v>73.5928781498326</v>
      </c>
      <c r="AB11" s="518">
        <f t="shared" si="9"/>
        <v>62.557361050224884</v>
      </c>
      <c r="AC11" s="518">
        <f t="shared" si="10"/>
        <v>46.004085400812315</v>
      </c>
      <c r="AD11" s="518">
        <f t="shared" si="11"/>
        <v>29.669264479392854</v>
      </c>
      <c r="AE11" s="518">
        <f t="shared" si="12"/>
        <v>18.810315836628124</v>
      </c>
      <c r="AF11" s="518">
        <f t="shared" si="13"/>
        <v>7.9513671938633914</v>
      </c>
      <c r="AG11" s="518">
        <f t="shared" si="19"/>
        <v>0</v>
      </c>
      <c r="AH11" s="518"/>
      <c r="AI11" s="518"/>
      <c r="AJ11" s="518"/>
      <c r="AK11" s="518"/>
      <c r="AL11" s="519">
        <f t="shared" si="14"/>
        <v>-5.2489972859455927</v>
      </c>
      <c r="AM11" t="s">
        <v>827</v>
      </c>
      <c r="AP11" s="546" t="s">
        <v>928</v>
      </c>
      <c r="AQ11" s="540">
        <f>+J23+J24+J25</f>
        <v>51.86</v>
      </c>
      <c r="AR11" s="540">
        <f t="shared" ref="AR11:BD11" si="28">+Y23+Y24+Y25</f>
        <v>22.745366925853645</v>
      </c>
      <c r="AS11" s="541">
        <f t="shared" si="28"/>
        <v>20.041242648559983</v>
      </c>
      <c r="AT11" s="541">
        <f t="shared" si="28"/>
        <v>18.238493130364368</v>
      </c>
      <c r="AU11" s="541">
        <f t="shared" si="28"/>
        <v>16.435743612168579</v>
      </c>
      <c r="AV11" s="541">
        <f t="shared" si="28"/>
        <v>13.731619334875035</v>
      </c>
      <c r="AW11" s="541">
        <f t="shared" si="28"/>
        <v>11.226900362824599</v>
      </c>
      <c r="AX11" s="541">
        <f t="shared" si="28"/>
        <v>9.6970968264457511</v>
      </c>
      <c r="AY11" s="541">
        <f t="shared" si="28"/>
        <v>8.1672932900669633</v>
      </c>
      <c r="AZ11" s="541">
        <f t="shared" si="28"/>
        <v>5.9100822889242215</v>
      </c>
      <c r="BA11" s="541">
        <f t="shared" si="28"/>
        <v>4.5094031449974228</v>
      </c>
      <c r="BB11" s="541">
        <f t="shared" si="28"/>
        <v>3.5362145742389126</v>
      </c>
      <c r="BC11" s="541">
        <f t="shared" si="28"/>
        <v>2.6600653984253664</v>
      </c>
      <c r="BD11" s="542">
        <f t="shared" si="28"/>
        <v>1.345841634704988</v>
      </c>
      <c r="BE11">
        <f t="shared" si="3"/>
        <v>-0.72707065395261417</v>
      </c>
    </row>
    <row r="12" spans="5:57" ht="15.75" x14ac:dyDescent="0.25">
      <c r="E12" s="473" t="e" vm="3">
        <v>#VALUE!</v>
      </c>
      <c r="F12" s="474" t="s">
        <v>815</v>
      </c>
      <c r="G12" s="474" t="s">
        <v>826</v>
      </c>
      <c r="H12" s="474" t="s">
        <v>822</v>
      </c>
      <c r="I12" s="475" t="s">
        <v>828</v>
      </c>
      <c r="J12" s="517">
        <f>+C56+C57</f>
        <v>15.989999999999998</v>
      </c>
      <c r="K12" s="517">
        <f>+AA56+AA57</f>
        <v>5679.11856760105</v>
      </c>
      <c r="L12" s="517">
        <f t="shared" ref="L12:W12" si="29">+AB56+AB57</f>
        <v>4516.5900457759853</v>
      </c>
      <c r="M12" s="517">
        <f t="shared" si="29"/>
        <v>3741.5710312259325</v>
      </c>
      <c r="N12" s="517">
        <f t="shared" si="29"/>
        <v>2966.5520166759088</v>
      </c>
      <c r="O12" s="517">
        <f t="shared" si="29"/>
        <v>1494.3277197162388</v>
      </c>
      <c r="P12" s="517">
        <f t="shared" si="29"/>
        <v>1274.9769859749649</v>
      </c>
      <c r="Q12" s="517">
        <f t="shared" si="29"/>
        <v>1128.7431634807726</v>
      </c>
      <c r="R12" s="517">
        <f t="shared" si="29"/>
        <v>982.50934098660946</v>
      </c>
      <c r="S12" s="517">
        <f t="shared" si="29"/>
        <v>763.15860724533559</v>
      </c>
      <c r="T12" s="517">
        <f t="shared" si="29"/>
        <v>543.80787350406172</v>
      </c>
      <c r="U12" s="514">
        <f t="shared" si="29"/>
        <v>397.57405100989854</v>
      </c>
      <c r="V12" s="514">
        <f t="shared" si="29"/>
        <v>251.34022851570626</v>
      </c>
      <c r="W12" s="514">
        <f t="shared" si="29"/>
        <v>31.989494774432387</v>
      </c>
      <c r="X12" s="514">
        <f t="shared" si="5"/>
        <v>-171.66604777525708</v>
      </c>
      <c r="Y12" s="518">
        <f t="shared" si="6"/>
        <v>11.815406179893985</v>
      </c>
      <c r="Z12" s="518">
        <f t="shared" si="7"/>
        <v>9.3967655902369387</v>
      </c>
      <c r="AA12" s="518">
        <f t="shared" si="8"/>
        <v>7.7843385304655532</v>
      </c>
      <c r="AB12" s="518">
        <f t="shared" si="9"/>
        <v>6.1719114706942282</v>
      </c>
      <c r="AC12" s="518">
        <f t="shared" si="10"/>
        <v>3.1089488208696352</v>
      </c>
      <c r="AD12" s="518">
        <f t="shared" si="11"/>
        <v>2.6525896193209144</v>
      </c>
      <c r="AE12" s="518">
        <f t="shared" si="12"/>
        <v>2.3483501516217475</v>
      </c>
      <c r="AF12" s="518">
        <f t="shared" si="13"/>
        <v>2.0441106839226411</v>
      </c>
      <c r="AG12" s="518">
        <f t="shared" si="19"/>
        <v>1.5877514823739207</v>
      </c>
      <c r="AH12" s="518">
        <f t="shared" si="20"/>
        <v>1.1313922808252004</v>
      </c>
      <c r="AI12" s="518">
        <f t="shared" si="21"/>
        <v>0.8271528131260939</v>
      </c>
      <c r="AJ12" s="518">
        <f t="shared" si="22"/>
        <v>0.52291334542692691</v>
      </c>
      <c r="AK12" s="518">
        <f t="shared" si="23"/>
        <v>6.6554143878206573E-2</v>
      </c>
      <c r="AL12" s="519">
        <f t="shared" si="14"/>
        <v>-0.35715121239642228</v>
      </c>
      <c r="AM12" t="s">
        <v>828</v>
      </c>
      <c r="AP12" s="524"/>
    </row>
    <row r="13" spans="5:57" x14ac:dyDescent="0.25">
      <c r="E13" s="473" t="e" vm="4">
        <v>#VALUE!</v>
      </c>
      <c r="F13" s="474" t="s">
        <v>815</v>
      </c>
      <c r="G13" s="474" t="s">
        <v>840</v>
      </c>
      <c r="H13" s="474" t="s">
        <v>822</v>
      </c>
      <c r="I13" s="475" t="s">
        <v>841</v>
      </c>
      <c r="J13" s="517">
        <f>+C64</f>
        <v>272.89999999999998</v>
      </c>
      <c r="K13" s="517">
        <f>+AA64</f>
        <v>101621.62162162177</v>
      </c>
      <c r="L13" s="517">
        <f t="shared" ref="L13:W13" si="30">+AB64</f>
        <v>84756.756756756455</v>
      </c>
      <c r="M13" s="517">
        <f t="shared" si="30"/>
        <v>73513.513513512909</v>
      </c>
      <c r="N13" s="517">
        <f t="shared" si="30"/>
        <v>62270.270270269364</v>
      </c>
      <c r="O13" s="517">
        <f t="shared" si="30"/>
        <v>45405.405405405909</v>
      </c>
      <c r="P13" s="517">
        <f t="shared" si="30"/>
        <v>28540.540540540591</v>
      </c>
      <c r="Q13" s="517">
        <f t="shared" si="30"/>
        <v>17297.297297297046</v>
      </c>
      <c r="R13" s="517">
        <f t="shared" si="30"/>
        <v>0</v>
      </c>
      <c r="S13" s="517">
        <f t="shared" si="30"/>
        <v>0</v>
      </c>
      <c r="T13" s="517">
        <f t="shared" si="30"/>
        <v>0</v>
      </c>
      <c r="U13" s="514">
        <f t="shared" si="30"/>
        <v>0</v>
      </c>
      <c r="V13" s="514">
        <f t="shared" si="30"/>
        <v>0</v>
      </c>
      <c r="W13" s="514">
        <f t="shared" si="30"/>
        <v>0</v>
      </c>
      <c r="X13" s="514">
        <f t="shared" si="5"/>
        <v>-3611.0416466288243</v>
      </c>
      <c r="Y13" s="518">
        <f t="shared" si="6"/>
        <v>211.4237837837841</v>
      </c>
      <c r="Z13" s="518">
        <f t="shared" si="7"/>
        <v>176.33643243243182</v>
      </c>
      <c r="AA13" s="518">
        <f t="shared" si="8"/>
        <v>152.94486486486363</v>
      </c>
      <c r="AB13" s="518">
        <f t="shared" si="9"/>
        <v>129.55329729729542</v>
      </c>
      <c r="AC13" s="518">
        <f t="shared" si="10"/>
        <v>94.465945945946999</v>
      </c>
      <c r="AD13" s="518">
        <f t="shared" si="11"/>
        <v>59.378594594594702</v>
      </c>
      <c r="AE13" s="518">
        <f t="shared" si="12"/>
        <v>35.9870270270265</v>
      </c>
      <c r="AF13" s="518"/>
      <c r="AG13" s="518"/>
      <c r="AH13" s="518"/>
      <c r="AI13" s="518"/>
      <c r="AJ13" s="518"/>
      <c r="AK13" s="518"/>
      <c r="AL13" s="519">
        <f t="shared" si="14"/>
        <v>-11.695783783783762</v>
      </c>
      <c r="AM13" t="s">
        <v>841</v>
      </c>
      <c r="AR13" s="291">
        <f>+SUM(AR6:BD11)</f>
        <v>5175.1741990991441</v>
      </c>
    </row>
    <row r="14" spans="5:57" ht="25.5" x14ac:dyDescent="0.25">
      <c r="E14" s="473" t="e" vm="4">
        <v>#VALUE!</v>
      </c>
      <c r="F14" s="474" t="s">
        <v>815</v>
      </c>
      <c r="G14" s="474" t="s">
        <v>842</v>
      </c>
      <c r="H14" s="474" t="s">
        <v>822</v>
      </c>
      <c r="I14" s="475" t="s">
        <v>843</v>
      </c>
      <c r="J14" s="517">
        <f>+C43+C42+C44</f>
        <v>697.95999999999992</v>
      </c>
      <c r="K14" s="517">
        <f>+AA43+AA42+AA44</f>
        <v>104196.74339982207</v>
      </c>
      <c r="L14" s="517">
        <f t="shared" ref="L14:W14" si="31">+AB43+AB42+AB44</f>
        <v>91549.650787922772</v>
      </c>
      <c r="M14" s="517">
        <f t="shared" si="31"/>
        <v>83118.25571332348</v>
      </c>
      <c r="N14" s="517">
        <f t="shared" si="31"/>
        <v>74686.860638724189</v>
      </c>
      <c r="O14" s="517">
        <f t="shared" si="31"/>
        <v>62039.768026825594</v>
      </c>
      <c r="P14" s="517">
        <f t="shared" si="31"/>
        <v>49392.675414926314</v>
      </c>
      <c r="Q14" s="517">
        <f t="shared" si="31"/>
        <v>40961.280340327015</v>
      </c>
      <c r="R14" s="517">
        <f t="shared" si="31"/>
        <v>29854.546512339461</v>
      </c>
      <c r="S14" s="517">
        <f t="shared" si="31"/>
        <v>27470.868534586669</v>
      </c>
      <c r="T14" s="517">
        <f t="shared" si="31"/>
        <v>25050.419885017211</v>
      </c>
      <c r="U14" s="514">
        <f t="shared" si="31"/>
        <v>23474.28389575053</v>
      </c>
      <c r="V14" s="514">
        <f t="shared" si="31"/>
        <v>21898.14790648385</v>
      </c>
      <c r="W14" s="514">
        <f t="shared" si="31"/>
        <v>19533.943922583712</v>
      </c>
      <c r="X14" s="514">
        <f t="shared" si="5"/>
        <v>-2945.9181727825594</v>
      </c>
      <c r="Y14" s="518">
        <f t="shared" si="6"/>
        <v>216.78132464332984</v>
      </c>
      <c r="Z14" s="518">
        <f t="shared" si="7"/>
        <v>190.46904846427333</v>
      </c>
      <c r="AA14" s="518">
        <f t="shared" si="8"/>
        <v>172.92753101156953</v>
      </c>
      <c r="AB14" s="518">
        <f t="shared" si="9"/>
        <v>155.38601355886567</v>
      </c>
      <c r="AC14" s="518">
        <f t="shared" si="10"/>
        <v>129.07373737981067</v>
      </c>
      <c r="AD14" s="518">
        <f t="shared" si="11"/>
        <v>102.7614612007542</v>
      </c>
      <c r="AE14" s="518">
        <f t="shared" si="12"/>
        <v>85.219943748050355</v>
      </c>
      <c r="AF14" s="518">
        <f t="shared" si="13"/>
        <v>62.112384018922256</v>
      </c>
      <c r="AG14" s="518">
        <f t="shared" si="19"/>
        <v>57.153141986207565</v>
      </c>
      <c r="AH14" s="518">
        <f t="shared" si="20"/>
        <v>52.117398570778313</v>
      </c>
      <c r="AI14" s="518">
        <f t="shared" si="21"/>
        <v>48.838247645108986</v>
      </c>
      <c r="AJ14" s="518">
        <f t="shared" si="22"/>
        <v>45.559096719439651</v>
      </c>
      <c r="AK14" s="518">
        <f t="shared" si="23"/>
        <v>40.640370330935419</v>
      </c>
      <c r="AL14" s="519">
        <f t="shared" si="14"/>
        <v>-6.1289827584741143</v>
      </c>
      <c r="AM14" t="s">
        <v>843</v>
      </c>
    </row>
    <row r="15" spans="5:57" x14ac:dyDescent="0.25">
      <c r="E15" s="473" t="e" vm="4">
        <v>#VALUE!</v>
      </c>
      <c r="F15" s="474" t="s">
        <v>815</v>
      </c>
      <c r="G15" s="474" t="s">
        <v>844</v>
      </c>
      <c r="H15" s="474" t="s">
        <v>822</v>
      </c>
      <c r="I15" s="475" t="s">
        <v>845</v>
      </c>
      <c r="J15" s="517">
        <f>+C45+C46</f>
        <v>236.24</v>
      </c>
      <c r="K15" s="517">
        <f>+AA45+AA46</f>
        <v>68166.815655914135</v>
      </c>
      <c r="L15" s="517">
        <f t="shared" ref="L15:W15" si="32">+AB45+AB46</f>
        <v>58703.848843057407</v>
      </c>
      <c r="M15" s="517">
        <f t="shared" si="32"/>
        <v>52395.20430115331</v>
      </c>
      <c r="N15" s="517">
        <f t="shared" si="32"/>
        <v>46086.559759249212</v>
      </c>
      <c r="O15" s="517">
        <f t="shared" si="32"/>
        <v>36623.592946392484</v>
      </c>
      <c r="P15" s="517">
        <f t="shared" si="32"/>
        <v>27160.626133535523</v>
      </c>
      <c r="Q15" s="517">
        <f t="shared" si="32"/>
        <v>20851.981591630494</v>
      </c>
      <c r="R15" s="517">
        <f t="shared" si="32"/>
        <v>14543.337049726397</v>
      </c>
      <c r="S15" s="517">
        <f t="shared" si="32"/>
        <v>5606.7655319848564</v>
      </c>
      <c r="T15" s="517">
        <f t="shared" si="32"/>
        <v>3290.1269175105263</v>
      </c>
      <c r="U15" s="514">
        <f t="shared" si="32"/>
        <v>0</v>
      </c>
      <c r="V15" s="514">
        <f t="shared" si="32"/>
        <v>0</v>
      </c>
      <c r="W15" s="514">
        <f t="shared" si="32"/>
        <v>0</v>
      </c>
      <c r="X15" s="514">
        <f t="shared" si="5"/>
        <v>-2467.6073326872774</v>
      </c>
      <c r="Y15" s="518">
        <f t="shared" si="6"/>
        <v>141.82105997212938</v>
      </c>
      <c r="Z15" s="518">
        <f t="shared" si="7"/>
        <v>122.13335751798094</v>
      </c>
      <c r="AA15" s="518">
        <f t="shared" si="8"/>
        <v>109.00822254854945</v>
      </c>
      <c r="AB15" s="518">
        <f t="shared" si="9"/>
        <v>95.883087579117998</v>
      </c>
      <c r="AC15" s="518">
        <f t="shared" si="10"/>
        <v>76.195385124969576</v>
      </c>
      <c r="AD15" s="518">
        <f t="shared" si="11"/>
        <v>56.507682670820657</v>
      </c>
      <c r="AE15" s="518">
        <f t="shared" si="12"/>
        <v>43.382547701387246</v>
      </c>
      <c r="AF15" s="518">
        <f t="shared" si="13"/>
        <v>30.257412731955768</v>
      </c>
      <c r="AG15" s="518">
        <f t="shared" si="19"/>
        <v>11.664875689294496</v>
      </c>
      <c r="AH15" s="518">
        <f t="shared" si="20"/>
        <v>6.8451090518806508</v>
      </c>
      <c r="AI15" s="518"/>
      <c r="AJ15" s="518"/>
      <c r="AK15" s="518"/>
      <c r="AL15" s="519">
        <f t="shared" si="14"/>
        <v>-6.183690388691935</v>
      </c>
      <c r="AM15" t="s">
        <v>845</v>
      </c>
      <c r="BE15">
        <f>15*BE11</f>
        <v>-10.906059809289212</v>
      </c>
    </row>
    <row r="16" spans="5:57" x14ac:dyDescent="0.25">
      <c r="E16" s="473" t="e" vm="4">
        <v>#VALUE!</v>
      </c>
      <c r="F16" s="474" t="s">
        <v>815</v>
      </c>
      <c r="G16" s="474" t="s">
        <v>844</v>
      </c>
      <c r="H16" s="474" t="s">
        <v>822</v>
      </c>
      <c r="I16" s="475" t="s">
        <v>846</v>
      </c>
      <c r="J16" s="517">
        <f>+C36</f>
        <v>89.87</v>
      </c>
      <c r="K16" s="517">
        <f>+AA36</f>
        <v>15609.574506649165</v>
      </c>
      <c r="L16" s="517">
        <f t="shared" ref="L16:W16" si="33">+AB36</f>
        <v>14210.290029251133</v>
      </c>
      <c r="M16" s="517">
        <f t="shared" si="33"/>
        <v>13277.433710985701</v>
      </c>
      <c r="N16" s="517">
        <f t="shared" si="33"/>
        <v>12344.577392720385</v>
      </c>
      <c r="O16" s="517">
        <f t="shared" si="33"/>
        <v>10945.292915322352</v>
      </c>
      <c r="P16" s="517">
        <f t="shared" si="33"/>
        <v>9546.0084379243199</v>
      </c>
      <c r="Q16" s="517">
        <f t="shared" si="33"/>
        <v>8613.1521196590038</v>
      </c>
      <c r="R16" s="517">
        <f t="shared" si="33"/>
        <v>7680.2958013936877</v>
      </c>
      <c r="S16" s="517">
        <f t="shared" si="33"/>
        <v>6281.0113239956554</v>
      </c>
      <c r="T16" s="517">
        <f t="shared" si="33"/>
        <v>4881.7268465976231</v>
      </c>
      <c r="U16" s="514">
        <f t="shared" si="33"/>
        <v>3948.870528332307</v>
      </c>
      <c r="V16" s="514">
        <f t="shared" si="33"/>
        <v>3016.0142100669909</v>
      </c>
      <c r="W16" s="514">
        <f t="shared" si="33"/>
        <v>0</v>
      </c>
      <c r="X16" s="514">
        <f t="shared" si="5"/>
        <v>-488.0037338569021</v>
      </c>
      <c r="Y16" s="518">
        <f t="shared" si="6"/>
        <v>32.475719761083589</v>
      </c>
      <c r="Z16" s="518">
        <f t="shared" si="7"/>
        <v>29.56450840585698</v>
      </c>
      <c r="AA16" s="518">
        <f t="shared" si="8"/>
        <v>27.623700835705748</v>
      </c>
      <c r="AB16" s="518">
        <f t="shared" si="9"/>
        <v>25.68289326555476</v>
      </c>
      <c r="AC16" s="518">
        <f t="shared" si="10"/>
        <v>22.771681910328155</v>
      </c>
      <c r="AD16" s="518">
        <f t="shared" si="11"/>
        <v>19.860470555101546</v>
      </c>
      <c r="AE16" s="518">
        <f t="shared" si="12"/>
        <v>17.919662984950559</v>
      </c>
      <c r="AF16" s="518">
        <f t="shared" si="13"/>
        <v>15.97885541479957</v>
      </c>
      <c r="AG16" s="518">
        <f t="shared" si="19"/>
        <v>13.067644059572961</v>
      </c>
      <c r="AH16" s="518">
        <f t="shared" si="20"/>
        <v>10.156432704346354</v>
      </c>
      <c r="AI16" s="518">
        <f t="shared" si="21"/>
        <v>8.2156251341953652</v>
      </c>
      <c r="AJ16" s="518">
        <f t="shared" si="22"/>
        <v>6.2748175640443753</v>
      </c>
      <c r="AK16" s="518"/>
      <c r="AL16" s="519">
        <f t="shared" si="14"/>
        <v>-0.97040378507552527</v>
      </c>
      <c r="AM16" t="s">
        <v>846</v>
      </c>
      <c r="BE16" s="291">
        <f>+AR11+BE15</f>
        <v>11.839307116564433</v>
      </c>
    </row>
    <row r="17" spans="5:57" x14ac:dyDescent="0.25">
      <c r="E17" s="473" t="e" vm="4">
        <v>#VALUE!</v>
      </c>
      <c r="F17" s="474" t="s">
        <v>815</v>
      </c>
      <c r="G17" s="474" t="s">
        <v>847</v>
      </c>
      <c r="H17" s="474" t="s">
        <v>822</v>
      </c>
      <c r="I17" s="475" t="s">
        <v>848</v>
      </c>
      <c r="J17" s="517">
        <f>+C37+C38</f>
        <v>3.87</v>
      </c>
      <c r="K17" s="517">
        <f>+AA37+AA38</f>
        <v>2705.6487388743917</v>
      </c>
      <c r="L17" s="517">
        <f t="shared" ref="L17:W17" si="34">+AB37+AB38</f>
        <v>1918.6806659888607</v>
      </c>
      <c r="M17" s="517">
        <f t="shared" si="34"/>
        <v>1394.035284065154</v>
      </c>
      <c r="N17" s="517">
        <f t="shared" si="34"/>
        <v>869.38990214144724</v>
      </c>
      <c r="O17" s="517">
        <f t="shared" si="34"/>
        <v>212.52948060442577</v>
      </c>
      <c r="P17" s="517">
        <f t="shared" si="34"/>
        <v>162.45225156654487</v>
      </c>
      <c r="Q17" s="517">
        <f t="shared" si="34"/>
        <v>129.06743220795761</v>
      </c>
      <c r="R17" s="517">
        <f t="shared" si="34"/>
        <v>95.682612849370344</v>
      </c>
      <c r="S17" s="517">
        <f t="shared" si="34"/>
        <v>45.605383811489446</v>
      </c>
      <c r="T17" s="517">
        <f t="shared" si="34"/>
        <v>0</v>
      </c>
      <c r="U17" s="514">
        <f t="shared" si="34"/>
        <v>0</v>
      </c>
      <c r="V17" s="514">
        <f t="shared" si="34"/>
        <v>0</v>
      </c>
      <c r="W17" s="514">
        <f t="shared" si="34"/>
        <v>0</v>
      </c>
      <c r="X17" s="514">
        <f t="shared" si="5"/>
        <v>-76.043176952103508</v>
      </c>
      <c r="Y17" s="518">
        <f t="shared" si="6"/>
        <v>5.6291022012281715</v>
      </c>
      <c r="Z17" s="518">
        <f t="shared" si="7"/>
        <v>3.9918151255898247</v>
      </c>
      <c r="AA17" s="518">
        <f t="shared" si="8"/>
        <v>2.9002904084975532</v>
      </c>
      <c r="AB17" s="518">
        <f t="shared" si="9"/>
        <v>1.8087656914052812</v>
      </c>
      <c r="AC17" s="518">
        <f t="shared" si="10"/>
        <v>0.44216758439750781</v>
      </c>
      <c r="AD17" s="518">
        <f t="shared" si="11"/>
        <v>0.33798190938419664</v>
      </c>
      <c r="AE17" s="518">
        <f t="shared" si="12"/>
        <v>0.26852479270865581</v>
      </c>
      <c r="AF17" s="518">
        <f t="shared" si="13"/>
        <v>0.19906767603311501</v>
      </c>
      <c r="AG17" s="518">
        <f t="shared" si="19"/>
        <v>9.4882001019803791E-2</v>
      </c>
      <c r="AH17" s="518"/>
      <c r="AI17" s="518"/>
      <c r="AJ17" s="518"/>
      <c r="AK17" s="518"/>
      <c r="AL17" s="519">
        <f t="shared" si="14"/>
        <v>-0.27175577479231794</v>
      </c>
      <c r="AM17" t="s">
        <v>848</v>
      </c>
      <c r="BD17" s="291"/>
    </row>
    <row r="18" spans="5:57" x14ac:dyDescent="0.25">
      <c r="E18" s="473" t="e" vm="5">
        <v>#VALUE!</v>
      </c>
      <c r="F18" s="474" t="s">
        <v>815</v>
      </c>
      <c r="G18" s="474" t="s">
        <v>851</v>
      </c>
      <c r="H18" s="474" t="s">
        <v>852</v>
      </c>
      <c r="I18" s="475" t="s">
        <v>851</v>
      </c>
      <c r="J18" s="517">
        <f>+C61</f>
        <v>7.3</v>
      </c>
      <c r="K18" s="517">
        <f>+AA61</f>
        <v>1859.7386897289543</v>
      </c>
      <c r="L18" s="517">
        <f t="shared" ref="L18:W18" si="35">+AB61</f>
        <v>1643.1394429720822</v>
      </c>
      <c r="M18" s="517">
        <f t="shared" si="35"/>
        <v>1498.7399451341771</v>
      </c>
      <c r="N18" s="517">
        <f t="shared" si="35"/>
        <v>1354.3404472962429</v>
      </c>
      <c r="O18" s="517">
        <f t="shared" si="35"/>
        <v>1137.7412005393999</v>
      </c>
      <c r="P18" s="517">
        <f t="shared" si="35"/>
        <v>921.14195378252771</v>
      </c>
      <c r="Q18" s="517">
        <f t="shared" si="35"/>
        <v>776.74245594459353</v>
      </c>
      <c r="R18" s="517">
        <f t="shared" si="35"/>
        <v>632.34295810668846</v>
      </c>
      <c r="S18" s="517">
        <f t="shared" si="35"/>
        <v>415.74371134981629</v>
      </c>
      <c r="T18" s="517">
        <f t="shared" si="35"/>
        <v>199.14446459294413</v>
      </c>
      <c r="U18" s="514">
        <f t="shared" si="35"/>
        <v>0</v>
      </c>
      <c r="V18" s="514">
        <f t="shared" si="35"/>
        <v>0</v>
      </c>
      <c r="W18" s="514">
        <f t="shared" si="35"/>
        <v>0</v>
      </c>
      <c r="X18" s="514">
        <f t="shared" si="5"/>
        <v>-67.642621362871054</v>
      </c>
      <c r="Y18" s="518">
        <f t="shared" si="6"/>
        <v>3.8691863439810894</v>
      </c>
      <c r="Z18" s="518">
        <f t="shared" si="7"/>
        <v>3.4185516111034171</v>
      </c>
      <c r="AA18" s="518">
        <f t="shared" si="8"/>
        <v>3.1181284558516555</v>
      </c>
      <c r="AB18" s="518">
        <f t="shared" si="9"/>
        <v>2.8177053005998336</v>
      </c>
      <c r="AC18" s="518">
        <f t="shared" si="10"/>
        <v>2.3670705677222217</v>
      </c>
      <c r="AD18" s="518">
        <f t="shared" si="11"/>
        <v>1.9164358348445492</v>
      </c>
      <c r="AE18" s="518">
        <f t="shared" si="12"/>
        <v>1.616012679592727</v>
      </c>
      <c r="AF18" s="518">
        <f t="shared" si="13"/>
        <v>1.3155895243409652</v>
      </c>
      <c r="AG18" s="518">
        <f t="shared" si="19"/>
        <v>0.86495479146329268</v>
      </c>
      <c r="AH18" s="518">
        <f t="shared" si="20"/>
        <v>0.41432005858562032</v>
      </c>
      <c r="AI18" s="518"/>
      <c r="AJ18" s="518"/>
      <c r="AK18" s="518"/>
      <c r="AL18" s="519">
        <f t="shared" si="14"/>
        <v>-0.15021157762588988</v>
      </c>
      <c r="AM18" t="s">
        <v>851</v>
      </c>
      <c r="BE18" s="528"/>
    </row>
    <row r="19" spans="5:57" x14ac:dyDescent="0.25">
      <c r="E19" s="473" t="e" vm="6">
        <v>#VALUE!</v>
      </c>
      <c r="F19" s="474" t="s">
        <v>815</v>
      </c>
      <c r="G19" s="474" t="s">
        <v>816</v>
      </c>
      <c r="H19" s="474" t="s">
        <v>817</v>
      </c>
      <c r="I19" s="475" t="s">
        <v>818</v>
      </c>
      <c r="J19" s="517">
        <f>+C41+C40</f>
        <v>30.759999999999998</v>
      </c>
      <c r="K19" s="517">
        <f>+AA41+AA40</f>
        <v>11630.082572906918</v>
      </c>
      <c r="L19" s="517">
        <f t="shared" ref="L19:V19" si="36">+AB41+AB40</f>
        <v>9640.5228169767361</v>
      </c>
      <c r="M19" s="517">
        <f t="shared" si="36"/>
        <v>8314.1496463567019</v>
      </c>
      <c r="N19" s="517">
        <f t="shared" si="36"/>
        <v>6987.7764757366676</v>
      </c>
      <c r="O19" s="517">
        <f t="shared" si="36"/>
        <v>4998.2167198064853</v>
      </c>
      <c r="P19" s="517">
        <f t="shared" si="36"/>
        <v>3008.6569638763322</v>
      </c>
      <c r="Q19" s="517">
        <f t="shared" si="36"/>
        <v>882.392134489608</v>
      </c>
      <c r="R19" s="517">
        <f t="shared" si="36"/>
        <v>749.16429738342413</v>
      </c>
      <c r="S19" s="517">
        <f t="shared" si="36"/>
        <v>549.32254172416287</v>
      </c>
      <c r="T19" s="517">
        <f t="shared" si="36"/>
        <v>349.48078606487252</v>
      </c>
      <c r="U19" s="514">
        <f t="shared" si="36"/>
        <v>216.25294895868865</v>
      </c>
      <c r="V19" s="514">
        <f t="shared" si="36"/>
        <v>83.025111852504779</v>
      </c>
      <c r="W19" s="514">
        <f>+AM41+AM40</f>
        <v>0</v>
      </c>
      <c r="X19" s="514">
        <f t="shared" si="5"/>
        <v>-400.346974884205</v>
      </c>
      <c r="Y19" s="518">
        <f t="shared" si="6"/>
        <v>24.196386792932845</v>
      </c>
      <c r="Z19" s="518">
        <f t="shared" si="7"/>
        <v>20.057107720720101</v>
      </c>
      <c r="AA19" s="518">
        <f t="shared" si="8"/>
        <v>17.297588339245117</v>
      </c>
      <c r="AB19" s="518">
        <f t="shared" si="9"/>
        <v>14.538068957770138</v>
      </c>
      <c r="AC19" s="518">
        <f t="shared" si="10"/>
        <v>10.398789885557393</v>
      </c>
      <c r="AD19" s="518">
        <f t="shared" si="11"/>
        <v>6.2595108133447104</v>
      </c>
      <c r="AE19" s="518">
        <f t="shared" si="12"/>
        <v>1.8358168358056295</v>
      </c>
      <c r="AF19" s="518">
        <f t="shared" si="13"/>
        <v>1.5586363207062142</v>
      </c>
      <c r="AG19" s="518">
        <f t="shared" si="19"/>
        <v>1.1428655480571208</v>
      </c>
      <c r="AH19" s="518">
        <f t="shared" si="20"/>
        <v>0.7270947754079673</v>
      </c>
      <c r="AI19" s="518">
        <f t="shared" si="21"/>
        <v>0.44991426030855169</v>
      </c>
      <c r="AJ19" s="518">
        <f t="shared" si="22"/>
        <v>0.1727337452091362</v>
      </c>
      <c r="AK19" s="518"/>
      <c r="AL19" s="519">
        <f t="shared" si="14"/>
        <v>-0.92350020111029185</v>
      </c>
      <c r="AM19" t="s">
        <v>818</v>
      </c>
    </row>
    <row r="20" spans="5:57" x14ac:dyDescent="0.25">
      <c r="E20" s="473" t="e" vm="6">
        <v>#VALUE!</v>
      </c>
      <c r="F20" s="474" t="s">
        <v>815</v>
      </c>
      <c r="G20" s="474" t="s">
        <v>819</v>
      </c>
      <c r="H20" s="474" t="s">
        <v>817</v>
      </c>
      <c r="I20" s="475" t="s">
        <v>820</v>
      </c>
      <c r="J20" s="517">
        <f>+C66</f>
        <v>5.59</v>
      </c>
      <c r="K20" s="517">
        <f>+AA66</f>
        <v>1493.6552899376111</v>
      </c>
      <c r="L20" s="517">
        <f t="shared" ref="L20:W20" si="37">+AB66</f>
        <v>1319.8699844136281</v>
      </c>
      <c r="M20" s="517">
        <f t="shared" si="37"/>
        <v>1204.0131140643207</v>
      </c>
      <c r="N20" s="517">
        <f t="shared" si="37"/>
        <v>1088.1562437149987</v>
      </c>
      <c r="O20" s="517">
        <f t="shared" si="37"/>
        <v>914.37093819101574</v>
      </c>
      <c r="P20" s="517">
        <f t="shared" si="37"/>
        <v>740.58563266703277</v>
      </c>
      <c r="Q20" s="517">
        <f t="shared" si="37"/>
        <v>624.72876231772534</v>
      </c>
      <c r="R20" s="517">
        <f t="shared" si="37"/>
        <v>508.87189196840336</v>
      </c>
      <c r="S20" s="517">
        <f t="shared" si="37"/>
        <v>335.08658644442039</v>
      </c>
      <c r="T20" s="517">
        <f t="shared" si="37"/>
        <v>161.30128092043742</v>
      </c>
      <c r="U20" s="514">
        <f t="shared" si="37"/>
        <v>45.444410571129993</v>
      </c>
      <c r="V20" s="514">
        <f t="shared" si="37"/>
        <v>0</v>
      </c>
      <c r="W20" s="514">
        <f t="shared" si="37"/>
        <v>0</v>
      </c>
      <c r="X20" s="514">
        <f t="shared" si="5"/>
        <v>-53.917833753955819</v>
      </c>
      <c r="Y20" s="518">
        <f t="shared" si="6"/>
        <v>3.1075498307151999</v>
      </c>
      <c r="Z20" s="518">
        <f t="shared" si="7"/>
        <v>2.7459895025725531</v>
      </c>
      <c r="AA20" s="518">
        <f t="shared" si="8"/>
        <v>2.5049492838108196</v>
      </c>
      <c r="AB20" s="518">
        <f t="shared" si="9"/>
        <v>2.263909065049055</v>
      </c>
      <c r="AC20" s="518">
        <f t="shared" si="10"/>
        <v>1.9023487369064083</v>
      </c>
      <c r="AD20" s="518">
        <f t="shared" si="11"/>
        <v>1.5407884087637616</v>
      </c>
      <c r="AE20" s="518">
        <f t="shared" si="12"/>
        <v>1.2997481900020276</v>
      </c>
      <c r="AF20" s="518">
        <f t="shared" si="13"/>
        <v>1.0587079712402634</v>
      </c>
      <c r="AG20" s="518">
        <f t="shared" si="19"/>
        <v>0.69714764309761668</v>
      </c>
      <c r="AH20" s="518">
        <f t="shared" si="20"/>
        <v>0.33558731495497007</v>
      </c>
      <c r="AI20" s="518">
        <f t="shared" si="21"/>
        <v>9.4547096193235938E-2</v>
      </c>
      <c r="AJ20" s="518"/>
      <c r="AK20" s="518"/>
      <c r="AL20" s="519">
        <f t="shared" si="14"/>
        <v>-0.12052010938087906</v>
      </c>
      <c r="AM20" t="s">
        <v>820</v>
      </c>
    </row>
    <row r="21" spans="5:57" x14ac:dyDescent="0.25">
      <c r="E21" s="473" t="e" vm="7">
        <v>#VALUE!</v>
      </c>
      <c r="F21" s="474" t="s">
        <v>815</v>
      </c>
      <c r="G21" s="474" t="s">
        <v>853</v>
      </c>
      <c r="H21" s="474" t="s">
        <v>817</v>
      </c>
      <c r="I21" s="475" t="s">
        <v>854</v>
      </c>
      <c r="J21" s="517">
        <f>+C68</f>
        <v>90.73</v>
      </c>
      <c r="K21" s="517">
        <f>+AA68</f>
        <v>17779.047619047575</v>
      </c>
      <c r="L21" s="517">
        <f t="shared" ref="L21:W21" si="38">+AB68</f>
        <v>16016.761904761894</v>
      </c>
      <c r="M21" s="517">
        <f t="shared" si="38"/>
        <v>14841.904761904618</v>
      </c>
      <c r="N21" s="517">
        <f t="shared" si="38"/>
        <v>13667.047619047575</v>
      </c>
      <c r="O21" s="517">
        <f t="shared" si="38"/>
        <v>11904.761904761894</v>
      </c>
      <c r="P21" s="517">
        <f t="shared" si="38"/>
        <v>10142.476190476213</v>
      </c>
      <c r="Q21" s="517">
        <f t="shared" si="38"/>
        <v>8967.6190476189367</v>
      </c>
      <c r="R21" s="517">
        <f t="shared" si="38"/>
        <v>7792.7619047618937</v>
      </c>
      <c r="S21" s="517">
        <f t="shared" si="38"/>
        <v>6030.4761904762127</v>
      </c>
      <c r="T21" s="517">
        <f t="shared" si="38"/>
        <v>4268.1904761905316</v>
      </c>
      <c r="U21" s="514">
        <f t="shared" si="38"/>
        <v>3093.3333333332557</v>
      </c>
      <c r="V21" s="514">
        <f t="shared" si="38"/>
        <v>1918.4761904762127</v>
      </c>
      <c r="W21" s="514">
        <f t="shared" si="38"/>
        <v>156.19047619053163</v>
      </c>
      <c r="X21" s="514">
        <f t="shared" si="5"/>
        <v>-587.42857142856838</v>
      </c>
      <c r="Y21" s="518">
        <f t="shared" si="6"/>
        <v>36.989308571428481</v>
      </c>
      <c r="Z21" s="518">
        <f t="shared" si="7"/>
        <v>33.322873142857119</v>
      </c>
      <c r="AA21" s="518">
        <f t="shared" si="8"/>
        <v>30.878582857142554</v>
      </c>
      <c r="AB21" s="518">
        <f t="shared" si="9"/>
        <v>28.434292571428479</v>
      </c>
      <c r="AC21" s="518">
        <f t="shared" si="10"/>
        <v>24.767857142857121</v>
      </c>
      <c r="AD21" s="518">
        <f t="shared" si="11"/>
        <v>21.10142171428576</v>
      </c>
      <c r="AE21" s="518">
        <f t="shared" si="12"/>
        <v>18.657131428571201</v>
      </c>
      <c r="AF21" s="518">
        <f t="shared" si="13"/>
        <v>16.212841142857119</v>
      </c>
      <c r="AG21" s="518">
        <f t="shared" si="19"/>
        <v>12.546405714285759</v>
      </c>
      <c r="AH21" s="518">
        <f t="shared" si="20"/>
        <v>8.8799702857144016</v>
      </c>
      <c r="AI21" s="518">
        <f t="shared" si="21"/>
        <v>6.435679999999838</v>
      </c>
      <c r="AJ21" s="518">
        <f t="shared" si="22"/>
        <v>3.9913897142857606</v>
      </c>
      <c r="AK21" s="518">
        <f t="shared" si="23"/>
        <v>0.32495428571440105</v>
      </c>
      <c r="AL21" s="519">
        <f t="shared" si="14"/>
        <v>-1.2221451428571364</v>
      </c>
      <c r="AM21" t="s">
        <v>854</v>
      </c>
    </row>
    <row r="22" spans="5:57" x14ac:dyDescent="0.25">
      <c r="E22" s="473" t="e" vm="7">
        <v>#VALUE!</v>
      </c>
      <c r="F22" s="474" t="s">
        <v>815</v>
      </c>
      <c r="G22" s="474" t="s">
        <v>855</v>
      </c>
      <c r="H22" s="474" t="s">
        <v>817</v>
      </c>
      <c r="I22" s="475" t="s">
        <v>856</v>
      </c>
      <c r="J22" s="517">
        <f>+C60+C59</f>
        <v>58.34</v>
      </c>
      <c r="K22" s="517">
        <f>+AA60+AA59</f>
        <v>28319.723846840905</v>
      </c>
      <c r="L22" s="517">
        <f t="shared" ref="L22:W22" si="39">+AB60+AB59</f>
        <v>23499.695635298383</v>
      </c>
      <c r="M22" s="517">
        <f t="shared" si="39"/>
        <v>20286.34349427023</v>
      </c>
      <c r="N22" s="517">
        <f t="shared" si="39"/>
        <v>17072.991353242192</v>
      </c>
      <c r="O22" s="517">
        <f t="shared" si="39"/>
        <v>12252.963141699671</v>
      </c>
      <c r="P22" s="517">
        <f t="shared" si="39"/>
        <v>7432.9349301574985</v>
      </c>
      <c r="Q22" s="517">
        <f t="shared" si="39"/>
        <v>4219.5827891294612</v>
      </c>
      <c r="R22" s="517">
        <f t="shared" si="39"/>
        <v>1006.2306481009582</v>
      </c>
      <c r="S22" s="517">
        <f t="shared" si="39"/>
        <v>0</v>
      </c>
      <c r="T22" s="517">
        <f t="shared" si="39"/>
        <v>0</v>
      </c>
      <c r="U22" s="514">
        <f t="shared" si="39"/>
        <v>0</v>
      </c>
      <c r="V22" s="514">
        <f t="shared" si="39"/>
        <v>0</v>
      </c>
      <c r="W22" s="514">
        <f t="shared" si="39"/>
        <v>0</v>
      </c>
      <c r="X22" s="514">
        <f t="shared" si="5"/>
        <v>-996.7596044194355</v>
      </c>
      <c r="Y22" s="518">
        <f t="shared" si="6"/>
        <v>58.919185463352498</v>
      </c>
      <c r="Z22" s="518">
        <f t="shared" si="7"/>
        <v>48.891116769238288</v>
      </c>
      <c r="AA22" s="518">
        <f t="shared" si="8"/>
        <v>42.205737639829209</v>
      </c>
      <c r="AB22" s="518">
        <f t="shared" si="9"/>
        <v>35.520358510420387</v>
      </c>
      <c r="AC22" s="518">
        <f t="shared" si="10"/>
        <v>25.492289816306165</v>
      </c>
      <c r="AD22" s="518">
        <f t="shared" si="11"/>
        <v>15.464221122192678</v>
      </c>
      <c r="AE22" s="518">
        <f t="shared" si="12"/>
        <v>8.7788419927838444</v>
      </c>
      <c r="AF22" s="518">
        <f t="shared" si="13"/>
        <v>2.0934628633740435</v>
      </c>
      <c r="AG22" s="518"/>
      <c r="AH22" s="518"/>
      <c r="AI22" s="518"/>
      <c r="AJ22" s="518"/>
      <c r="AK22" s="518"/>
      <c r="AL22" s="519">
        <f t="shared" si="14"/>
        <v>-3.3426895647045884</v>
      </c>
      <c r="AM22" t="s">
        <v>856</v>
      </c>
    </row>
    <row r="23" spans="5:57" x14ac:dyDescent="0.25">
      <c r="E23" s="473" t="e" vm="8">
        <v>#VALUE!</v>
      </c>
      <c r="F23" s="474" t="s">
        <v>815</v>
      </c>
      <c r="G23" s="474" t="s">
        <v>829</v>
      </c>
      <c r="H23" s="474" t="s">
        <v>830</v>
      </c>
      <c r="I23" s="475" t="s">
        <v>831</v>
      </c>
      <c r="J23" s="517">
        <f>+C53+C54+C55</f>
        <v>11.25</v>
      </c>
      <c r="K23" s="517">
        <f>+AA53+AA54+AA55</f>
        <v>3968.89577214374</v>
      </c>
      <c r="L23" s="517">
        <f t="shared" ref="L23:W23" si="40">+AB53+AB54+AB55</f>
        <v>3300.834962928031</v>
      </c>
      <c r="M23" s="517">
        <f t="shared" si="40"/>
        <v>2855.4610901176165</v>
      </c>
      <c r="N23" s="517">
        <f t="shared" si="40"/>
        <v>2410.0872173071148</v>
      </c>
      <c r="O23" s="517">
        <f t="shared" si="40"/>
        <v>1742.026408091464</v>
      </c>
      <c r="P23" s="517">
        <f t="shared" si="40"/>
        <v>1169.8104944504848</v>
      </c>
      <c r="Q23" s="517">
        <f t="shared" si="40"/>
        <v>855.62911470271138</v>
      </c>
      <c r="R23" s="517">
        <f t="shared" si="40"/>
        <v>541.44773495493791</v>
      </c>
      <c r="S23" s="517">
        <f t="shared" si="40"/>
        <v>88.197440591869963</v>
      </c>
      <c r="T23" s="517">
        <f t="shared" si="40"/>
        <v>46.642343160281598</v>
      </c>
      <c r="U23" s="514">
        <f t="shared" si="40"/>
        <v>18.938944872556021</v>
      </c>
      <c r="V23" s="514">
        <f t="shared" si="40"/>
        <v>0</v>
      </c>
      <c r="W23" s="514">
        <f t="shared" si="40"/>
        <v>0</v>
      </c>
      <c r="X23" s="514">
        <f t="shared" si="5"/>
        <v>-138.73852930552206</v>
      </c>
      <c r="Y23" s="518">
        <f t="shared" si="6"/>
        <v>8.2572876539450526</v>
      </c>
      <c r="Z23" s="518">
        <f t="shared" si="7"/>
        <v>6.8673871403717692</v>
      </c>
      <c r="AA23" s="518">
        <f t="shared" si="8"/>
        <v>5.9407867979897011</v>
      </c>
      <c r="AB23" s="518">
        <f t="shared" si="9"/>
        <v>5.0141864556074527</v>
      </c>
      <c r="AC23" s="518">
        <f t="shared" si="10"/>
        <v>3.6242859420342906</v>
      </c>
      <c r="AD23" s="518">
        <f t="shared" si="11"/>
        <v>2.4337907337042339</v>
      </c>
      <c r="AE23" s="518">
        <f t="shared" si="12"/>
        <v>1.780136373138991</v>
      </c>
      <c r="AF23" s="518">
        <f t="shared" si="13"/>
        <v>1.1264820125737482</v>
      </c>
      <c r="AG23" s="518">
        <f t="shared" si="19"/>
        <v>0.18349477515138546</v>
      </c>
      <c r="AH23" s="518">
        <f t="shared" si="20"/>
        <v>9.7039394944965857E-2</v>
      </c>
      <c r="AI23" s="518"/>
      <c r="AJ23" s="518"/>
      <c r="AK23" s="518"/>
      <c r="AL23" s="519">
        <f t="shared" si="14"/>
        <v>-0.37469510191372613</v>
      </c>
      <c r="AM23" t="s">
        <v>831</v>
      </c>
    </row>
    <row r="24" spans="5:57" x14ac:dyDescent="0.25">
      <c r="E24" s="473" t="e" vm="8">
        <v>#VALUE!</v>
      </c>
      <c r="F24" s="474" t="s">
        <v>815</v>
      </c>
      <c r="G24" s="474" t="s">
        <v>832</v>
      </c>
      <c r="H24" s="474" t="s">
        <v>830</v>
      </c>
      <c r="I24" s="475" t="s">
        <v>833</v>
      </c>
      <c r="J24" s="517">
        <f>+C65</f>
        <v>24.09</v>
      </c>
      <c r="K24" s="517">
        <f>+AA65</f>
        <v>3699.072721168428</v>
      </c>
      <c r="L24" s="517">
        <f t="shared" ref="L24:W24" si="41">+AB65</f>
        <v>3390.493496084353</v>
      </c>
      <c r="M24" s="517">
        <f t="shared" si="41"/>
        <v>3184.7740126949793</v>
      </c>
      <c r="N24" s="517">
        <f t="shared" si="41"/>
        <v>2979.0545293056057</v>
      </c>
      <c r="O24" s="517">
        <f t="shared" si="41"/>
        <v>2670.4753042215307</v>
      </c>
      <c r="P24" s="517">
        <f t="shared" si="41"/>
        <v>2361.8960791374557</v>
      </c>
      <c r="Q24" s="517">
        <f t="shared" si="41"/>
        <v>2156.1765957480529</v>
      </c>
      <c r="R24" s="517">
        <f t="shared" si="41"/>
        <v>1950.4571123586793</v>
      </c>
      <c r="S24" s="517">
        <f t="shared" si="41"/>
        <v>1641.8778872746043</v>
      </c>
      <c r="T24" s="517">
        <f t="shared" si="41"/>
        <v>1333.2986621905293</v>
      </c>
      <c r="U24" s="514">
        <f t="shared" si="41"/>
        <v>1127.5791788011556</v>
      </c>
      <c r="V24" s="514">
        <f t="shared" si="41"/>
        <v>921.85969541178201</v>
      </c>
      <c r="W24" s="514">
        <f t="shared" si="41"/>
        <v>613.28047032770701</v>
      </c>
      <c r="X24" s="514">
        <f t="shared" si="5"/>
        <v>-102.85974169469101</v>
      </c>
      <c r="Y24" s="518">
        <f t="shared" si="6"/>
        <v>7.6959207963909142</v>
      </c>
      <c r="Z24" s="518">
        <f t="shared" si="7"/>
        <v>7.0539217186034957</v>
      </c>
      <c r="AA24" s="518">
        <f t="shared" si="8"/>
        <v>6.6259223334119044</v>
      </c>
      <c r="AB24" s="518">
        <f t="shared" si="9"/>
        <v>6.1979229482203131</v>
      </c>
      <c r="AC24" s="518">
        <f t="shared" si="10"/>
        <v>5.5559238704328946</v>
      </c>
      <c r="AD24" s="518">
        <f t="shared" si="11"/>
        <v>4.9139247926454761</v>
      </c>
      <c r="AE24" s="518">
        <f t="shared" si="12"/>
        <v>4.4859254074538235</v>
      </c>
      <c r="AF24" s="518">
        <f t="shared" si="13"/>
        <v>4.0579260222622322</v>
      </c>
      <c r="AG24" s="518">
        <f t="shared" si="19"/>
        <v>3.4159269444748142</v>
      </c>
      <c r="AH24" s="518">
        <f t="shared" si="20"/>
        <v>2.7739278666873961</v>
      </c>
      <c r="AI24" s="518">
        <f t="shared" si="21"/>
        <v>2.3459284814958048</v>
      </c>
      <c r="AJ24" s="518">
        <f t="shared" si="22"/>
        <v>1.9179290963042124</v>
      </c>
      <c r="AK24" s="518">
        <f t="shared" si="23"/>
        <v>1.2759300185167946</v>
      </c>
      <c r="AL24" s="519">
        <f t="shared" si="14"/>
        <v>-0.21399969259580465</v>
      </c>
      <c r="AM24" t="s">
        <v>833</v>
      </c>
    </row>
    <row r="25" spans="5:57" x14ac:dyDescent="0.25">
      <c r="E25" s="473" t="e" vm="8">
        <v>#VALUE!</v>
      </c>
      <c r="F25" s="474" t="s">
        <v>815</v>
      </c>
      <c r="G25" s="474" t="s">
        <v>834</v>
      </c>
      <c r="H25" s="474" t="s">
        <v>830</v>
      </c>
      <c r="I25" s="480" t="s">
        <v>835</v>
      </c>
      <c r="J25" s="517">
        <f>+C67</f>
        <v>16.52</v>
      </c>
      <c r="K25" s="517">
        <f>+AA67</f>
        <v>3264.6760276460845</v>
      </c>
      <c r="L25" s="517">
        <f t="shared" ref="L25:W25" si="42">+AB67</f>
        <v>2941.5687525040703</v>
      </c>
      <c r="M25" s="517">
        <f t="shared" si="42"/>
        <v>2726.1639024094038</v>
      </c>
      <c r="N25" s="517">
        <f t="shared" si="42"/>
        <v>2510.7590523147373</v>
      </c>
      <c r="O25" s="517">
        <f t="shared" si="42"/>
        <v>2187.6517771727231</v>
      </c>
      <c r="P25" s="517">
        <f t="shared" si="42"/>
        <v>1864.5445020307088</v>
      </c>
      <c r="Q25" s="517">
        <f t="shared" si="42"/>
        <v>1649.1396519360424</v>
      </c>
      <c r="R25" s="517">
        <f t="shared" si="42"/>
        <v>1433.7348018413759</v>
      </c>
      <c r="S25" s="517">
        <f t="shared" si="42"/>
        <v>1110.6275266993616</v>
      </c>
      <c r="T25" s="517">
        <f t="shared" si="42"/>
        <v>787.52025155734736</v>
      </c>
      <c r="U25" s="514">
        <f t="shared" si="42"/>
        <v>572.11540146268089</v>
      </c>
      <c r="V25" s="514">
        <f t="shared" si="42"/>
        <v>356.71055136801442</v>
      </c>
      <c r="W25" s="514">
        <f t="shared" si="42"/>
        <v>33.603276226000162</v>
      </c>
      <c r="X25" s="514">
        <f t="shared" si="5"/>
        <v>-107.70242504733608</v>
      </c>
      <c r="Y25" s="518">
        <f t="shared" si="6"/>
        <v>6.7921584755176792</v>
      </c>
      <c r="Z25" s="518">
        <f t="shared" si="7"/>
        <v>6.1199337895847181</v>
      </c>
      <c r="AA25" s="518">
        <f t="shared" si="8"/>
        <v>5.6717839989627645</v>
      </c>
      <c r="AB25" s="518">
        <f t="shared" si="9"/>
        <v>5.2236342083408118</v>
      </c>
      <c r="AC25" s="518">
        <f t="shared" si="10"/>
        <v>4.5514095224078499</v>
      </c>
      <c r="AD25" s="518">
        <f t="shared" si="11"/>
        <v>3.8791848364748893</v>
      </c>
      <c r="AE25" s="518">
        <f t="shared" si="12"/>
        <v>3.4310350458529362</v>
      </c>
      <c r="AF25" s="518">
        <f t="shared" si="13"/>
        <v>2.9828852552309821</v>
      </c>
      <c r="AG25" s="518">
        <f t="shared" si="19"/>
        <v>2.310660569298022</v>
      </c>
      <c r="AH25" s="518">
        <f t="shared" si="20"/>
        <v>1.638435883365061</v>
      </c>
      <c r="AI25" s="518">
        <f t="shared" si="21"/>
        <v>1.1902860927431076</v>
      </c>
      <c r="AJ25" s="518">
        <f t="shared" si="22"/>
        <v>0.742136302121154</v>
      </c>
      <c r="AK25" s="518">
        <f t="shared" si="23"/>
        <v>6.9911616188193332E-2</v>
      </c>
      <c r="AL25" s="519">
        <f t="shared" si="14"/>
        <v>-0.22407489531098276</v>
      </c>
      <c r="AM25" t="s">
        <v>835</v>
      </c>
    </row>
    <row r="27" spans="5:57" ht="18" customHeight="1" x14ac:dyDescent="0.25">
      <c r="K27" s="57"/>
      <c r="AK27" s="75">
        <f>+SUM(Y6:AK25)-SUM(Y20:AK20)</f>
        <v>5175.9134734434429</v>
      </c>
    </row>
    <row r="28" spans="5:57" x14ac:dyDescent="0.25">
      <c r="K28" s="57"/>
    </row>
    <row r="30" spans="5:57" x14ac:dyDescent="0.25">
      <c r="F30">
        <v>5800</v>
      </c>
      <c r="G30" t="s">
        <v>432</v>
      </c>
    </row>
    <row r="31" spans="5:57" x14ac:dyDescent="0.25">
      <c r="F31" s="485">
        <v>5800000</v>
      </c>
      <c r="G31" t="s">
        <v>452</v>
      </c>
    </row>
    <row r="32" spans="5:57" x14ac:dyDescent="0.25">
      <c r="F32">
        <v>5.7</v>
      </c>
      <c r="G32" t="s">
        <v>870</v>
      </c>
    </row>
    <row r="33" spans="1:39" x14ac:dyDescent="0.25">
      <c r="F33">
        <v>1</v>
      </c>
      <c r="G33" t="s">
        <v>871</v>
      </c>
    </row>
    <row r="34" spans="1:39" ht="15.75" x14ac:dyDescent="0.25">
      <c r="J34" s="645" t="s">
        <v>872</v>
      </c>
      <c r="K34" s="645"/>
      <c r="L34" s="645"/>
      <c r="M34" s="645"/>
      <c r="N34" s="645"/>
      <c r="O34" s="645"/>
      <c r="P34" s="645"/>
      <c r="Q34" s="645"/>
      <c r="R34" s="645"/>
      <c r="S34" s="645"/>
      <c r="AA34" s="646" t="s">
        <v>872</v>
      </c>
      <c r="AB34" s="646"/>
      <c r="AC34" s="646"/>
      <c r="AD34" s="646"/>
      <c r="AE34" s="646"/>
      <c r="AF34" s="646"/>
      <c r="AG34" s="646"/>
      <c r="AH34" s="646"/>
      <c r="AI34" s="646"/>
      <c r="AJ34" s="646"/>
      <c r="AK34" s="51"/>
      <c r="AL34" s="51"/>
      <c r="AM34" s="51"/>
    </row>
    <row r="35" spans="1:39" x14ac:dyDescent="0.25">
      <c r="C35" s="486" t="s">
        <v>873</v>
      </c>
      <c r="D35" s="486" t="s">
        <v>874</v>
      </c>
      <c r="E35" s="486" t="s">
        <v>875</v>
      </c>
      <c r="F35" s="486" t="s">
        <v>876</v>
      </c>
      <c r="G35" s="486" t="s">
        <v>877</v>
      </c>
      <c r="H35" s="486" t="s">
        <v>878</v>
      </c>
      <c r="I35" s="487" t="s">
        <v>879</v>
      </c>
      <c r="J35" s="243">
        <v>2020</v>
      </c>
      <c r="K35" s="488">
        <v>2023</v>
      </c>
      <c r="L35" s="488">
        <v>2025</v>
      </c>
      <c r="M35" s="488">
        <v>2027</v>
      </c>
      <c r="N35" s="488">
        <v>2030</v>
      </c>
      <c r="O35" s="488">
        <v>2033</v>
      </c>
      <c r="P35" s="488">
        <v>2035</v>
      </c>
      <c r="Q35" s="488">
        <v>2037</v>
      </c>
      <c r="R35" s="488">
        <v>2040</v>
      </c>
      <c r="S35" s="488">
        <v>2043</v>
      </c>
      <c r="T35" s="488">
        <v>2045</v>
      </c>
      <c r="U35" s="488">
        <v>2047</v>
      </c>
      <c r="V35" s="489">
        <v>2050</v>
      </c>
      <c r="W35" s="504" t="s">
        <v>909</v>
      </c>
      <c r="X35" s="504" t="s">
        <v>910</v>
      </c>
      <c r="Y35" s="508" t="s">
        <v>911</v>
      </c>
      <c r="AA35" s="510">
        <v>2020</v>
      </c>
      <c r="AB35" s="511">
        <v>2023</v>
      </c>
      <c r="AC35" s="511">
        <v>2025</v>
      </c>
      <c r="AD35" s="511">
        <v>2027</v>
      </c>
      <c r="AE35" s="511">
        <v>2030</v>
      </c>
      <c r="AF35" s="511">
        <v>2033</v>
      </c>
      <c r="AG35" s="511">
        <v>2035</v>
      </c>
      <c r="AH35" s="511">
        <v>2037</v>
      </c>
      <c r="AI35" s="511">
        <v>2040</v>
      </c>
      <c r="AJ35" s="511">
        <v>2043</v>
      </c>
      <c r="AK35" s="511">
        <v>2045</v>
      </c>
      <c r="AL35" s="511">
        <v>2047</v>
      </c>
      <c r="AM35" s="512">
        <v>2050</v>
      </c>
    </row>
    <row r="36" spans="1:39" x14ac:dyDescent="0.25">
      <c r="A36" t="s">
        <v>880</v>
      </c>
      <c r="B36" t="s">
        <v>846</v>
      </c>
      <c r="C36" s="486">
        <v>89.87</v>
      </c>
      <c r="D36" s="490">
        <f t="shared" ref="D36:D68" si="43">+G36/C36</f>
        <v>1</v>
      </c>
      <c r="E36" s="490">
        <f t="shared" ref="E36:E68" si="44">100%-D36</f>
        <v>0</v>
      </c>
      <c r="F36" s="490" t="str">
        <f t="shared" ref="F36:F68" si="45">+IF(AND(D36&gt;0,E36&gt;0),"Oil and Gas",IF(D36&gt;0,"Oil","Gas"))</f>
        <v>Oil</v>
      </c>
      <c r="G36" s="491">
        <f>+C36</f>
        <v>89.87</v>
      </c>
      <c r="H36" s="121">
        <v>0</v>
      </c>
      <c r="I36" s="492">
        <f t="shared" ref="I36:I68" si="46">+E36*(G36*1000000*$F$30)/(1000000000)</f>
        <v>0</v>
      </c>
      <c r="J36" s="493">
        <v>9590.163934426233</v>
      </c>
      <c r="K36" s="494">
        <v>19016.393442622953</v>
      </c>
      <c r="L36" s="494">
        <v>16065.573770491805</v>
      </c>
      <c r="M36" s="494"/>
      <c r="N36" s="494">
        <v>11065.573770491806</v>
      </c>
      <c r="O36" s="494"/>
      <c r="P36" s="494">
        <v>7786.8852459016416</v>
      </c>
      <c r="Q36" s="494"/>
      <c r="R36" s="494">
        <v>5409.8360655737706</v>
      </c>
      <c r="S36" s="494"/>
      <c r="T36" s="494">
        <v>3852.4590163934445</v>
      </c>
      <c r="U36" s="494">
        <v>3114.7540983606559</v>
      </c>
      <c r="V36" s="495"/>
      <c r="W36" s="505">
        <f t="shared" ref="W36:W68" si="47">+SLOPE(J36:V36,$J$35:$V$35)</f>
        <v>-466.42815913267293</v>
      </c>
      <c r="X36" s="505">
        <f>+INTERCEPT(J36:V36,$J$35:$V$35)</f>
        <v>957794.45595464844</v>
      </c>
      <c r="Y36" s="509">
        <v>2048</v>
      </c>
      <c r="Z36" s="121" t="s">
        <v>846</v>
      </c>
      <c r="AA36" s="513">
        <f>+IF(AA$35&lt;$Y36,$W36*AA$35+$X36,0)</f>
        <v>15609.574506649165</v>
      </c>
      <c r="AB36" s="513">
        <f t="shared" ref="AB36:AM51" si="48">+IF(AB$35&lt;$Y36,$W36*AB$35+$X36,0)</f>
        <v>14210.290029251133</v>
      </c>
      <c r="AC36" s="513">
        <f t="shared" si="48"/>
        <v>13277.433710985701</v>
      </c>
      <c r="AD36" s="513">
        <f t="shared" si="48"/>
        <v>12344.577392720385</v>
      </c>
      <c r="AE36" s="513">
        <f t="shared" si="48"/>
        <v>10945.292915322352</v>
      </c>
      <c r="AF36" s="513">
        <f t="shared" si="48"/>
        <v>9546.0084379243199</v>
      </c>
      <c r="AG36" s="513">
        <f t="shared" si="48"/>
        <v>8613.1521196590038</v>
      </c>
      <c r="AH36" s="513">
        <f t="shared" si="48"/>
        <v>7680.2958013936877</v>
      </c>
      <c r="AI36" s="513">
        <f t="shared" si="48"/>
        <v>6281.0113239956554</v>
      </c>
      <c r="AJ36" s="513">
        <f t="shared" si="48"/>
        <v>4881.7268465976231</v>
      </c>
      <c r="AK36" s="513">
        <f t="shared" si="48"/>
        <v>3948.870528332307</v>
      </c>
      <c r="AL36" s="513">
        <f t="shared" si="48"/>
        <v>3016.0142100669909</v>
      </c>
      <c r="AM36" s="513">
        <f t="shared" si="48"/>
        <v>0</v>
      </c>
    </row>
    <row r="37" spans="1:39" x14ac:dyDescent="0.25">
      <c r="A37" t="s">
        <v>880</v>
      </c>
      <c r="B37" t="s">
        <v>848</v>
      </c>
      <c r="C37" s="486">
        <v>2.5</v>
      </c>
      <c r="D37" s="490">
        <f t="shared" si="43"/>
        <v>0.99529999999999996</v>
      </c>
      <c r="E37" s="490">
        <f t="shared" si="44"/>
        <v>4.7000000000000375E-3</v>
      </c>
      <c r="F37" s="490" t="str">
        <f t="shared" si="45"/>
        <v>Oil and Gas</v>
      </c>
      <c r="G37" s="491">
        <f>+C37*99.53%</f>
        <v>2.4882499999999999</v>
      </c>
      <c r="H37" s="121">
        <v>7.0000000000000007E-2</v>
      </c>
      <c r="I37" s="492">
        <f t="shared" si="46"/>
        <v>6.7829695000000537E-2</v>
      </c>
      <c r="J37" s="496">
        <v>2895.7055214723941</v>
      </c>
      <c r="K37" s="436">
        <v>1104.2944785276086</v>
      </c>
      <c r="L37" s="436">
        <v>638.03680981595244</v>
      </c>
      <c r="M37" s="436"/>
      <c r="N37" s="436">
        <v>245.39877300613625</v>
      </c>
      <c r="O37" s="436"/>
      <c r="P37" s="436"/>
      <c r="Q37" s="436"/>
      <c r="R37" s="436"/>
      <c r="S37" s="436"/>
      <c r="T37" s="436"/>
      <c r="U37" s="436"/>
      <c r="V37" s="497"/>
      <c r="W37" s="505">
        <f t="shared" si="47"/>
        <v>-245.6302812825559</v>
      </c>
      <c r="X37" s="505">
        <f t="shared" ref="X37:X68" si="49">+INTERCEPT(J37:V37,$J$35:$V$35)</f>
        <v>498499.36335223995</v>
      </c>
      <c r="Y37" s="504">
        <v>2029</v>
      </c>
      <c r="Z37" s="121" t="s">
        <v>848</v>
      </c>
      <c r="AA37" s="513">
        <f t="shared" ref="AA37:AM52" si="50">+IF(AA$35&lt;$Y37,$W37*AA$35+$X37,0)</f>
        <v>2326.1951614770223</v>
      </c>
      <c r="AB37" s="513">
        <f t="shared" si="48"/>
        <v>1589.3043176293722</v>
      </c>
      <c r="AC37" s="513">
        <f t="shared" si="48"/>
        <v>1098.0437550642528</v>
      </c>
      <c r="AD37" s="513">
        <f t="shared" si="48"/>
        <v>606.78319249913329</v>
      </c>
      <c r="AE37" s="513">
        <f t="shared" si="48"/>
        <v>0</v>
      </c>
      <c r="AF37" s="513">
        <f t="shared" si="48"/>
        <v>0</v>
      </c>
      <c r="AG37" s="513">
        <f t="shared" si="48"/>
        <v>0</v>
      </c>
      <c r="AH37" s="513">
        <f t="shared" si="48"/>
        <v>0</v>
      </c>
      <c r="AI37" s="513">
        <f t="shared" si="48"/>
        <v>0</v>
      </c>
      <c r="AJ37" s="513">
        <f t="shared" si="48"/>
        <v>0</v>
      </c>
      <c r="AK37" s="513">
        <f t="shared" si="48"/>
        <v>0</v>
      </c>
      <c r="AL37" s="513">
        <f t="shared" si="48"/>
        <v>0</v>
      </c>
      <c r="AM37" s="513">
        <f t="shared" si="48"/>
        <v>0</v>
      </c>
    </row>
    <row r="38" spans="1:39" x14ac:dyDescent="0.25">
      <c r="A38" t="s">
        <v>880</v>
      </c>
      <c r="B38" t="s">
        <v>881</v>
      </c>
      <c r="C38" s="486">
        <v>1.37</v>
      </c>
      <c r="D38" s="490">
        <f t="shared" si="43"/>
        <v>0.98879999999999979</v>
      </c>
      <c r="E38" s="490">
        <f t="shared" si="44"/>
        <v>1.120000000000021E-2</v>
      </c>
      <c r="F38" s="490" t="str">
        <f t="shared" si="45"/>
        <v>Oil and Gas</v>
      </c>
      <c r="G38" s="498">
        <f>+C38*98.88%</f>
        <v>1.3546559999999999</v>
      </c>
      <c r="H38" s="121">
        <v>1.5344000000000003E-2</v>
      </c>
      <c r="I38" s="492">
        <f t="shared" si="46"/>
        <v>8.7998453760001649E-2</v>
      </c>
      <c r="J38" s="496">
        <v>390.47502763283035</v>
      </c>
      <c r="K38" s="436">
        <v>344.4663650618204</v>
      </c>
      <c r="L38" s="436">
        <v>275.72230933347043</v>
      </c>
      <c r="M38" s="436"/>
      <c r="N38" s="436">
        <v>198.10040356784828</v>
      </c>
      <c r="O38" s="436"/>
      <c r="P38" s="436">
        <v>123.34138755365916</v>
      </c>
      <c r="Q38" s="436"/>
      <c r="R38" s="436">
        <v>59.918258232013045</v>
      </c>
      <c r="S38" s="436"/>
      <c r="T38" s="436"/>
      <c r="U38" s="436"/>
      <c r="V38" s="497"/>
      <c r="W38" s="505">
        <f t="shared" si="47"/>
        <v>-16.69240967929418</v>
      </c>
      <c r="X38" s="505">
        <f t="shared" si="49"/>
        <v>34098.121129571613</v>
      </c>
      <c r="Y38" s="504">
        <v>2041</v>
      </c>
      <c r="Z38" s="121" t="s">
        <v>881</v>
      </c>
      <c r="AA38" s="513">
        <f t="shared" si="50"/>
        <v>379.45357739736937</v>
      </c>
      <c r="AB38" s="513">
        <f t="shared" si="48"/>
        <v>329.37634835948847</v>
      </c>
      <c r="AC38" s="513">
        <f t="shared" si="48"/>
        <v>295.99152900090121</v>
      </c>
      <c r="AD38" s="513">
        <f t="shared" si="48"/>
        <v>262.60670964231394</v>
      </c>
      <c r="AE38" s="513">
        <f t="shared" si="48"/>
        <v>212.52948060442577</v>
      </c>
      <c r="AF38" s="513">
        <f t="shared" si="48"/>
        <v>162.45225156654487</v>
      </c>
      <c r="AG38" s="513">
        <f t="shared" si="48"/>
        <v>129.06743220795761</v>
      </c>
      <c r="AH38" s="513">
        <f t="shared" si="48"/>
        <v>95.682612849370344</v>
      </c>
      <c r="AI38" s="513">
        <f t="shared" si="48"/>
        <v>45.605383811489446</v>
      </c>
      <c r="AJ38" s="513">
        <f t="shared" si="48"/>
        <v>0</v>
      </c>
      <c r="AK38" s="513">
        <f t="shared" si="48"/>
        <v>0</v>
      </c>
      <c r="AL38" s="513">
        <f t="shared" si="48"/>
        <v>0</v>
      </c>
      <c r="AM38" s="513">
        <f t="shared" si="48"/>
        <v>0</v>
      </c>
    </row>
    <row r="39" spans="1:39" x14ac:dyDescent="0.25">
      <c r="A39" t="s">
        <v>880</v>
      </c>
      <c r="B39" t="s">
        <v>839</v>
      </c>
      <c r="C39" s="486">
        <v>14.92</v>
      </c>
      <c r="D39" s="490">
        <f t="shared" si="43"/>
        <v>0</v>
      </c>
      <c r="E39" s="490">
        <f t="shared" si="44"/>
        <v>1</v>
      </c>
      <c r="F39" s="490" t="str">
        <f t="shared" si="45"/>
        <v>Gas</v>
      </c>
      <c r="G39" s="491">
        <v>0</v>
      </c>
      <c r="H39" s="121">
        <v>89.54</v>
      </c>
      <c r="I39" s="492">
        <f t="shared" si="46"/>
        <v>0</v>
      </c>
      <c r="J39" s="496">
        <v>2688.1998197310859</v>
      </c>
      <c r="K39" s="436">
        <v>4033.9723277920784</v>
      </c>
      <c r="L39" s="436">
        <v>2897.3861007089963</v>
      </c>
      <c r="M39" s="436">
        <v>2545.9174665712671</v>
      </c>
      <c r="N39" s="436">
        <v>2313.091797764293</v>
      </c>
      <c r="O39" s="436">
        <v>1610.2660360352002</v>
      </c>
      <c r="P39" s="436">
        <v>1259.1319215365602</v>
      </c>
      <c r="Q39" s="436">
        <v>1026.306252729586</v>
      </c>
      <c r="R39" s="436"/>
      <c r="S39" s="436"/>
      <c r="T39" s="436"/>
      <c r="U39" s="436"/>
      <c r="V39" s="497"/>
      <c r="W39" s="505">
        <f t="shared" si="47"/>
        <v>-141.87789450348069</v>
      </c>
      <c r="X39" s="505">
        <f t="shared" si="49"/>
        <v>290131.56243929506</v>
      </c>
      <c r="Y39" s="504">
        <v>2039</v>
      </c>
      <c r="Z39" s="121" t="s">
        <v>839</v>
      </c>
      <c r="AA39" s="513">
        <f t="shared" si="50"/>
        <v>3538.2155422640499</v>
      </c>
      <c r="AB39" s="513">
        <f t="shared" si="48"/>
        <v>3112.5818587536342</v>
      </c>
      <c r="AC39" s="513">
        <f t="shared" si="48"/>
        <v>2828.8260697466321</v>
      </c>
      <c r="AD39" s="513">
        <f t="shared" si="48"/>
        <v>2545.0702807396883</v>
      </c>
      <c r="AE39" s="513">
        <f t="shared" si="48"/>
        <v>2119.4365972292726</v>
      </c>
      <c r="AF39" s="513">
        <f t="shared" si="48"/>
        <v>1693.8029137187987</v>
      </c>
      <c r="AG39" s="513">
        <f t="shared" si="48"/>
        <v>1410.0471247118548</v>
      </c>
      <c r="AH39" s="513">
        <f t="shared" si="48"/>
        <v>1126.291335704911</v>
      </c>
      <c r="AI39" s="513">
        <f t="shared" si="48"/>
        <v>0</v>
      </c>
      <c r="AJ39" s="513">
        <f t="shared" si="48"/>
        <v>0</v>
      </c>
      <c r="AK39" s="513">
        <f t="shared" si="48"/>
        <v>0</v>
      </c>
      <c r="AL39" s="513">
        <f t="shared" si="48"/>
        <v>0</v>
      </c>
      <c r="AM39" s="513">
        <f t="shared" si="48"/>
        <v>0</v>
      </c>
    </row>
    <row r="40" spans="1:39" x14ac:dyDescent="0.25">
      <c r="A40" t="s">
        <v>880</v>
      </c>
      <c r="B40" t="s">
        <v>818</v>
      </c>
      <c r="C40" s="486">
        <v>21.91</v>
      </c>
      <c r="D40" s="490">
        <f t="shared" si="43"/>
        <v>1</v>
      </c>
      <c r="E40" s="490">
        <f t="shared" si="44"/>
        <v>0</v>
      </c>
      <c r="F40" s="490" t="str">
        <f t="shared" si="45"/>
        <v>Oil</v>
      </c>
      <c r="G40" s="491">
        <f>+C40</f>
        <v>21.91</v>
      </c>
      <c r="H40" s="121">
        <v>0</v>
      </c>
      <c r="I40" s="492">
        <f t="shared" si="46"/>
        <v>0</v>
      </c>
      <c r="J40" s="496">
        <v>10465.971477086872</v>
      </c>
      <c r="K40" s="436"/>
      <c r="L40" s="436">
        <v>6174.2002020980708</v>
      </c>
      <c r="M40" s="436"/>
      <c r="N40" s="436">
        <v>2813.1217901305317</v>
      </c>
      <c r="O40" s="436"/>
      <c r="P40" s="436">
        <v>1643.4531684602007</v>
      </c>
      <c r="Q40" s="436"/>
      <c r="R40" s="436"/>
      <c r="S40" s="436"/>
      <c r="T40" s="436"/>
      <c r="U40" s="436"/>
      <c r="V40" s="497"/>
      <c r="W40" s="505">
        <f t="shared" si="47"/>
        <v>-596.57266675695109</v>
      </c>
      <c r="X40" s="505">
        <f t="shared" si="49"/>
        <v>1214825.2685091621</v>
      </c>
      <c r="Y40" s="504">
        <v>2035</v>
      </c>
      <c r="Z40" s="121" t="s">
        <v>818</v>
      </c>
      <c r="AA40" s="513">
        <f t="shared" si="50"/>
        <v>9748.4816601208877</v>
      </c>
      <c r="AB40" s="513">
        <f t="shared" si="48"/>
        <v>7958.7636598499957</v>
      </c>
      <c r="AC40" s="513">
        <f t="shared" si="48"/>
        <v>6765.6183263361454</v>
      </c>
      <c r="AD40" s="513">
        <f t="shared" si="48"/>
        <v>5572.4729928222951</v>
      </c>
      <c r="AE40" s="513">
        <f t="shared" si="48"/>
        <v>3782.7549925514031</v>
      </c>
      <c r="AF40" s="513">
        <f t="shared" si="48"/>
        <v>1993.0369922805112</v>
      </c>
      <c r="AG40" s="513">
        <f t="shared" si="48"/>
        <v>0</v>
      </c>
      <c r="AH40" s="513">
        <f t="shared" si="48"/>
        <v>0</v>
      </c>
      <c r="AI40" s="513">
        <f t="shared" si="48"/>
        <v>0</v>
      </c>
      <c r="AJ40" s="513">
        <f t="shared" si="48"/>
        <v>0</v>
      </c>
      <c r="AK40" s="513">
        <f t="shared" si="48"/>
        <v>0</v>
      </c>
      <c r="AL40" s="513">
        <f t="shared" si="48"/>
        <v>0</v>
      </c>
      <c r="AM40" s="513">
        <f t="shared" si="48"/>
        <v>0</v>
      </c>
    </row>
    <row r="41" spans="1:39" x14ac:dyDescent="0.25">
      <c r="A41" t="s">
        <v>880</v>
      </c>
      <c r="B41" t="s">
        <v>882</v>
      </c>
      <c r="C41" s="486">
        <v>8.85</v>
      </c>
      <c r="D41" s="490">
        <f t="shared" si="43"/>
        <v>1</v>
      </c>
      <c r="E41" s="490">
        <f t="shared" si="44"/>
        <v>0</v>
      </c>
      <c r="F41" s="490" t="str">
        <f t="shared" si="45"/>
        <v>Oil</v>
      </c>
      <c r="G41" s="491">
        <f>+C41</f>
        <v>8.85</v>
      </c>
      <c r="H41" s="121">
        <v>0</v>
      </c>
      <c r="I41" s="492">
        <f t="shared" si="46"/>
        <v>0</v>
      </c>
      <c r="J41" s="496">
        <v>1648.5786991601608</v>
      </c>
      <c r="K41" s="436">
        <v>2065.3937346384009</v>
      </c>
      <c r="L41" s="436">
        <v>1591.6354730287221</v>
      </c>
      <c r="M41" s="436"/>
      <c r="N41" s="436">
        <v>1118.8933568407438</v>
      </c>
      <c r="O41" s="436"/>
      <c r="P41" s="436">
        <v>750.03256876351679</v>
      </c>
      <c r="Q41" s="436"/>
      <c r="R41" s="436">
        <v>440.61628785575977</v>
      </c>
      <c r="S41" s="436"/>
      <c r="T41" s="436">
        <v>279.75265109735119</v>
      </c>
      <c r="U41" s="436">
        <v>163.4430828288796</v>
      </c>
      <c r="V41" s="497"/>
      <c r="W41" s="505">
        <f t="shared" si="47"/>
        <v>-66.613918553093967</v>
      </c>
      <c r="X41" s="505">
        <f t="shared" si="49"/>
        <v>136441.71639003584</v>
      </c>
      <c r="Y41" s="504">
        <v>2052</v>
      </c>
      <c r="Z41" s="121" t="s">
        <v>882</v>
      </c>
      <c r="AA41" s="513">
        <f t="shared" si="50"/>
        <v>1881.6009127860307</v>
      </c>
      <c r="AB41" s="513">
        <f t="shared" si="48"/>
        <v>1681.7591571267403</v>
      </c>
      <c r="AC41" s="513">
        <f t="shared" si="48"/>
        <v>1548.5313200205564</v>
      </c>
      <c r="AD41" s="513">
        <f t="shared" si="48"/>
        <v>1415.3034829143726</v>
      </c>
      <c r="AE41" s="513">
        <f t="shared" si="48"/>
        <v>1215.4617272550822</v>
      </c>
      <c r="AF41" s="513">
        <f t="shared" si="48"/>
        <v>1015.619971595821</v>
      </c>
      <c r="AG41" s="513">
        <f t="shared" si="48"/>
        <v>882.392134489608</v>
      </c>
      <c r="AH41" s="513">
        <f t="shared" si="48"/>
        <v>749.16429738342413</v>
      </c>
      <c r="AI41" s="513">
        <f t="shared" si="48"/>
        <v>549.32254172416287</v>
      </c>
      <c r="AJ41" s="513">
        <f t="shared" si="48"/>
        <v>349.48078606487252</v>
      </c>
      <c r="AK41" s="513">
        <f t="shared" si="48"/>
        <v>216.25294895868865</v>
      </c>
      <c r="AL41" s="513">
        <f t="shared" si="48"/>
        <v>83.025111852504779</v>
      </c>
      <c r="AM41" s="513">
        <v>0</v>
      </c>
    </row>
    <row r="42" spans="1:39" x14ac:dyDescent="0.25">
      <c r="A42" t="s">
        <v>880</v>
      </c>
      <c r="B42" t="s">
        <v>883</v>
      </c>
      <c r="C42" s="486">
        <v>153.29</v>
      </c>
      <c r="D42" s="490">
        <f t="shared" si="43"/>
        <v>1</v>
      </c>
      <c r="E42" s="490">
        <f t="shared" si="44"/>
        <v>0</v>
      </c>
      <c r="F42" s="490" t="str">
        <f t="shared" si="45"/>
        <v>Oil</v>
      </c>
      <c r="G42" s="491">
        <v>153.29</v>
      </c>
      <c r="H42" s="121">
        <v>0</v>
      </c>
      <c r="I42" s="492">
        <f t="shared" si="46"/>
        <v>0</v>
      </c>
      <c r="J42" s="496">
        <v>66124.661246612479</v>
      </c>
      <c r="K42" s="436"/>
      <c r="L42" s="436">
        <v>37723.577235772369</v>
      </c>
      <c r="M42" s="436"/>
      <c r="N42" s="436">
        <v>22764.227642276433</v>
      </c>
      <c r="O42" s="436"/>
      <c r="P42" s="436">
        <v>14092.140921409227</v>
      </c>
      <c r="Q42" s="436"/>
      <c r="R42" s="436"/>
      <c r="S42" s="436"/>
      <c r="T42" s="436"/>
      <c r="U42" s="436"/>
      <c r="V42" s="497"/>
      <c r="W42" s="505">
        <f t="shared" si="47"/>
        <v>-3421.1382113821137</v>
      </c>
      <c r="X42" s="505">
        <f t="shared" si="49"/>
        <v>6971533.8753387537</v>
      </c>
      <c r="Y42" s="504">
        <v>2036</v>
      </c>
      <c r="Z42" s="121" t="s">
        <v>883</v>
      </c>
      <c r="AA42" s="513">
        <f t="shared" si="50"/>
        <v>60834.688346884213</v>
      </c>
      <c r="AB42" s="513">
        <f t="shared" si="48"/>
        <v>50571.273712737486</v>
      </c>
      <c r="AC42" s="513">
        <f t="shared" si="48"/>
        <v>43728.997289973311</v>
      </c>
      <c r="AD42" s="513">
        <f t="shared" si="48"/>
        <v>36886.720867209136</v>
      </c>
      <c r="AE42" s="513">
        <f t="shared" si="48"/>
        <v>26623.30623306334</v>
      </c>
      <c r="AF42" s="513">
        <f t="shared" si="48"/>
        <v>16359.891598916613</v>
      </c>
      <c r="AG42" s="513">
        <f t="shared" si="48"/>
        <v>9517.6151761524379</v>
      </c>
      <c r="AH42" s="513">
        <f t="shared" si="48"/>
        <v>0</v>
      </c>
      <c r="AI42" s="513">
        <f t="shared" si="48"/>
        <v>0</v>
      </c>
      <c r="AJ42" s="513">
        <f t="shared" si="48"/>
        <v>0</v>
      </c>
      <c r="AK42" s="513">
        <f t="shared" si="48"/>
        <v>0</v>
      </c>
      <c r="AL42" s="513">
        <f t="shared" si="48"/>
        <v>0</v>
      </c>
      <c r="AM42" s="513">
        <f t="shared" si="48"/>
        <v>0</v>
      </c>
    </row>
    <row r="43" spans="1:39" x14ac:dyDescent="0.25">
      <c r="A43" t="s">
        <v>473</v>
      </c>
      <c r="B43" t="s">
        <v>884</v>
      </c>
      <c r="C43" s="486">
        <v>0.88</v>
      </c>
      <c r="D43" s="490">
        <f t="shared" si="43"/>
        <v>1</v>
      </c>
      <c r="E43" s="490">
        <f t="shared" si="44"/>
        <v>0</v>
      </c>
      <c r="F43" s="490" t="str">
        <f t="shared" si="45"/>
        <v>Oil</v>
      </c>
      <c r="G43" s="491">
        <v>0.88</v>
      </c>
      <c r="H43" s="121">
        <v>0</v>
      </c>
      <c r="I43" s="492">
        <f t="shared" si="46"/>
        <v>0</v>
      </c>
      <c r="J43" s="496">
        <v>139.28969359331495</v>
      </c>
      <c r="K43" s="436">
        <v>224.70055710306417</v>
      </c>
      <c r="L43" s="436">
        <v>158.94150417827314</v>
      </c>
      <c r="M43" s="436"/>
      <c r="N43" s="436">
        <v>115.27855153203359</v>
      </c>
      <c r="O43" s="436"/>
      <c r="P43" s="436">
        <v>78.133704735376114</v>
      </c>
      <c r="Q43" s="436">
        <v>68.920612813370553</v>
      </c>
      <c r="R43" s="436">
        <v>62.841225626741107</v>
      </c>
      <c r="S43" s="436"/>
      <c r="T43" s="436"/>
      <c r="U43" s="436"/>
      <c r="V43" s="497"/>
      <c r="W43" s="505">
        <f t="shared" si="47"/>
        <v>-6.4913312842186155</v>
      </c>
      <c r="X43" s="505">
        <f t="shared" si="49"/>
        <v>13298.560485475529</v>
      </c>
      <c r="Y43" s="504">
        <v>2042</v>
      </c>
      <c r="Z43" s="121" t="s">
        <v>884</v>
      </c>
      <c r="AA43" s="513">
        <f t="shared" si="50"/>
        <v>186.07129135392643</v>
      </c>
      <c r="AB43" s="513">
        <f t="shared" si="48"/>
        <v>166.59729750127008</v>
      </c>
      <c r="AC43" s="513">
        <f t="shared" si="48"/>
        <v>153.61463493283372</v>
      </c>
      <c r="AD43" s="513">
        <f t="shared" si="48"/>
        <v>140.63197236439555</v>
      </c>
      <c r="AE43" s="513">
        <f t="shared" si="48"/>
        <v>121.1579785117392</v>
      </c>
      <c r="AF43" s="513">
        <f t="shared" si="48"/>
        <v>101.68398465908467</v>
      </c>
      <c r="AG43" s="513">
        <f t="shared" si="48"/>
        <v>88.701322090646499</v>
      </c>
      <c r="AH43" s="513">
        <f t="shared" si="48"/>
        <v>75.718659522210146</v>
      </c>
      <c r="AI43" s="513">
        <f t="shared" si="48"/>
        <v>56.244665669553797</v>
      </c>
      <c r="AJ43" s="513">
        <f t="shared" si="48"/>
        <v>0</v>
      </c>
      <c r="AK43" s="513">
        <f t="shared" si="48"/>
        <v>0</v>
      </c>
      <c r="AL43" s="513">
        <f t="shared" si="48"/>
        <v>0</v>
      </c>
      <c r="AM43" s="513">
        <f t="shared" si="48"/>
        <v>0</v>
      </c>
    </row>
    <row r="44" spans="1:39" x14ac:dyDescent="0.25">
      <c r="A44" t="s">
        <v>473</v>
      </c>
      <c r="B44" t="s">
        <v>885</v>
      </c>
      <c r="C44" s="486">
        <v>543.79</v>
      </c>
      <c r="D44" s="490">
        <f t="shared" si="43"/>
        <v>1</v>
      </c>
      <c r="E44" s="490">
        <f t="shared" si="44"/>
        <v>0</v>
      </c>
      <c r="F44" s="490" t="str">
        <f t="shared" si="45"/>
        <v>Oil</v>
      </c>
      <c r="G44" s="491">
        <f>+C44</f>
        <v>543.79</v>
      </c>
      <c r="H44" s="121">
        <v>0</v>
      </c>
      <c r="I44" s="492">
        <f t="shared" si="46"/>
        <v>0</v>
      </c>
      <c r="J44" s="496">
        <v>46080.722145667336</v>
      </c>
      <c r="K44" s="436">
        <v>39727.331429446349</v>
      </c>
      <c r="L44" s="436"/>
      <c r="M44" s="436"/>
      <c r="N44" s="436">
        <v>32953.221629753898</v>
      </c>
      <c r="O44" s="436"/>
      <c r="P44" s="436"/>
      <c r="Q44" s="436"/>
      <c r="R44" s="436">
        <v>26312.58362790327</v>
      </c>
      <c r="S44" s="436"/>
      <c r="T44" s="436"/>
      <c r="U44" s="436"/>
      <c r="V44" s="497">
        <v>21157.776313249327</v>
      </c>
      <c r="W44" s="505">
        <f t="shared" si="47"/>
        <v>-788.06799463334039</v>
      </c>
      <c r="X44" s="505">
        <f t="shared" si="49"/>
        <v>1635073.3329209315</v>
      </c>
      <c r="Y44" s="504">
        <v>2099</v>
      </c>
      <c r="Z44" s="121" t="s">
        <v>885</v>
      </c>
      <c r="AA44" s="513">
        <f t="shared" si="50"/>
        <v>43175.983761583921</v>
      </c>
      <c r="AB44" s="513">
        <f t="shared" si="48"/>
        <v>40811.779777684016</v>
      </c>
      <c r="AC44" s="513">
        <f t="shared" si="48"/>
        <v>39235.643788417336</v>
      </c>
      <c r="AD44" s="513">
        <f t="shared" si="48"/>
        <v>37659.507799150655</v>
      </c>
      <c r="AE44" s="513">
        <f t="shared" si="48"/>
        <v>35295.303815250518</v>
      </c>
      <c r="AF44" s="513">
        <f t="shared" si="48"/>
        <v>32931.099831350613</v>
      </c>
      <c r="AG44" s="513">
        <f t="shared" si="48"/>
        <v>31354.963842083933</v>
      </c>
      <c r="AH44" s="513">
        <f t="shared" si="48"/>
        <v>29778.827852817252</v>
      </c>
      <c r="AI44" s="513">
        <f t="shared" si="48"/>
        <v>27414.623868917115</v>
      </c>
      <c r="AJ44" s="513">
        <f t="shared" si="48"/>
        <v>25050.419885017211</v>
      </c>
      <c r="AK44" s="513">
        <f t="shared" si="48"/>
        <v>23474.28389575053</v>
      </c>
      <c r="AL44" s="513">
        <f t="shared" si="48"/>
        <v>21898.14790648385</v>
      </c>
      <c r="AM44" s="513">
        <f t="shared" si="48"/>
        <v>19533.943922583712</v>
      </c>
    </row>
    <row r="45" spans="1:39" x14ac:dyDescent="0.25">
      <c r="A45" t="s">
        <v>473</v>
      </c>
      <c r="B45" t="s">
        <v>845</v>
      </c>
      <c r="C45" s="486">
        <v>146.25</v>
      </c>
      <c r="D45" s="490">
        <f t="shared" si="43"/>
        <v>1</v>
      </c>
      <c r="E45" s="490">
        <f t="shared" si="44"/>
        <v>0</v>
      </c>
      <c r="F45" s="490" t="str">
        <f t="shared" si="45"/>
        <v>Oil</v>
      </c>
      <c r="G45" s="491">
        <v>146.25</v>
      </c>
      <c r="H45" s="121">
        <v>0</v>
      </c>
      <c r="I45" s="492">
        <f t="shared" si="46"/>
        <v>0</v>
      </c>
      <c r="J45" s="496">
        <v>49014.692742976287</v>
      </c>
      <c r="K45" s="436"/>
      <c r="L45" s="436">
        <v>34761.491114861514</v>
      </c>
      <c r="M45" s="436"/>
      <c r="N45" s="436">
        <v>19155.415467090243</v>
      </c>
      <c r="O45" s="436">
        <v>16260.547999602895</v>
      </c>
      <c r="P45" s="436">
        <v>12169.165094807897</v>
      </c>
      <c r="Q45" s="436">
        <v>8406.8797776233405</v>
      </c>
      <c r="R45" s="436"/>
      <c r="S45" s="436"/>
      <c r="T45" s="436"/>
      <c r="U45" s="436"/>
      <c r="V45" s="497"/>
      <c r="W45" s="505">
        <f t="shared" si="47"/>
        <v>-2382.1093994608605</v>
      </c>
      <c r="X45" s="505">
        <f t="shared" si="49"/>
        <v>4858976.7796050403</v>
      </c>
      <c r="Y45" s="504">
        <v>2039</v>
      </c>
      <c r="Z45" s="121" t="s">
        <v>845</v>
      </c>
      <c r="AA45" s="513">
        <f t="shared" si="50"/>
        <v>47115.792694102041</v>
      </c>
      <c r="AB45" s="513">
        <f t="shared" si="48"/>
        <v>39969.46449571941</v>
      </c>
      <c r="AC45" s="513">
        <f t="shared" si="48"/>
        <v>35205.245696797967</v>
      </c>
      <c r="AD45" s="513">
        <f t="shared" si="48"/>
        <v>30441.026897876523</v>
      </c>
      <c r="AE45" s="513">
        <f t="shared" si="48"/>
        <v>23294.698699493892</v>
      </c>
      <c r="AF45" s="513">
        <f t="shared" si="48"/>
        <v>16148.370501111262</v>
      </c>
      <c r="AG45" s="513">
        <f t="shared" si="48"/>
        <v>11384.151702188887</v>
      </c>
      <c r="AH45" s="513">
        <f t="shared" si="48"/>
        <v>6619.9329032674432</v>
      </c>
      <c r="AI45" s="513">
        <f t="shared" si="48"/>
        <v>0</v>
      </c>
      <c r="AJ45" s="513">
        <f t="shared" si="48"/>
        <v>0</v>
      </c>
      <c r="AK45" s="513">
        <f t="shared" si="48"/>
        <v>0</v>
      </c>
      <c r="AL45" s="513">
        <f t="shared" si="48"/>
        <v>0</v>
      </c>
      <c r="AM45" s="513">
        <f t="shared" si="48"/>
        <v>0</v>
      </c>
    </row>
    <row r="46" spans="1:39" x14ac:dyDescent="0.25">
      <c r="A46" t="s">
        <v>473</v>
      </c>
      <c r="B46" t="s">
        <v>886</v>
      </c>
      <c r="C46" s="486">
        <v>89.99</v>
      </c>
      <c r="D46" s="490">
        <f t="shared" si="43"/>
        <v>1</v>
      </c>
      <c r="E46" s="490">
        <f t="shared" si="44"/>
        <v>0</v>
      </c>
      <c r="F46" s="490" t="str">
        <f t="shared" si="45"/>
        <v>Oil</v>
      </c>
      <c r="G46" s="491">
        <f>+C46</f>
        <v>89.99</v>
      </c>
      <c r="H46" s="121">
        <v>0</v>
      </c>
      <c r="I46" s="492">
        <f t="shared" si="46"/>
        <v>0</v>
      </c>
      <c r="J46" s="496">
        <v>19904.801688505846</v>
      </c>
      <c r="K46" s="436">
        <v>21393.017324773544</v>
      </c>
      <c r="L46" s="436">
        <v>17374.901064110454</v>
      </c>
      <c r="M46" s="436"/>
      <c r="N46" s="436">
        <v>11787.002022689294</v>
      </c>
      <c r="O46" s="436"/>
      <c r="P46" s="436">
        <v>8168.8066133145694</v>
      </c>
      <c r="Q46" s="436"/>
      <c r="R46" s="436">
        <v>5706.1823938088055</v>
      </c>
      <c r="S46" s="436">
        <v>4334.2713921378891</v>
      </c>
      <c r="T46" s="436"/>
      <c r="U46" s="436"/>
      <c r="V46" s="497"/>
      <c r="W46" s="505">
        <f t="shared" si="47"/>
        <v>-772.21287149137254</v>
      </c>
      <c r="X46" s="505">
        <f t="shared" si="49"/>
        <v>1580921.0233743847</v>
      </c>
      <c r="Y46" s="504">
        <v>2044</v>
      </c>
      <c r="Z46" s="121" t="s">
        <v>886</v>
      </c>
      <c r="AA46" s="513">
        <f t="shared" si="50"/>
        <v>21051.022961812094</v>
      </c>
      <c r="AB46" s="513">
        <f t="shared" si="48"/>
        <v>18734.384347337997</v>
      </c>
      <c r="AC46" s="513">
        <f t="shared" si="48"/>
        <v>17189.958604355343</v>
      </c>
      <c r="AD46" s="513">
        <f t="shared" si="48"/>
        <v>15645.532861372689</v>
      </c>
      <c r="AE46" s="513">
        <f t="shared" si="48"/>
        <v>13328.894246898592</v>
      </c>
      <c r="AF46" s="513">
        <f t="shared" si="48"/>
        <v>11012.255632424261</v>
      </c>
      <c r="AG46" s="513">
        <f t="shared" si="48"/>
        <v>9467.8298894416075</v>
      </c>
      <c r="AH46" s="513">
        <f t="shared" si="48"/>
        <v>7923.4041464589536</v>
      </c>
      <c r="AI46" s="513">
        <f t="shared" si="48"/>
        <v>5606.7655319848564</v>
      </c>
      <c r="AJ46" s="513">
        <f t="shared" si="48"/>
        <v>3290.1269175105263</v>
      </c>
      <c r="AK46" s="513">
        <f t="shared" si="48"/>
        <v>0</v>
      </c>
      <c r="AL46" s="513">
        <f t="shared" si="48"/>
        <v>0</v>
      </c>
      <c r="AM46" s="513">
        <f t="shared" si="48"/>
        <v>0</v>
      </c>
    </row>
    <row r="47" spans="1:39" x14ac:dyDescent="0.25">
      <c r="A47" t="s">
        <v>473</v>
      </c>
      <c r="B47" t="s">
        <v>838</v>
      </c>
      <c r="C47" s="499">
        <v>28.68</v>
      </c>
      <c r="D47" s="490">
        <f t="shared" si="43"/>
        <v>0</v>
      </c>
      <c r="E47" s="490">
        <f t="shared" si="44"/>
        <v>1</v>
      </c>
      <c r="F47" s="490" t="str">
        <f t="shared" si="45"/>
        <v>Gas</v>
      </c>
      <c r="G47" s="491">
        <v>0</v>
      </c>
      <c r="H47" s="121">
        <v>172.07</v>
      </c>
      <c r="I47" s="492">
        <f t="shared" si="46"/>
        <v>0</v>
      </c>
      <c r="J47" s="496">
        <v>18473.762408216862</v>
      </c>
      <c r="K47" s="436"/>
      <c r="L47" s="436">
        <v>12112.142288064424</v>
      </c>
      <c r="M47" s="436">
        <v>9490.7517064662534</v>
      </c>
      <c r="N47" s="436"/>
      <c r="O47" s="436"/>
      <c r="P47" s="436"/>
      <c r="Q47" s="436"/>
      <c r="R47" s="436"/>
      <c r="S47" s="436"/>
      <c r="T47" s="436"/>
      <c r="U47" s="436"/>
      <c r="V47" s="497"/>
      <c r="W47" s="505">
        <f t="shared" si="47"/>
        <v>-1281.1789317463179</v>
      </c>
      <c r="X47" s="505">
        <f t="shared" si="49"/>
        <v>2606465.0433221296</v>
      </c>
      <c r="Y47" s="506">
        <v>2027</v>
      </c>
      <c r="Z47" s="121" t="s">
        <v>838</v>
      </c>
      <c r="AA47" s="513">
        <f t="shared" si="50"/>
        <v>18483.601194567513</v>
      </c>
      <c r="AB47" s="513">
        <f t="shared" si="48"/>
        <v>14640.064399328548</v>
      </c>
      <c r="AC47" s="513">
        <f t="shared" si="48"/>
        <v>12077.70653583575</v>
      </c>
      <c r="AD47" s="513">
        <f t="shared" si="48"/>
        <v>0</v>
      </c>
      <c r="AE47" s="513">
        <f t="shared" si="48"/>
        <v>0</v>
      </c>
      <c r="AF47" s="513">
        <f t="shared" si="48"/>
        <v>0</v>
      </c>
      <c r="AG47" s="513">
        <f t="shared" si="48"/>
        <v>0</v>
      </c>
      <c r="AH47" s="513">
        <f t="shared" si="48"/>
        <v>0</v>
      </c>
      <c r="AI47" s="513">
        <f t="shared" si="48"/>
        <v>0</v>
      </c>
      <c r="AJ47" s="513">
        <f t="shared" si="48"/>
        <v>0</v>
      </c>
      <c r="AK47" s="513">
        <f t="shared" si="48"/>
        <v>0</v>
      </c>
      <c r="AL47" s="513">
        <f t="shared" si="48"/>
        <v>0</v>
      </c>
      <c r="AM47" s="513">
        <f t="shared" si="48"/>
        <v>0</v>
      </c>
    </row>
    <row r="48" spans="1:39" x14ac:dyDescent="0.25">
      <c r="A48" t="s">
        <v>473</v>
      </c>
      <c r="B48" t="s">
        <v>887</v>
      </c>
      <c r="C48" s="486">
        <v>86.96</v>
      </c>
      <c r="D48" s="490">
        <f t="shared" si="43"/>
        <v>0.31430000000000002</v>
      </c>
      <c r="E48" s="490">
        <f t="shared" si="44"/>
        <v>0.68569999999999998</v>
      </c>
      <c r="F48" s="490" t="str">
        <f t="shared" si="45"/>
        <v>Oil and Gas</v>
      </c>
      <c r="G48" s="491">
        <f>+C48*(100%-68.57%)</f>
        <v>27.331527999999999</v>
      </c>
      <c r="H48" s="121">
        <v>357.74</v>
      </c>
      <c r="I48" s="492">
        <f t="shared" si="46"/>
        <v>108.69912674768</v>
      </c>
      <c r="J48" s="496">
        <v>44548.767539958091</v>
      </c>
      <c r="K48" s="436">
        <v>31427.013687623752</v>
      </c>
      <c r="L48" s="436">
        <v>23791.787425751099</v>
      </c>
      <c r="M48" s="436"/>
      <c r="N48" s="436">
        <v>13036.815977502934</v>
      </c>
      <c r="O48" s="436"/>
      <c r="P48" s="436">
        <v>6368.0449941174884</v>
      </c>
      <c r="Q48" s="436"/>
      <c r="R48" s="436"/>
      <c r="S48" s="436"/>
      <c r="T48" s="436"/>
      <c r="U48" s="436"/>
      <c r="V48" s="497"/>
      <c r="W48" s="505">
        <f t="shared" si="47"/>
        <v>-2460.405259534517</v>
      </c>
      <c r="X48" s="505">
        <f t="shared" si="49"/>
        <v>5010091.7848976431</v>
      </c>
      <c r="Y48" s="504">
        <v>2035</v>
      </c>
      <c r="Z48" s="121" t="s">
        <v>887</v>
      </c>
      <c r="AA48" s="513">
        <f t="shared" si="50"/>
        <v>40073.16063791886</v>
      </c>
      <c r="AB48" s="513">
        <f t="shared" si="48"/>
        <v>32691.944859315641</v>
      </c>
      <c r="AC48" s="513">
        <f t="shared" si="48"/>
        <v>27771.134340246208</v>
      </c>
      <c r="AD48" s="513">
        <f t="shared" si="48"/>
        <v>22850.323821176775</v>
      </c>
      <c r="AE48" s="513">
        <f t="shared" si="48"/>
        <v>15469.108042573556</v>
      </c>
      <c r="AF48" s="513">
        <f t="shared" si="48"/>
        <v>8087.8922639703378</v>
      </c>
      <c r="AG48" s="513">
        <f t="shared" si="48"/>
        <v>0</v>
      </c>
      <c r="AH48" s="513">
        <f t="shared" si="48"/>
        <v>0</v>
      </c>
      <c r="AI48" s="513">
        <f t="shared" si="48"/>
        <v>0</v>
      </c>
      <c r="AJ48" s="513">
        <f t="shared" si="48"/>
        <v>0</v>
      </c>
      <c r="AK48" s="513">
        <f t="shared" si="48"/>
        <v>0</v>
      </c>
      <c r="AL48" s="513">
        <f t="shared" si="48"/>
        <v>0</v>
      </c>
      <c r="AM48" s="513">
        <f t="shared" si="48"/>
        <v>0</v>
      </c>
    </row>
    <row r="49" spans="1:39" x14ac:dyDescent="0.25">
      <c r="A49" t="s">
        <v>888</v>
      </c>
      <c r="B49" t="s">
        <v>889</v>
      </c>
      <c r="C49" s="486">
        <v>5.73</v>
      </c>
      <c r="D49" s="490">
        <f t="shared" si="43"/>
        <v>1</v>
      </c>
      <c r="E49" s="490">
        <f t="shared" si="44"/>
        <v>0</v>
      </c>
      <c r="F49" s="490" t="str">
        <f t="shared" si="45"/>
        <v>Oil</v>
      </c>
      <c r="G49" s="491">
        <f>+C49</f>
        <v>5.73</v>
      </c>
      <c r="H49" s="121">
        <v>0</v>
      </c>
      <c r="I49" s="492">
        <f t="shared" si="46"/>
        <v>0</v>
      </c>
      <c r="J49" s="496">
        <v>2264.0625</v>
      </c>
      <c r="K49" s="436">
        <v>1785.9375000000005</v>
      </c>
      <c r="L49" s="436">
        <v>1223.4375</v>
      </c>
      <c r="M49" s="436"/>
      <c r="N49" s="436">
        <v>689.0625</v>
      </c>
      <c r="O49" s="436"/>
      <c r="P49" s="436">
        <v>407.8125</v>
      </c>
      <c r="Q49" s="436"/>
      <c r="R49" s="436">
        <v>239.0625</v>
      </c>
      <c r="S49" s="436"/>
      <c r="T49" s="436">
        <v>140.625</v>
      </c>
      <c r="U49" s="436"/>
      <c r="V49" s="497">
        <v>98.4375</v>
      </c>
      <c r="W49" s="505">
        <f t="shared" si="47"/>
        <v>-68.669605024213084</v>
      </c>
      <c r="X49" s="505">
        <f t="shared" si="49"/>
        <v>140495.6965042373</v>
      </c>
      <c r="Y49" s="504">
        <v>2050</v>
      </c>
      <c r="Z49" s="121" t="s">
        <v>889</v>
      </c>
      <c r="AA49" s="513">
        <f t="shared" si="50"/>
        <v>1783.0943553268735</v>
      </c>
      <c r="AB49" s="513">
        <f t="shared" si="48"/>
        <v>1577.085540254222</v>
      </c>
      <c r="AC49" s="513">
        <f t="shared" si="48"/>
        <v>1439.7463302058168</v>
      </c>
      <c r="AD49" s="513">
        <f t="shared" si="48"/>
        <v>1302.4071201573825</v>
      </c>
      <c r="AE49" s="513">
        <f t="shared" si="48"/>
        <v>1096.398305084731</v>
      </c>
      <c r="AF49" s="513">
        <f t="shared" si="48"/>
        <v>890.38949001210858</v>
      </c>
      <c r="AG49" s="513">
        <f t="shared" si="48"/>
        <v>753.05027996367426</v>
      </c>
      <c r="AH49" s="513">
        <f t="shared" si="48"/>
        <v>615.71106991523993</v>
      </c>
      <c r="AI49" s="513">
        <f t="shared" si="48"/>
        <v>409.70225484261755</v>
      </c>
      <c r="AJ49" s="513">
        <f t="shared" si="48"/>
        <v>203.69343976996606</v>
      </c>
      <c r="AK49" s="513">
        <f t="shared" si="48"/>
        <v>66.354229721560841</v>
      </c>
      <c r="AL49" s="513">
        <v>0</v>
      </c>
      <c r="AM49" s="513">
        <f t="shared" si="48"/>
        <v>0</v>
      </c>
    </row>
    <row r="50" spans="1:39" x14ac:dyDescent="0.25">
      <c r="A50" t="s">
        <v>473</v>
      </c>
      <c r="B50" t="s">
        <v>890</v>
      </c>
      <c r="C50" s="486">
        <v>89.27</v>
      </c>
      <c r="D50" s="490">
        <f t="shared" si="43"/>
        <v>5.8400000000000001E-2</v>
      </c>
      <c r="E50" s="490">
        <f t="shared" si="44"/>
        <v>0.94159999999999999</v>
      </c>
      <c r="F50" s="490" t="str">
        <f t="shared" si="45"/>
        <v>Oil and Gas</v>
      </c>
      <c r="G50" s="491">
        <f>+C50*5.84%</f>
        <v>5.213368</v>
      </c>
      <c r="H50" s="121">
        <v>504.38</v>
      </c>
      <c r="I50" s="492">
        <f t="shared" si="46"/>
        <v>28.471662391040002</v>
      </c>
      <c r="J50" s="496">
        <v>10948.509485094852</v>
      </c>
      <c r="K50" s="436">
        <v>18536.585365853658</v>
      </c>
      <c r="L50" s="436">
        <v>15121.951219512197</v>
      </c>
      <c r="M50" s="436"/>
      <c r="N50" s="436">
        <v>10135.501355013552</v>
      </c>
      <c r="O50" s="436"/>
      <c r="P50" s="436">
        <v>6991.8699186991871</v>
      </c>
      <c r="Q50" s="436"/>
      <c r="R50" s="436">
        <v>4932.2493224932259</v>
      </c>
      <c r="S50" s="436"/>
      <c r="T50" s="436">
        <v>3360.4336043360454</v>
      </c>
      <c r="U50" s="436"/>
      <c r="V50" s="497">
        <v>2493.2249322493226</v>
      </c>
      <c r="W50" s="505">
        <f t="shared" si="47"/>
        <v>-465.03540095933653</v>
      </c>
      <c r="X50" s="505">
        <f t="shared" si="49"/>
        <v>954714.52850121737</v>
      </c>
      <c r="Y50" s="504">
        <v>2059</v>
      </c>
      <c r="Z50" s="121" t="s">
        <v>890</v>
      </c>
      <c r="AA50" s="513">
        <f t="shared" si="50"/>
        <v>15343.018563357531</v>
      </c>
      <c r="AB50" s="513">
        <f t="shared" si="48"/>
        <v>13947.91236047959</v>
      </c>
      <c r="AC50" s="513">
        <f t="shared" si="48"/>
        <v>13017.841558560845</v>
      </c>
      <c r="AD50" s="513">
        <f t="shared" si="48"/>
        <v>12087.770756642218</v>
      </c>
      <c r="AE50" s="513">
        <f t="shared" si="48"/>
        <v>10692.664553764276</v>
      </c>
      <c r="AF50" s="513">
        <f t="shared" si="48"/>
        <v>9297.5583508862182</v>
      </c>
      <c r="AG50" s="513">
        <f t="shared" si="48"/>
        <v>8367.4875489675906</v>
      </c>
      <c r="AH50" s="513">
        <f t="shared" si="48"/>
        <v>7437.4167470488464</v>
      </c>
      <c r="AI50" s="513">
        <f t="shared" si="48"/>
        <v>6042.3105441709049</v>
      </c>
      <c r="AJ50" s="513">
        <f t="shared" si="48"/>
        <v>4647.2043412928469</v>
      </c>
      <c r="AK50" s="513">
        <f t="shared" si="48"/>
        <v>3717.1335393742193</v>
      </c>
      <c r="AL50" s="513">
        <f t="shared" si="48"/>
        <v>2787.0627374554751</v>
      </c>
      <c r="AM50" s="513">
        <f t="shared" si="48"/>
        <v>1391.9565345775336</v>
      </c>
    </row>
    <row r="51" spans="1:39" x14ac:dyDescent="0.25">
      <c r="A51" t="s">
        <v>888</v>
      </c>
      <c r="B51" t="s">
        <v>891</v>
      </c>
      <c r="C51" s="486">
        <v>17.7</v>
      </c>
      <c r="D51" s="490">
        <f t="shared" si="43"/>
        <v>8.2299999999999998E-2</v>
      </c>
      <c r="E51" s="490">
        <f t="shared" si="44"/>
        <v>0.91769999999999996</v>
      </c>
      <c r="F51" s="490" t="str">
        <f t="shared" si="45"/>
        <v>Oil and Gas</v>
      </c>
      <c r="G51" s="491">
        <f>+C51*8.23%</f>
        <v>1.4567099999999999</v>
      </c>
      <c r="H51" s="121">
        <v>97.48</v>
      </c>
      <c r="I51" s="492">
        <f t="shared" si="46"/>
        <v>7.7535720485999997</v>
      </c>
      <c r="J51" s="496">
        <v>18542.472955633653</v>
      </c>
      <c r="K51" s="436"/>
      <c r="L51" s="436">
        <v>10048.403417448106</v>
      </c>
      <c r="M51" s="436"/>
      <c r="N51" s="436"/>
      <c r="O51" s="436"/>
      <c r="P51" s="436"/>
      <c r="Q51" s="436"/>
      <c r="R51" s="436"/>
      <c r="S51" s="436"/>
      <c r="T51" s="436"/>
      <c r="U51" s="436"/>
      <c r="V51" s="497"/>
      <c r="W51" s="505">
        <f t="shared" si="47"/>
        <v>-1698.8139076371094</v>
      </c>
      <c r="X51" s="505">
        <f t="shared" si="49"/>
        <v>3450146.5663825944</v>
      </c>
      <c r="Y51" s="504">
        <v>2025</v>
      </c>
      <c r="Z51" s="121" t="s">
        <v>891</v>
      </c>
      <c r="AA51" s="513">
        <f t="shared" si="50"/>
        <v>18542.47295563342</v>
      </c>
      <c r="AB51" s="513">
        <f t="shared" si="48"/>
        <v>13446.031232722104</v>
      </c>
      <c r="AC51" s="513">
        <f t="shared" si="48"/>
        <v>0</v>
      </c>
      <c r="AD51" s="513">
        <f t="shared" si="48"/>
        <v>0</v>
      </c>
      <c r="AE51" s="513">
        <f t="shared" si="48"/>
        <v>0</v>
      </c>
      <c r="AF51" s="513">
        <f t="shared" si="48"/>
        <v>0</v>
      </c>
      <c r="AG51" s="513">
        <f t="shared" si="48"/>
        <v>0</v>
      </c>
      <c r="AH51" s="513">
        <f t="shared" si="48"/>
        <v>0</v>
      </c>
      <c r="AI51" s="513">
        <f t="shared" si="48"/>
        <v>0</v>
      </c>
      <c r="AJ51" s="513">
        <f t="shared" si="48"/>
        <v>0</v>
      </c>
      <c r="AK51" s="513">
        <f t="shared" si="48"/>
        <v>0</v>
      </c>
      <c r="AL51" s="513">
        <f t="shared" si="48"/>
        <v>0</v>
      </c>
      <c r="AM51" s="513">
        <f t="shared" si="48"/>
        <v>0</v>
      </c>
    </row>
    <row r="52" spans="1:39" x14ac:dyDescent="0.25">
      <c r="A52" t="s">
        <v>473</v>
      </c>
      <c r="B52" t="s">
        <v>892</v>
      </c>
      <c r="C52" s="486">
        <v>10.25</v>
      </c>
      <c r="D52" s="490">
        <f t="shared" si="43"/>
        <v>0.02</v>
      </c>
      <c r="E52" s="490">
        <f t="shared" si="44"/>
        <v>0.98</v>
      </c>
      <c r="F52" s="490" t="str">
        <f t="shared" si="45"/>
        <v>Oil and Gas</v>
      </c>
      <c r="G52" s="491">
        <f>+C52*2%</f>
        <v>0.20500000000000002</v>
      </c>
      <c r="H52" s="121">
        <v>60.26</v>
      </c>
      <c r="I52" s="492">
        <f t="shared" si="46"/>
        <v>1.1652200000000001</v>
      </c>
      <c r="J52" s="496">
        <v>9971.5099715100077</v>
      </c>
      <c r="K52" s="436"/>
      <c r="L52" s="436">
        <v>4985.7549857549602</v>
      </c>
      <c r="M52" s="436"/>
      <c r="N52" s="436"/>
      <c r="O52" s="436"/>
      <c r="P52" s="436"/>
      <c r="Q52" s="436"/>
      <c r="R52" s="436"/>
      <c r="S52" s="436"/>
      <c r="T52" s="436"/>
      <c r="U52" s="436"/>
      <c r="V52" s="497"/>
      <c r="W52" s="505">
        <f t="shared" si="47"/>
        <v>-997.15099715100951</v>
      </c>
      <c r="X52" s="505">
        <f t="shared" si="49"/>
        <v>2024216.5242165492</v>
      </c>
      <c r="Y52" s="504">
        <v>2025</v>
      </c>
      <c r="Z52" s="121" t="s">
        <v>892</v>
      </c>
      <c r="AA52" s="513">
        <f t="shared" si="50"/>
        <v>9971.5099715099204</v>
      </c>
      <c r="AB52" s="513">
        <f t="shared" si="50"/>
        <v>6980.056980056921</v>
      </c>
      <c r="AC52" s="513">
        <f t="shared" si="50"/>
        <v>0</v>
      </c>
      <c r="AD52" s="513">
        <f t="shared" si="50"/>
        <v>0</v>
      </c>
      <c r="AE52" s="513">
        <f t="shared" si="50"/>
        <v>0</v>
      </c>
      <c r="AF52" s="513">
        <f t="shared" si="50"/>
        <v>0</v>
      </c>
      <c r="AG52" s="513">
        <f t="shared" si="50"/>
        <v>0</v>
      </c>
      <c r="AH52" s="513">
        <f t="shared" si="50"/>
        <v>0</v>
      </c>
      <c r="AI52" s="513">
        <f t="shared" si="50"/>
        <v>0</v>
      </c>
      <c r="AJ52" s="513">
        <f t="shared" si="50"/>
        <v>0</v>
      </c>
      <c r="AK52" s="513">
        <f t="shared" si="50"/>
        <v>0</v>
      </c>
      <c r="AL52" s="513">
        <f t="shared" si="50"/>
        <v>0</v>
      </c>
      <c r="AM52" s="513">
        <f t="shared" si="50"/>
        <v>0</v>
      </c>
    </row>
    <row r="53" spans="1:39" x14ac:dyDescent="0.25">
      <c r="A53" t="s">
        <v>888</v>
      </c>
      <c r="B53" t="s">
        <v>893</v>
      </c>
      <c r="C53" s="486">
        <v>1.1399999999999999</v>
      </c>
      <c r="D53" s="490">
        <f t="shared" si="43"/>
        <v>0.93119999999999992</v>
      </c>
      <c r="E53" s="490">
        <f t="shared" si="44"/>
        <v>6.8800000000000083E-2</v>
      </c>
      <c r="F53" s="490" t="str">
        <f t="shared" si="45"/>
        <v>Oil and Gas</v>
      </c>
      <c r="G53" s="491">
        <f>+C53*93.12%</f>
        <v>1.0615679999999998</v>
      </c>
      <c r="H53" s="121">
        <v>0.47</v>
      </c>
      <c r="I53" s="492">
        <f t="shared" si="46"/>
        <v>0.42360809472000044</v>
      </c>
      <c r="J53" s="496">
        <v>1011.5853658536586</v>
      </c>
      <c r="K53" s="436">
        <v>426.82926829268285</v>
      </c>
      <c r="L53" s="436">
        <v>273.17073170731692</v>
      </c>
      <c r="M53" s="436">
        <v>170.73170731707319</v>
      </c>
      <c r="N53" s="436">
        <v>110.97560975609758</v>
      </c>
      <c r="O53" s="436">
        <v>55.487804878048792</v>
      </c>
      <c r="P53" s="436"/>
      <c r="Q53" s="436"/>
      <c r="R53" s="436"/>
      <c r="S53" s="436"/>
      <c r="T53" s="436"/>
      <c r="U53" s="436"/>
      <c r="V53" s="497"/>
      <c r="W53" s="505">
        <f t="shared" si="47"/>
        <v>-65.59624653132758</v>
      </c>
      <c r="X53" s="505">
        <f t="shared" si="49"/>
        <v>133261.32430261426</v>
      </c>
      <c r="Y53" s="504">
        <v>2033</v>
      </c>
      <c r="Z53" s="121" t="s">
        <v>893</v>
      </c>
      <c r="AA53" s="513">
        <f t="shared" ref="AA53:AM53" si="51">+IF(AA$35&lt;$Y53,$W53*AA$35+$X53,0)</f>
        <v>756.90630933255306</v>
      </c>
      <c r="AB53" s="513">
        <f t="shared" si="51"/>
        <v>560.11756973856245</v>
      </c>
      <c r="AC53" s="513">
        <f t="shared" si="51"/>
        <v>428.92507667592145</v>
      </c>
      <c r="AD53" s="513">
        <f t="shared" si="51"/>
        <v>297.73258361325134</v>
      </c>
      <c r="AE53" s="513">
        <f t="shared" si="51"/>
        <v>100.94384401926072</v>
      </c>
      <c r="AF53" s="513">
        <f t="shared" si="51"/>
        <v>0</v>
      </c>
      <c r="AG53" s="513">
        <f t="shared" si="51"/>
        <v>0</v>
      </c>
      <c r="AH53" s="513">
        <f t="shared" si="51"/>
        <v>0</v>
      </c>
      <c r="AI53" s="513">
        <f t="shared" si="51"/>
        <v>0</v>
      </c>
      <c r="AJ53" s="513">
        <f t="shared" si="51"/>
        <v>0</v>
      </c>
      <c r="AK53" s="513">
        <f t="shared" si="51"/>
        <v>0</v>
      </c>
      <c r="AL53" s="513">
        <f t="shared" si="51"/>
        <v>0</v>
      </c>
      <c r="AM53" s="513">
        <f t="shared" si="51"/>
        <v>0</v>
      </c>
    </row>
    <row r="54" spans="1:39" x14ac:dyDescent="0.25">
      <c r="A54" t="s">
        <v>888</v>
      </c>
      <c r="B54" t="s">
        <v>894</v>
      </c>
      <c r="C54" s="486">
        <v>1.31</v>
      </c>
      <c r="D54" s="490">
        <f t="shared" si="43"/>
        <v>0.95340000000000003</v>
      </c>
      <c r="E54" s="490">
        <f t="shared" si="44"/>
        <v>4.6599999999999975E-2</v>
      </c>
      <c r="F54" s="490" t="str">
        <f t="shared" si="45"/>
        <v>Oil and Gas</v>
      </c>
      <c r="G54" s="491">
        <f>+C54*95.34%</f>
        <v>1.2489540000000001</v>
      </c>
      <c r="H54" s="121">
        <v>0.37</v>
      </c>
      <c r="I54" s="492">
        <f t="shared" si="46"/>
        <v>0.33756728711999989</v>
      </c>
      <c r="J54" s="496">
        <v>478.4770733757025</v>
      </c>
      <c r="K54" s="436"/>
      <c r="L54" s="436">
        <v>279.42512737013499</v>
      </c>
      <c r="M54" s="436"/>
      <c r="N54" s="436">
        <v>141.14055360050423</v>
      </c>
      <c r="O54" s="436"/>
      <c r="P54" s="436">
        <v>88.287199957980988</v>
      </c>
      <c r="Q54" s="436"/>
      <c r="R54" s="436">
        <v>56.323861547350248</v>
      </c>
      <c r="S54" s="436"/>
      <c r="T54" s="436">
        <v>35.752928200010388</v>
      </c>
      <c r="U54" s="436"/>
      <c r="V54" s="497">
        <v>22.784810126582215</v>
      </c>
      <c r="W54" s="505">
        <f t="shared" si="47"/>
        <v>-13.851699143862602</v>
      </c>
      <c r="X54" s="505">
        <f t="shared" si="49"/>
        <v>28345.663694071576</v>
      </c>
      <c r="Y54" s="504">
        <v>2053</v>
      </c>
      <c r="Z54" s="121" t="s">
        <v>894</v>
      </c>
      <c r="AA54" s="513">
        <f t="shared" ref="AA54:AK57" si="52">+IF(AA$35&lt;$Y54,$W54*AA$35+$X54,0)</f>
        <v>365.23142346912209</v>
      </c>
      <c r="AB54" s="513">
        <f t="shared" si="52"/>
        <v>323.67632603753373</v>
      </c>
      <c r="AC54" s="513">
        <f t="shared" si="52"/>
        <v>295.97292774980815</v>
      </c>
      <c r="AD54" s="513">
        <f t="shared" si="52"/>
        <v>268.26952946208257</v>
      </c>
      <c r="AE54" s="513">
        <f t="shared" si="52"/>
        <v>226.71443203049421</v>
      </c>
      <c r="AF54" s="513">
        <f t="shared" si="52"/>
        <v>185.15933459890584</v>
      </c>
      <c r="AG54" s="513">
        <f t="shared" si="52"/>
        <v>157.45593631118027</v>
      </c>
      <c r="AH54" s="513">
        <f t="shared" si="52"/>
        <v>129.75253802345469</v>
      </c>
      <c r="AI54" s="513">
        <f t="shared" si="52"/>
        <v>88.197440591869963</v>
      </c>
      <c r="AJ54" s="513">
        <f t="shared" si="52"/>
        <v>46.642343160281598</v>
      </c>
      <c r="AK54" s="513">
        <f t="shared" si="52"/>
        <v>18.938944872556021</v>
      </c>
      <c r="AL54" s="513">
        <v>0</v>
      </c>
      <c r="AM54" s="513">
        <v>0</v>
      </c>
    </row>
    <row r="55" spans="1:39" x14ac:dyDescent="0.25">
      <c r="A55" t="s">
        <v>473</v>
      </c>
      <c r="B55" t="s">
        <v>895</v>
      </c>
      <c r="C55" s="486">
        <v>8.8000000000000007</v>
      </c>
      <c r="D55" s="490">
        <f t="shared" si="43"/>
        <v>0.9466</v>
      </c>
      <c r="E55" s="490">
        <f t="shared" si="44"/>
        <v>5.3400000000000003E-2</v>
      </c>
      <c r="F55" s="490" t="str">
        <f t="shared" si="45"/>
        <v>Oil and Gas</v>
      </c>
      <c r="G55" s="491">
        <f>+C55*94.66%</f>
        <v>8.3300800000000006</v>
      </c>
      <c r="H55" s="121">
        <v>2.82</v>
      </c>
      <c r="I55" s="492">
        <f t="shared" si="46"/>
        <v>2.5799923776000004</v>
      </c>
      <c r="J55" s="496">
        <v>3015.5763239875378</v>
      </c>
      <c r="K55" s="436"/>
      <c r="L55" s="436">
        <v>2068.5358255451711</v>
      </c>
      <c r="M55" s="436"/>
      <c r="N55" s="436">
        <v>1096.5732087227407</v>
      </c>
      <c r="O55" s="436"/>
      <c r="P55" s="436">
        <v>747.66355140186806</v>
      </c>
      <c r="Q55" s="436">
        <v>573.20872274143221</v>
      </c>
      <c r="R55" s="436"/>
      <c r="S55" s="436"/>
      <c r="T55" s="436"/>
      <c r="U55" s="436"/>
      <c r="V55" s="497"/>
      <c r="W55" s="505">
        <f t="shared" si="47"/>
        <v>-143.23899073003355</v>
      </c>
      <c r="X55" s="505">
        <f t="shared" si="49"/>
        <v>292189.51931400981</v>
      </c>
      <c r="Y55" s="504">
        <v>2039</v>
      </c>
      <c r="Z55" s="121" t="s">
        <v>895</v>
      </c>
      <c r="AA55" s="513">
        <f t="shared" si="52"/>
        <v>2846.7580393420649</v>
      </c>
      <c r="AB55" s="513">
        <f t="shared" si="52"/>
        <v>2417.0410671519348</v>
      </c>
      <c r="AC55" s="513">
        <f t="shared" si="52"/>
        <v>2130.563085691887</v>
      </c>
      <c r="AD55" s="513">
        <f t="shared" si="52"/>
        <v>1844.0851042317809</v>
      </c>
      <c r="AE55" s="513">
        <f t="shared" si="52"/>
        <v>1414.368132041709</v>
      </c>
      <c r="AF55" s="513">
        <f t="shared" si="52"/>
        <v>984.651159851579</v>
      </c>
      <c r="AG55" s="513">
        <f t="shared" si="52"/>
        <v>698.17317839153111</v>
      </c>
      <c r="AH55" s="513">
        <f t="shared" si="52"/>
        <v>411.69519693148322</v>
      </c>
      <c r="AI55" s="513">
        <f t="shared" si="52"/>
        <v>0</v>
      </c>
      <c r="AJ55" s="513">
        <f t="shared" si="52"/>
        <v>0</v>
      </c>
      <c r="AK55" s="513">
        <f t="shared" si="52"/>
        <v>0</v>
      </c>
      <c r="AL55" s="513">
        <f t="shared" ref="AL55:AM68" si="53">+IF(AL$35&lt;$Y55,$W55*AL$35+$X55,0)</f>
        <v>0</v>
      </c>
      <c r="AM55" s="513">
        <f t="shared" si="53"/>
        <v>0</v>
      </c>
    </row>
    <row r="56" spans="1:39" x14ac:dyDescent="0.25">
      <c r="A56" t="s">
        <v>888</v>
      </c>
      <c r="B56" t="s">
        <v>896</v>
      </c>
      <c r="C56" s="486">
        <v>4.72</v>
      </c>
      <c r="D56" s="490">
        <f t="shared" si="43"/>
        <v>0.73699999999999999</v>
      </c>
      <c r="E56" s="490">
        <f t="shared" si="44"/>
        <v>0.26300000000000001</v>
      </c>
      <c r="F56" s="490" t="str">
        <f t="shared" si="45"/>
        <v>Oil and Gas</v>
      </c>
      <c r="G56" s="491">
        <f>+C56*73.7%</f>
        <v>3.47864</v>
      </c>
      <c r="H56" s="121">
        <v>7.45</v>
      </c>
      <c r="I56" s="492">
        <f t="shared" si="46"/>
        <v>5.3063174560000004</v>
      </c>
      <c r="J56" s="496">
        <v>3418.0511603375526</v>
      </c>
      <c r="K56" s="436">
        <v>2772.6133966244743</v>
      </c>
      <c r="L56" s="436">
        <v>1873.6814345991588</v>
      </c>
      <c r="M56" s="436">
        <v>773.00896624472807</v>
      </c>
      <c r="N56" s="436">
        <v>570.93881856540247</v>
      </c>
      <c r="O56" s="436"/>
      <c r="P56" s="436"/>
      <c r="Q56" s="436"/>
      <c r="R56" s="436"/>
      <c r="S56" s="436"/>
      <c r="T56" s="436"/>
      <c r="U56" s="436"/>
      <c r="V56" s="497"/>
      <c r="W56" s="505">
        <f t="shared" si="47"/>
        <v>-314.39259602793521</v>
      </c>
      <c r="X56" s="505">
        <f t="shared" si="49"/>
        <v>638526.66571184306</v>
      </c>
      <c r="Y56" s="504">
        <v>2030</v>
      </c>
      <c r="Z56" s="121" t="s">
        <v>896</v>
      </c>
      <c r="AA56" s="513">
        <f t="shared" si="52"/>
        <v>3453.621735413908</v>
      </c>
      <c r="AB56" s="513">
        <f t="shared" si="52"/>
        <v>2510.4439473301172</v>
      </c>
      <c r="AC56" s="513">
        <f t="shared" si="52"/>
        <v>1881.6587552742567</v>
      </c>
      <c r="AD56" s="513">
        <f t="shared" si="52"/>
        <v>1252.8735632183962</v>
      </c>
      <c r="AE56" s="513">
        <f t="shared" si="52"/>
        <v>0</v>
      </c>
      <c r="AF56" s="513">
        <f t="shared" si="52"/>
        <v>0</v>
      </c>
      <c r="AG56" s="513">
        <f t="shared" si="52"/>
        <v>0</v>
      </c>
      <c r="AH56" s="513">
        <f t="shared" si="52"/>
        <v>0</v>
      </c>
      <c r="AI56" s="513">
        <f t="shared" si="52"/>
        <v>0</v>
      </c>
      <c r="AJ56" s="513">
        <f t="shared" si="52"/>
        <v>0</v>
      </c>
      <c r="AK56" s="513">
        <f t="shared" si="52"/>
        <v>0</v>
      </c>
      <c r="AL56" s="513">
        <f t="shared" si="53"/>
        <v>0</v>
      </c>
      <c r="AM56" s="513">
        <f t="shared" si="53"/>
        <v>0</v>
      </c>
    </row>
    <row r="57" spans="1:39" x14ac:dyDescent="0.25">
      <c r="A57" t="s">
        <v>473</v>
      </c>
      <c r="B57" t="s">
        <v>897</v>
      </c>
      <c r="C57" s="486">
        <v>11.27</v>
      </c>
      <c r="D57" s="490">
        <f t="shared" si="43"/>
        <v>1</v>
      </c>
      <c r="E57" s="490">
        <f t="shared" si="44"/>
        <v>0</v>
      </c>
      <c r="F57" s="490" t="str">
        <f t="shared" si="45"/>
        <v>Oil</v>
      </c>
      <c r="G57" s="491">
        <v>11.27</v>
      </c>
      <c r="H57" s="121">
        <v>0</v>
      </c>
      <c r="I57" s="492">
        <f t="shared" si="46"/>
        <v>0</v>
      </c>
      <c r="J57" s="496">
        <v>2515.9744408945689</v>
      </c>
      <c r="K57" s="436">
        <v>2180.5111821086266</v>
      </c>
      <c r="L57" s="436">
        <v>1744.408945686901</v>
      </c>
      <c r="M57" s="436"/>
      <c r="N57" s="436">
        <v>1230.031948881789</v>
      </c>
      <c r="O57" s="436"/>
      <c r="P57" s="436">
        <v>861.02236421725229</v>
      </c>
      <c r="Q57" s="436"/>
      <c r="R57" s="436">
        <v>615.01597444089475</v>
      </c>
      <c r="S57" s="436"/>
      <c r="T57" s="436">
        <v>447.28434504792313</v>
      </c>
      <c r="U57" s="436"/>
      <c r="V57" s="497">
        <v>313.09904153354637</v>
      </c>
      <c r="W57" s="505">
        <f t="shared" si="47"/>
        <v>-73.116911247089405</v>
      </c>
      <c r="X57" s="505">
        <f t="shared" si="49"/>
        <v>149921.65755130773</v>
      </c>
      <c r="Y57" s="504">
        <v>2067</v>
      </c>
      <c r="Z57" s="121" t="s">
        <v>897</v>
      </c>
      <c r="AA57" s="513">
        <f t="shared" si="52"/>
        <v>2225.496832187142</v>
      </c>
      <c r="AB57" s="513">
        <f t="shared" si="52"/>
        <v>2006.1460984458681</v>
      </c>
      <c r="AC57" s="513">
        <f t="shared" si="52"/>
        <v>1859.9122759516758</v>
      </c>
      <c r="AD57" s="513">
        <f t="shared" si="52"/>
        <v>1713.6784534575127</v>
      </c>
      <c r="AE57" s="513">
        <f t="shared" si="52"/>
        <v>1494.3277197162388</v>
      </c>
      <c r="AF57" s="513">
        <f t="shared" si="52"/>
        <v>1274.9769859749649</v>
      </c>
      <c r="AG57" s="513">
        <f t="shared" si="52"/>
        <v>1128.7431634807726</v>
      </c>
      <c r="AH57" s="513">
        <f t="shared" si="52"/>
        <v>982.50934098660946</v>
      </c>
      <c r="AI57" s="513">
        <f t="shared" si="52"/>
        <v>763.15860724533559</v>
      </c>
      <c r="AJ57" s="513">
        <f t="shared" si="52"/>
        <v>543.80787350406172</v>
      </c>
      <c r="AK57" s="513">
        <f t="shared" si="52"/>
        <v>397.57405100989854</v>
      </c>
      <c r="AL57" s="513">
        <f t="shared" si="53"/>
        <v>251.34022851570626</v>
      </c>
      <c r="AM57" s="513">
        <f t="shared" si="53"/>
        <v>31.989494774432387</v>
      </c>
    </row>
    <row r="58" spans="1:39" x14ac:dyDescent="0.25">
      <c r="A58" t="s">
        <v>473</v>
      </c>
      <c r="B58" t="s">
        <v>850</v>
      </c>
      <c r="C58" s="486">
        <v>3.84</v>
      </c>
      <c r="D58" s="490">
        <f t="shared" si="43"/>
        <v>0</v>
      </c>
      <c r="E58" s="490">
        <f t="shared" si="44"/>
        <v>1</v>
      </c>
      <c r="F58" s="490" t="str">
        <f t="shared" si="45"/>
        <v>Gas</v>
      </c>
      <c r="G58" s="491"/>
      <c r="H58" s="121">
        <v>23.03</v>
      </c>
      <c r="I58" s="492">
        <f t="shared" si="46"/>
        <v>0</v>
      </c>
      <c r="J58" s="496">
        <v>5461.7834394904457</v>
      </c>
      <c r="K58" s="436">
        <v>1738.8535031847141</v>
      </c>
      <c r="L58" s="436">
        <v>936.30573248407654</v>
      </c>
      <c r="M58" s="436">
        <v>468.15286624203873</v>
      </c>
      <c r="N58" s="436"/>
      <c r="O58" s="436"/>
      <c r="P58" s="436"/>
      <c r="Q58" s="436"/>
      <c r="R58" s="436"/>
      <c r="S58" s="436"/>
      <c r="T58" s="436"/>
      <c r="U58" s="436"/>
      <c r="V58" s="497"/>
      <c r="W58" s="505">
        <f t="shared" si="47"/>
        <v>-713.79248764807414</v>
      </c>
      <c r="X58" s="505">
        <f t="shared" si="49"/>
        <v>1446688.8207631402</v>
      </c>
      <c r="Y58" s="504">
        <v>2028</v>
      </c>
      <c r="Z58" s="121" t="s">
        <v>850</v>
      </c>
      <c r="AA58" s="513">
        <f t="shared" ref="AA58:AC68" si="54">+IF(AA$35&lt;$Y58,$W58*AA$35+$X58,0)</f>
        <v>4827.9957140304614</v>
      </c>
      <c r="AB58" s="513">
        <f t="shared" si="54"/>
        <v>2686.6182510862127</v>
      </c>
      <c r="AC58" s="513">
        <f t="shared" si="54"/>
        <v>1259.0332757900469</v>
      </c>
      <c r="AD58" s="513">
        <v>0</v>
      </c>
      <c r="AE58" s="513">
        <f t="shared" ref="AE58:AK58" si="55">+IF(AE$35&lt;$Y58,$W58*AE$35+$X58,0)</f>
        <v>0</v>
      </c>
      <c r="AF58" s="513">
        <f t="shared" si="55"/>
        <v>0</v>
      </c>
      <c r="AG58" s="513">
        <f t="shared" si="55"/>
        <v>0</v>
      </c>
      <c r="AH58" s="513">
        <f t="shared" si="55"/>
        <v>0</v>
      </c>
      <c r="AI58" s="513">
        <f t="shared" si="55"/>
        <v>0</v>
      </c>
      <c r="AJ58" s="513">
        <f t="shared" si="55"/>
        <v>0</v>
      </c>
      <c r="AK58" s="513">
        <f t="shared" si="55"/>
        <v>0</v>
      </c>
      <c r="AL58" s="513">
        <f t="shared" si="53"/>
        <v>0</v>
      </c>
      <c r="AM58" s="513">
        <f t="shared" si="53"/>
        <v>0</v>
      </c>
    </row>
    <row r="59" spans="1:39" x14ac:dyDescent="0.25">
      <c r="A59" t="s">
        <v>473</v>
      </c>
      <c r="B59" t="s">
        <v>898</v>
      </c>
      <c r="C59" s="486">
        <v>14.92</v>
      </c>
      <c r="D59" s="490">
        <f t="shared" si="43"/>
        <v>0.99739999999999995</v>
      </c>
      <c r="E59" s="490">
        <f t="shared" si="44"/>
        <v>2.6000000000000467E-3</v>
      </c>
      <c r="F59" s="490" t="str">
        <f t="shared" si="45"/>
        <v>Oil and Gas</v>
      </c>
      <c r="G59" s="491">
        <f>+C59*99.74%</f>
        <v>14.881207999999999</v>
      </c>
      <c r="H59" s="121">
        <v>0.24</v>
      </c>
      <c r="I59" s="492">
        <f t="shared" si="46"/>
        <v>0.22440861664000403</v>
      </c>
      <c r="J59" s="496">
        <v>10378.588980143002</v>
      </c>
      <c r="K59" s="436"/>
      <c r="L59" s="436">
        <v>4118.367166227612</v>
      </c>
      <c r="M59" s="436"/>
      <c r="N59" s="436">
        <v>1302.5922564363664</v>
      </c>
      <c r="O59" s="436"/>
      <c r="P59" s="436">
        <v>695.4596772408313</v>
      </c>
      <c r="Q59" s="436"/>
      <c r="R59" s="436">
        <v>529.80762845062418</v>
      </c>
      <c r="S59" s="436"/>
      <c r="T59" s="436"/>
      <c r="U59" s="436"/>
      <c r="V59" s="497"/>
      <c r="W59" s="505">
        <f t="shared" si="47"/>
        <v>-462.40940384743078</v>
      </c>
      <c r="X59" s="505">
        <f t="shared" si="49"/>
        <v>942096.05295198411</v>
      </c>
      <c r="Y59" s="504">
        <v>2043</v>
      </c>
      <c r="Z59" s="121" t="s">
        <v>898</v>
      </c>
      <c r="AA59" s="513">
        <f t="shared" si="54"/>
        <v>8029.0571801739279</v>
      </c>
      <c r="AB59" s="513">
        <f t="shared" si="54"/>
        <v>6641.8289686316857</v>
      </c>
      <c r="AC59" s="513">
        <f t="shared" si="54"/>
        <v>5717.0101609367412</v>
      </c>
      <c r="AD59" s="513">
        <f t="shared" ref="AD59:AH68" si="56">+IF(AD$35&lt;$Y59,$W59*AD$35+$X59,0)</f>
        <v>4792.191353241913</v>
      </c>
      <c r="AE59" s="513">
        <f t="shared" si="56"/>
        <v>3404.9631416996708</v>
      </c>
      <c r="AF59" s="513">
        <f t="shared" si="56"/>
        <v>2017.7349301573122</v>
      </c>
      <c r="AG59" s="513">
        <f t="shared" si="56"/>
        <v>1092.9161224624841</v>
      </c>
      <c r="AH59" s="513">
        <f t="shared" si="56"/>
        <v>168.09731476765592</v>
      </c>
      <c r="AI59" s="513">
        <v>0</v>
      </c>
      <c r="AJ59" s="513">
        <f t="shared" ref="AJ59:AK68" si="57">+IF(AJ$35&lt;$Y59,$W59*AJ$35+$X59,0)</f>
        <v>0</v>
      </c>
      <c r="AK59" s="513">
        <f t="shared" si="57"/>
        <v>0</v>
      </c>
      <c r="AL59" s="513">
        <f t="shared" si="53"/>
        <v>0</v>
      </c>
      <c r="AM59" s="513">
        <f t="shared" si="53"/>
        <v>0</v>
      </c>
    </row>
    <row r="60" spans="1:39" x14ac:dyDescent="0.25">
      <c r="A60" t="s">
        <v>473</v>
      </c>
      <c r="B60" t="s">
        <v>856</v>
      </c>
      <c r="C60" s="486">
        <v>43.42</v>
      </c>
      <c r="D60" s="490">
        <f t="shared" si="43"/>
        <v>0.93490000000000006</v>
      </c>
      <c r="E60" s="490">
        <f t="shared" si="44"/>
        <v>6.5099999999999936E-2</v>
      </c>
      <c r="F60" s="490" t="str">
        <f t="shared" si="45"/>
        <v>Oil and Gas</v>
      </c>
      <c r="G60" s="491">
        <f>+C60*93.49%</f>
        <v>40.593358000000002</v>
      </c>
      <c r="H60" s="121">
        <v>16.96</v>
      </c>
      <c r="I60" s="492">
        <f t="shared" si="46"/>
        <v>15.327240113639984</v>
      </c>
      <c r="J60" s="496">
        <v>25106.666666666664</v>
      </c>
      <c r="K60" s="436"/>
      <c r="L60" s="436">
        <v>11573.333333333336</v>
      </c>
      <c r="M60" s="436"/>
      <c r="N60" s="436">
        <v>4200</v>
      </c>
      <c r="O60" s="436"/>
      <c r="P60" s="436">
        <v>2146.6666666666642</v>
      </c>
      <c r="Q60" s="436"/>
      <c r="R60" s="436">
        <v>1213.3333333333358</v>
      </c>
      <c r="S60" s="436"/>
      <c r="T60" s="436"/>
      <c r="U60" s="436"/>
      <c r="V60" s="497"/>
      <c r="W60" s="505">
        <f t="shared" si="47"/>
        <v>-1144.2666666666664</v>
      </c>
      <c r="X60" s="505">
        <f t="shared" si="49"/>
        <v>2331709.333333333</v>
      </c>
      <c r="Y60" s="504">
        <v>2042</v>
      </c>
      <c r="Z60" s="121" t="s">
        <v>856</v>
      </c>
      <c r="AA60" s="513">
        <f t="shared" si="54"/>
        <v>20290.666666666977</v>
      </c>
      <c r="AB60" s="513">
        <f t="shared" si="54"/>
        <v>16857.866666666698</v>
      </c>
      <c r="AC60" s="513">
        <f t="shared" si="54"/>
        <v>14569.333333333489</v>
      </c>
      <c r="AD60" s="513">
        <f t="shared" si="56"/>
        <v>12280.800000000279</v>
      </c>
      <c r="AE60" s="513">
        <f t="shared" si="56"/>
        <v>8848</v>
      </c>
      <c r="AF60" s="513">
        <f t="shared" si="56"/>
        <v>5415.2000000001863</v>
      </c>
      <c r="AG60" s="513">
        <f t="shared" si="56"/>
        <v>3126.6666666669771</v>
      </c>
      <c r="AH60" s="513">
        <f t="shared" si="56"/>
        <v>838.13333333330229</v>
      </c>
      <c r="AI60" s="513">
        <v>0</v>
      </c>
      <c r="AJ60" s="513">
        <f t="shared" si="57"/>
        <v>0</v>
      </c>
      <c r="AK60" s="513">
        <f t="shared" si="57"/>
        <v>0</v>
      </c>
      <c r="AL60" s="513">
        <f t="shared" si="53"/>
        <v>0</v>
      </c>
      <c r="AM60" s="513">
        <f t="shared" si="53"/>
        <v>0</v>
      </c>
    </row>
    <row r="61" spans="1:39" x14ac:dyDescent="0.25">
      <c r="A61" t="s">
        <v>473</v>
      </c>
      <c r="B61" t="s">
        <v>851</v>
      </c>
      <c r="C61" s="486">
        <v>7.3</v>
      </c>
      <c r="D61" s="490">
        <f t="shared" si="43"/>
        <v>0.89639999999999997</v>
      </c>
      <c r="E61" s="490">
        <f t="shared" si="44"/>
        <v>0.10360000000000003</v>
      </c>
      <c r="F61" s="490" t="str">
        <f t="shared" si="45"/>
        <v>Oil and Gas</v>
      </c>
      <c r="G61" s="491">
        <f>+C61*89.64%</f>
        <v>6.5437199999999995</v>
      </c>
      <c r="H61" s="121">
        <v>4.54</v>
      </c>
      <c r="I61" s="492">
        <f t="shared" si="46"/>
        <v>3.9319904736000009</v>
      </c>
      <c r="J61" s="496">
        <v>1984.4236760124613</v>
      </c>
      <c r="K61" s="436"/>
      <c r="L61" s="436">
        <v>1548.2866043613712</v>
      </c>
      <c r="M61" s="436"/>
      <c r="N61" s="436">
        <v>937.6947040498444</v>
      </c>
      <c r="O61" s="436"/>
      <c r="P61" s="436">
        <v>632.39875389408189</v>
      </c>
      <c r="Q61" s="436"/>
      <c r="R61" s="436">
        <v>414.33021806853685</v>
      </c>
      <c r="S61" s="436">
        <v>370.71651090342766</v>
      </c>
      <c r="T61" s="436"/>
      <c r="U61" s="436"/>
      <c r="V61" s="497"/>
      <c r="W61" s="505">
        <f t="shared" si="47"/>
        <v>-72.199748918956587</v>
      </c>
      <c r="X61" s="505">
        <f t="shared" si="49"/>
        <v>147703.23150602126</v>
      </c>
      <c r="Y61" s="504">
        <v>2044</v>
      </c>
      <c r="Z61" s="121" t="s">
        <v>851</v>
      </c>
      <c r="AA61" s="513">
        <f t="shared" si="54"/>
        <v>1859.7386897289543</v>
      </c>
      <c r="AB61" s="513">
        <f t="shared" si="54"/>
        <v>1643.1394429720822</v>
      </c>
      <c r="AC61" s="513">
        <f t="shared" si="54"/>
        <v>1498.7399451341771</v>
      </c>
      <c r="AD61" s="513">
        <f t="shared" si="56"/>
        <v>1354.3404472962429</v>
      </c>
      <c r="AE61" s="513">
        <f t="shared" si="56"/>
        <v>1137.7412005393999</v>
      </c>
      <c r="AF61" s="513">
        <f t="shared" si="56"/>
        <v>921.14195378252771</v>
      </c>
      <c r="AG61" s="513">
        <f t="shared" si="56"/>
        <v>776.74245594459353</v>
      </c>
      <c r="AH61" s="513">
        <f t="shared" si="56"/>
        <v>632.34295810668846</v>
      </c>
      <c r="AI61" s="513">
        <f>+IF(AI$35&lt;$Y61,$W61*AI$35+$X61,0)</f>
        <v>415.74371134981629</v>
      </c>
      <c r="AJ61" s="513">
        <f t="shared" si="57"/>
        <v>199.14446459294413</v>
      </c>
      <c r="AK61" s="513">
        <f t="shared" si="57"/>
        <v>0</v>
      </c>
      <c r="AL61" s="513">
        <f t="shared" si="53"/>
        <v>0</v>
      </c>
      <c r="AM61" s="513">
        <f t="shared" si="53"/>
        <v>0</v>
      </c>
    </row>
    <row r="62" spans="1:39" x14ac:dyDescent="0.25">
      <c r="A62" t="s">
        <v>473</v>
      </c>
      <c r="B62" t="s">
        <v>899</v>
      </c>
      <c r="C62" s="486">
        <v>130.22</v>
      </c>
      <c r="D62" s="490">
        <f t="shared" si="43"/>
        <v>0.63649999999999995</v>
      </c>
      <c r="E62" s="490">
        <f t="shared" si="44"/>
        <v>0.36350000000000005</v>
      </c>
      <c r="F62" s="490" t="str">
        <f t="shared" si="45"/>
        <v>Oil and Gas</v>
      </c>
      <c r="G62" s="491">
        <f>+C62*63.65%</f>
        <v>82.88503</v>
      </c>
      <c r="H62" s="121">
        <v>284</v>
      </c>
      <c r="I62" s="492">
        <f t="shared" si="46"/>
        <v>174.74650874900004</v>
      </c>
      <c r="J62" s="496">
        <v>56720.867208672084</v>
      </c>
      <c r="K62" s="436">
        <v>45149.051490514903</v>
      </c>
      <c r="L62" s="436">
        <v>33197.83197831978</v>
      </c>
      <c r="M62" s="436">
        <v>20298.102981029806</v>
      </c>
      <c r="N62" s="436">
        <v>14986.449864498638</v>
      </c>
      <c r="O62" s="436">
        <v>10433.604336043354</v>
      </c>
      <c r="P62" s="436">
        <v>7777.7777777777665</v>
      </c>
      <c r="Q62" s="436">
        <v>5880.7588075880631</v>
      </c>
      <c r="R62" s="436">
        <v>4363.1436314363091</v>
      </c>
      <c r="S62" s="436"/>
      <c r="T62" s="436"/>
      <c r="U62" s="436"/>
      <c r="V62" s="497"/>
      <c r="W62" s="505">
        <f t="shared" si="47"/>
        <v>-2609.6968619959425</v>
      </c>
      <c r="X62" s="505">
        <f t="shared" si="49"/>
        <v>5319774.3618601942</v>
      </c>
      <c r="Y62" s="504">
        <v>2043</v>
      </c>
      <c r="Z62" s="121" t="s">
        <v>899</v>
      </c>
      <c r="AA62" s="513">
        <f t="shared" si="54"/>
        <v>48186.700628390536</v>
      </c>
      <c r="AB62" s="513">
        <f t="shared" si="54"/>
        <v>40357.610042402521</v>
      </c>
      <c r="AC62" s="513">
        <f t="shared" si="54"/>
        <v>35138.216318410821</v>
      </c>
      <c r="AD62" s="513">
        <f t="shared" si="56"/>
        <v>29918.822594419122</v>
      </c>
      <c r="AE62" s="513">
        <f t="shared" si="56"/>
        <v>22089.732008431107</v>
      </c>
      <c r="AF62" s="513">
        <f t="shared" si="56"/>
        <v>14260.641422443092</v>
      </c>
      <c r="AG62" s="513">
        <f t="shared" si="56"/>
        <v>9041.2476984513924</v>
      </c>
      <c r="AH62" s="513">
        <f t="shared" si="56"/>
        <v>3821.8539744596928</v>
      </c>
      <c r="AI62" s="513">
        <v>0</v>
      </c>
      <c r="AJ62" s="513">
        <f t="shared" si="57"/>
        <v>0</v>
      </c>
      <c r="AK62" s="513">
        <f t="shared" si="57"/>
        <v>0</v>
      </c>
      <c r="AL62" s="513">
        <f t="shared" si="53"/>
        <v>0</v>
      </c>
      <c r="AM62" s="513">
        <f t="shared" si="53"/>
        <v>0</v>
      </c>
    </row>
    <row r="63" spans="1:39" x14ac:dyDescent="0.25">
      <c r="A63" t="s">
        <v>473</v>
      </c>
      <c r="B63" t="s">
        <v>900</v>
      </c>
      <c r="C63" s="486">
        <v>0.57999999999999996</v>
      </c>
      <c r="D63" s="490">
        <f t="shared" si="43"/>
        <v>1</v>
      </c>
      <c r="E63" s="490">
        <f t="shared" si="44"/>
        <v>0</v>
      </c>
      <c r="F63" s="490" t="str">
        <f t="shared" si="45"/>
        <v>Oil</v>
      </c>
      <c r="G63" s="491">
        <f>+C63</f>
        <v>0.57999999999999996</v>
      </c>
      <c r="H63" s="121">
        <v>0</v>
      </c>
      <c r="I63" s="492">
        <f t="shared" si="46"/>
        <v>0</v>
      </c>
      <c r="J63" s="496">
        <v>473.60248447204958</v>
      </c>
      <c r="K63" s="436">
        <v>349.37888198757764</v>
      </c>
      <c r="L63" s="436">
        <v>163.04347826086996</v>
      </c>
      <c r="M63" s="436">
        <v>108.695652173913</v>
      </c>
      <c r="N63" s="436">
        <v>77.639751552795133</v>
      </c>
      <c r="O63" s="436"/>
      <c r="P63" s="436"/>
      <c r="Q63" s="436"/>
      <c r="R63" s="436"/>
      <c r="S63" s="436"/>
      <c r="T63" s="436"/>
      <c r="U63" s="436"/>
      <c r="V63" s="497"/>
      <c r="W63" s="505">
        <f t="shared" si="47"/>
        <v>-42.434140072820718</v>
      </c>
      <c r="X63" s="505">
        <f t="shared" si="49"/>
        <v>86163.605697151404</v>
      </c>
      <c r="Y63" s="504">
        <v>2031</v>
      </c>
      <c r="Z63" s="121" t="s">
        <v>900</v>
      </c>
      <c r="AA63" s="513">
        <f t="shared" si="54"/>
        <v>446.64275005355012</v>
      </c>
      <c r="AB63" s="513">
        <f t="shared" si="54"/>
        <v>319.34032983508951</v>
      </c>
      <c r="AC63" s="513">
        <f t="shared" si="54"/>
        <v>234.47204968944425</v>
      </c>
      <c r="AD63" s="513">
        <f t="shared" si="56"/>
        <v>149.60376954381354</v>
      </c>
      <c r="AE63" s="513">
        <f t="shared" si="56"/>
        <v>22.30134932535293</v>
      </c>
      <c r="AF63" s="513">
        <f t="shared" si="56"/>
        <v>0</v>
      </c>
      <c r="AG63" s="513">
        <f t="shared" si="56"/>
        <v>0</v>
      </c>
      <c r="AH63" s="513">
        <f t="shared" si="56"/>
        <v>0</v>
      </c>
      <c r="AI63" s="513">
        <f t="shared" ref="AI63:AI68" si="58">+IF(AI$35&lt;$Y63,$W63*AI$35+$X63,0)</f>
        <v>0</v>
      </c>
      <c r="AJ63" s="513">
        <f t="shared" si="57"/>
        <v>0</v>
      </c>
      <c r="AK63" s="513">
        <f t="shared" si="57"/>
        <v>0</v>
      </c>
      <c r="AL63" s="513">
        <f t="shared" si="53"/>
        <v>0</v>
      </c>
      <c r="AM63" s="513">
        <f t="shared" si="53"/>
        <v>0</v>
      </c>
    </row>
    <row r="64" spans="1:39" x14ac:dyDescent="0.25">
      <c r="A64" t="s">
        <v>473</v>
      </c>
      <c r="B64" t="s">
        <v>841</v>
      </c>
      <c r="C64" s="486">
        <v>272.89999999999998</v>
      </c>
      <c r="D64" s="490">
        <f t="shared" si="43"/>
        <v>0.99776474899230505</v>
      </c>
      <c r="E64" s="490">
        <f t="shared" si="44"/>
        <v>2.2352510076949494E-3</v>
      </c>
      <c r="F64" s="490" t="str">
        <f t="shared" si="45"/>
        <v>Oil and Gas</v>
      </c>
      <c r="G64" s="491">
        <v>272.29000000000002</v>
      </c>
      <c r="H64" s="121">
        <v>0</v>
      </c>
      <c r="I64" s="492">
        <f t="shared" si="46"/>
        <v>3.5300916819344952</v>
      </c>
      <c r="J64" s="496">
        <v>106081.08108108109</v>
      </c>
      <c r="K64" s="436"/>
      <c r="L64" s="436">
        <v>70945.945945945947</v>
      </c>
      <c r="M64" s="436"/>
      <c r="N64" s="436">
        <v>37162.16216216216</v>
      </c>
      <c r="O64" s="436"/>
      <c r="P64" s="436">
        <v>23648.648648648639</v>
      </c>
      <c r="Q64" s="436"/>
      <c r="R64" s="436"/>
      <c r="S64" s="436"/>
      <c r="T64" s="436"/>
      <c r="U64" s="436"/>
      <c r="V64" s="497"/>
      <c r="W64" s="505">
        <f t="shared" si="47"/>
        <v>-5621.6216216216235</v>
      </c>
      <c r="X64" s="505">
        <f t="shared" si="49"/>
        <v>11457297.297297301</v>
      </c>
      <c r="Y64" s="504">
        <v>2036</v>
      </c>
      <c r="Z64" s="121" t="s">
        <v>841</v>
      </c>
      <c r="AA64" s="513">
        <f t="shared" si="54"/>
        <v>101621.62162162177</v>
      </c>
      <c r="AB64" s="513">
        <f t="shared" si="54"/>
        <v>84756.756756756455</v>
      </c>
      <c r="AC64" s="513">
        <f t="shared" si="54"/>
        <v>73513.513513512909</v>
      </c>
      <c r="AD64" s="513">
        <f t="shared" si="56"/>
        <v>62270.270270269364</v>
      </c>
      <c r="AE64" s="513">
        <f t="shared" si="56"/>
        <v>45405.405405405909</v>
      </c>
      <c r="AF64" s="513">
        <f t="shared" si="56"/>
        <v>28540.540540540591</v>
      </c>
      <c r="AG64" s="513">
        <f t="shared" si="56"/>
        <v>17297.297297297046</v>
      </c>
      <c r="AH64" s="513">
        <f t="shared" si="56"/>
        <v>0</v>
      </c>
      <c r="AI64" s="513">
        <f t="shared" si="58"/>
        <v>0</v>
      </c>
      <c r="AJ64" s="513">
        <f t="shared" si="57"/>
        <v>0</v>
      </c>
      <c r="AK64" s="513">
        <f t="shared" si="57"/>
        <v>0</v>
      </c>
      <c r="AL64" s="513">
        <f t="shared" si="53"/>
        <v>0</v>
      </c>
      <c r="AM64" s="513">
        <f t="shared" si="53"/>
        <v>0</v>
      </c>
    </row>
    <row r="65" spans="1:39" x14ac:dyDescent="0.25">
      <c r="A65" t="s">
        <v>473</v>
      </c>
      <c r="B65" t="s">
        <v>833</v>
      </c>
      <c r="C65" s="486">
        <v>24.09</v>
      </c>
      <c r="D65" s="490">
        <f t="shared" si="43"/>
        <v>1</v>
      </c>
      <c r="E65" s="490">
        <f t="shared" si="44"/>
        <v>0</v>
      </c>
      <c r="F65" s="490" t="str">
        <f t="shared" si="45"/>
        <v>Oil</v>
      </c>
      <c r="G65" s="491">
        <f>+C65</f>
        <v>24.09</v>
      </c>
      <c r="H65" s="121">
        <v>0</v>
      </c>
      <c r="I65" s="492">
        <f t="shared" si="46"/>
        <v>0</v>
      </c>
      <c r="J65" s="496">
        <v>3685.1509048868647</v>
      </c>
      <c r="K65" s="436">
        <v>3841.6159807970034</v>
      </c>
      <c r="L65" s="436">
        <v>3234.0636166995537</v>
      </c>
      <c r="M65" s="436"/>
      <c r="N65" s="436">
        <v>2400.88284952908</v>
      </c>
      <c r="O65" s="436"/>
      <c r="P65" s="436">
        <v>1796.8903625650128</v>
      </c>
      <c r="Q65" s="436"/>
      <c r="R65" s="436">
        <v>1422.2556737660816</v>
      </c>
      <c r="S65" s="436"/>
      <c r="T65" s="436">
        <v>1124.0735843555267</v>
      </c>
      <c r="U65" s="436"/>
      <c r="V65" s="497">
        <v>978.79669372173157</v>
      </c>
      <c r="W65" s="505">
        <f t="shared" si="47"/>
        <v>-102.85974169469129</v>
      </c>
      <c r="X65" s="505">
        <f t="shared" si="49"/>
        <v>211475.75094444485</v>
      </c>
      <c r="Y65" s="504">
        <v>2064</v>
      </c>
      <c r="Z65" s="121" t="s">
        <v>833</v>
      </c>
      <c r="AA65" s="513">
        <f t="shared" si="54"/>
        <v>3699.072721168428</v>
      </c>
      <c r="AB65" s="513">
        <f t="shared" si="54"/>
        <v>3390.493496084353</v>
      </c>
      <c r="AC65" s="513">
        <f t="shared" si="54"/>
        <v>3184.7740126949793</v>
      </c>
      <c r="AD65" s="513">
        <f t="shared" si="56"/>
        <v>2979.0545293056057</v>
      </c>
      <c r="AE65" s="513">
        <f t="shared" si="56"/>
        <v>2670.4753042215307</v>
      </c>
      <c r="AF65" s="513">
        <f t="shared" si="56"/>
        <v>2361.8960791374557</v>
      </c>
      <c r="AG65" s="513">
        <f t="shared" si="56"/>
        <v>2156.1765957480529</v>
      </c>
      <c r="AH65" s="513">
        <f t="shared" si="56"/>
        <v>1950.4571123586793</v>
      </c>
      <c r="AI65" s="513">
        <f t="shared" si="58"/>
        <v>1641.8778872746043</v>
      </c>
      <c r="AJ65" s="513">
        <f t="shared" si="57"/>
        <v>1333.2986621905293</v>
      </c>
      <c r="AK65" s="513">
        <f t="shared" si="57"/>
        <v>1127.5791788011556</v>
      </c>
      <c r="AL65" s="513">
        <f t="shared" si="53"/>
        <v>921.85969541178201</v>
      </c>
      <c r="AM65" s="513">
        <f t="shared" si="53"/>
        <v>613.28047032770701</v>
      </c>
    </row>
    <row r="66" spans="1:39" x14ac:dyDescent="0.25">
      <c r="A66" t="s">
        <v>473</v>
      </c>
      <c r="B66" t="s">
        <v>901</v>
      </c>
      <c r="C66" s="486">
        <v>5.59</v>
      </c>
      <c r="D66" s="490">
        <f t="shared" si="43"/>
        <v>1</v>
      </c>
      <c r="E66" s="490">
        <f t="shared" si="44"/>
        <v>0</v>
      </c>
      <c r="F66" s="490" t="str">
        <f t="shared" si="45"/>
        <v>Oil</v>
      </c>
      <c r="G66" s="491">
        <f>+C66</f>
        <v>5.59</v>
      </c>
      <c r="H66" s="121">
        <v>0</v>
      </c>
      <c r="I66" s="492">
        <f t="shared" si="46"/>
        <v>0</v>
      </c>
      <c r="J66" s="496">
        <v>1369.449727815309</v>
      </c>
      <c r="K66" s="436">
        <v>1555.5355151833155</v>
      </c>
      <c r="L66" s="436">
        <v>1215.2021709188698</v>
      </c>
      <c r="M66" s="436"/>
      <c r="N66" s="436"/>
      <c r="O66" s="436">
        <v>733.31229094248101</v>
      </c>
      <c r="P66" s="436">
        <v>436.58588574801706</v>
      </c>
      <c r="Q66" s="436"/>
      <c r="R66" s="436">
        <v>268.17160752935069</v>
      </c>
      <c r="S66" s="436"/>
      <c r="T66" s="436">
        <v>185.1265822784826</v>
      </c>
      <c r="U66" s="436"/>
      <c r="V66" s="497"/>
      <c r="W66" s="505">
        <f t="shared" si="47"/>
        <v>-57.928435174659477</v>
      </c>
      <c r="X66" s="505">
        <f t="shared" si="49"/>
        <v>118509.09434274976</v>
      </c>
      <c r="Y66" s="504">
        <v>2047</v>
      </c>
      <c r="Z66" s="121" t="s">
        <v>901</v>
      </c>
      <c r="AA66" s="513">
        <f t="shared" si="54"/>
        <v>1493.6552899376111</v>
      </c>
      <c r="AB66" s="513">
        <f t="shared" si="54"/>
        <v>1319.8699844136281</v>
      </c>
      <c r="AC66" s="513">
        <f t="shared" si="54"/>
        <v>1204.0131140643207</v>
      </c>
      <c r="AD66" s="513">
        <f t="shared" si="56"/>
        <v>1088.1562437149987</v>
      </c>
      <c r="AE66" s="513">
        <f t="shared" si="56"/>
        <v>914.37093819101574</v>
      </c>
      <c r="AF66" s="513">
        <f t="shared" si="56"/>
        <v>740.58563266703277</v>
      </c>
      <c r="AG66" s="513">
        <f t="shared" si="56"/>
        <v>624.72876231772534</v>
      </c>
      <c r="AH66" s="513">
        <f t="shared" si="56"/>
        <v>508.87189196840336</v>
      </c>
      <c r="AI66" s="513">
        <f t="shared" si="58"/>
        <v>335.08658644442039</v>
      </c>
      <c r="AJ66" s="513">
        <f t="shared" si="57"/>
        <v>161.30128092043742</v>
      </c>
      <c r="AK66" s="513">
        <f t="shared" si="57"/>
        <v>45.444410571129993</v>
      </c>
      <c r="AL66" s="513">
        <f t="shared" si="53"/>
        <v>0</v>
      </c>
      <c r="AM66" s="513">
        <f t="shared" si="53"/>
        <v>0</v>
      </c>
    </row>
    <row r="67" spans="1:39" x14ac:dyDescent="0.25">
      <c r="A67" t="s">
        <v>473</v>
      </c>
      <c r="B67" t="s">
        <v>835</v>
      </c>
      <c r="C67" s="486">
        <v>16.52</v>
      </c>
      <c r="D67" s="490">
        <f t="shared" si="43"/>
        <v>0.98069999999999991</v>
      </c>
      <c r="E67" s="490">
        <f t="shared" si="44"/>
        <v>1.9300000000000095E-2</v>
      </c>
      <c r="F67" s="490" t="str">
        <f t="shared" si="45"/>
        <v>Oil and Gas</v>
      </c>
      <c r="G67" s="500">
        <f>+C67*98.07%</f>
        <v>16.201163999999999</v>
      </c>
      <c r="H67" s="121">
        <v>1.91</v>
      </c>
      <c r="I67" s="492">
        <f t="shared" si="46"/>
        <v>1.8135582981600087</v>
      </c>
      <c r="J67" s="496">
        <v>3788.1619937694686</v>
      </c>
      <c r="K67" s="436"/>
      <c r="L67" s="436">
        <v>2847.1394346734687</v>
      </c>
      <c r="M67" s="436"/>
      <c r="N67" s="436">
        <v>1707.0015780737667</v>
      </c>
      <c r="O67" s="436"/>
      <c r="P67" s="436">
        <v>1164.8637378271615</v>
      </c>
      <c r="Q67" s="436"/>
      <c r="R67" s="436">
        <v>871.94708138118222</v>
      </c>
      <c r="S67" s="436"/>
      <c r="T67" s="436">
        <v>679.11137276064619</v>
      </c>
      <c r="U67" s="436"/>
      <c r="V67" s="497">
        <v>485.75236506651345</v>
      </c>
      <c r="W67" s="505">
        <f t="shared" si="47"/>
        <v>-107.70242504733639</v>
      </c>
      <c r="X67" s="505">
        <f t="shared" si="49"/>
        <v>220823.57462326559</v>
      </c>
      <c r="Y67" s="504">
        <v>2060</v>
      </c>
      <c r="Z67" s="121" t="s">
        <v>835</v>
      </c>
      <c r="AA67" s="513">
        <f t="shared" si="54"/>
        <v>3264.6760276460845</v>
      </c>
      <c r="AB67" s="513">
        <f t="shared" si="54"/>
        <v>2941.5687525040703</v>
      </c>
      <c r="AC67" s="513">
        <f t="shared" si="54"/>
        <v>2726.1639024094038</v>
      </c>
      <c r="AD67" s="513">
        <f t="shared" si="56"/>
        <v>2510.7590523147373</v>
      </c>
      <c r="AE67" s="513">
        <f t="shared" si="56"/>
        <v>2187.6517771727231</v>
      </c>
      <c r="AF67" s="513">
        <f t="shared" si="56"/>
        <v>1864.5445020307088</v>
      </c>
      <c r="AG67" s="513">
        <f t="shared" si="56"/>
        <v>1649.1396519360424</v>
      </c>
      <c r="AH67" s="513">
        <f t="shared" si="56"/>
        <v>1433.7348018413759</v>
      </c>
      <c r="AI67" s="513">
        <f t="shared" si="58"/>
        <v>1110.6275266993616</v>
      </c>
      <c r="AJ67" s="513">
        <f t="shared" si="57"/>
        <v>787.52025155734736</v>
      </c>
      <c r="AK67" s="513">
        <f t="shared" si="57"/>
        <v>572.11540146268089</v>
      </c>
      <c r="AL67" s="513">
        <f t="shared" si="53"/>
        <v>356.71055136801442</v>
      </c>
      <c r="AM67" s="513">
        <f t="shared" si="53"/>
        <v>33.603276226000162</v>
      </c>
    </row>
    <row r="68" spans="1:39" x14ac:dyDescent="0.25">
      <c r="A68" t="s">
        <v>473</v>
      </c>
      <c r="B68" t="s">
        <v>902</v>
      </c>
      <c r="C68" s="486">
        <v>90.73</v>
      </c>
      <c r="D68" s="490">
        <f t="shared" si="43"/>
        <v>0.98150000000000004</v>
      </c>
      <c r="E68" s="490">
        <f t="shared" si="44"/>
        <v>1.8499999999999961E-2</v>
      </c>
      <c r="F68" s="490" t="str">
        <f t="shared" si="45"/>
        <v>Oil and Gas</v>
      </c>
      <c r="G68" s="491">
        <f>+C68*98.15%</f>
        <v>89.051495000000003</v>
      </c>
      <c r="H68" s="121">
        <v>10.09</v>
      </c>
      <c r="I68" s="492">
        <f t="shared" si="46"/>
        <v>9.5552254134999792</v>
      </c>
      <c r="J68" s="501">
        <v>19200.000000000004</v>
      </c>
      <c r="K68" s="502"/>
      <c r="L68" s="502">
        <v>16106.66666666667</v>
      </c>
      <c r="M68" s="502"/>
      <c r="N68" s="502">
        <v>10560.000000000004</v>
      </c>
      <c r="O68" s="502"/>
      <c r="P68" s="502">
        <v>6666.6666666666679</v>
      </c>
      <c r="Q68" s="502"/>
      <c r="R68" s="502">
        <v>4640.0000000000036</v>
      </c>
      <c r="S68" s="502"/>
      <c r="T68" s="502">
        <v>3306.6666666666679</v>
      </c>
      <c r="U68" s="502"/>
      <c r="V68" s="503">
        <v>2293.3333333333358</v>
      </c>
      <c r="W68" s="505">
        <f t="shared" si="47"/>
        <v>-587.42857142857144</v>
      </c>
      <c r="X68" s="505">
        <f t="shared" si="49"/>
        <v>1204384.7619047619</v>
      </c>
      <c r="Y68" s="504">
        <v>2061</v>
      </c>
      <c r="Z68" s="121" t="s">
        <v>902</v>
      </c>
      <c r="AA68" s="513">
        <f t="shared" si="54"/>
        <v>17779.047619047575</v>
      </c>
      <c r="AB68" s="513">
        <f t="shared" si="54"/>
        <v>16016.761904761894</v>
      </c>
      <c r="AC68" s="513">
        <f t="shared" si="54"/>
        <v>14841.904761904618</v>
      </c>
      <c r="AD68" s="513">
        <f t="shared" si="56"/>
        <v>13667.047619047575</v>
      </c>
      <c r="AE68" s="513">
        <f t="shared" si="56"/>
        <v>11904.761904761894</v>
      </c>
      <c r="AF68" s="513">
        <f t="shared" si="56"/>
        <v>10142.476190476213</v>
      </c>
      <c r="AG68" s="513">
        <f t="shared" si="56"/>
        <v>8967.6190476189367</v>
      </c>
      <c r="AH68" s="513">
        <f t="shared" si="56"/>
        <v>7792.7619047618937</v>
      </c>
      <c r="AI68" s="513">
        <f t="shared" si="58"/>
        <v>6030.4761904762127</v>
      </c>
      <c r="AJ68" s="513">
        <f t="shared" si="57"/>
        <v>4268.1904761905316</v>
      </c>
      <c r="AK68" s="513">
        <f t="shared" si="57"/>
        <v>3093.3333333332557</v>
      </c>
      <c r="AL68" s="513">
        <f t="shared" si="53"/>
        <v>1918.4761904762127</v>
      </c>
      <c r="AM68" s="513">
        <f t="shared" si="53"/>
        <v>156.19047619053163</v>
      </c>
    </row>
    <row r="71" spans="1:39" x14ac:dyDescent="0.25">
      <c r="C71" t="s">
        <v>903</v>
      </c>
      <c r="D71">
        <f>+D62*J62*F30/1000000</f>
        <v>209.39642547425473</v>
      </c>
      <c r="E71" t="s">
        <v>435</v>
      </c>
      <c r="I71" s="292" t="s">
        <v>904</v>
      </c>
      <c r="J71" s="283">
        <f>+SUMPRODUCT(J36:J68,$D$36:$D$68)</f>
        <v>439792.99238419964</v>
      </c>
      <c r="K71" s="283"/>
      <c r="L71" s="283">
        <f t="shared" ref="L71:V71" si="59">+SUMPRODUCT(L36:L68,$D$36:$D$68)</f>
        <v>262319.60734102631</v>
      </c>
      <c r="M71" s="283">
        <f t="shared" si="59"/>
        <v>13757.131173575406</v>
      </c>
      <c r="N71" s="283">
        <f t="shared" si="59"/>
        <v>177719.56713711005</v>
      </c>
      <c r="O71" s="283">
        <f t="shared" si="59"/>
        <v>23686.519694339411</v>
      </c>
      <c r="P71" s="283">
        <f t="shared" si="59"/>
        <v>91014.112604275302</v>
      </c>
      <c r="Q71" s="283">
        <f t="shared" si="59"/>
        <v>12761.502748413553</v>
      </c>
      <c r="R71" s="283">
        <f t="shared" si="59"/>
        <v>51098.155553823701</v>
      </c>
      <c r="S71" s="283">
        <f t="shared" si="59"/>
        <v>4666.581672511722</v>
      </c>
      <c r="T71" s="283">
        <f t="shared" si="59"/>
        <v>10171.155200011544</v>
      </c>
      <c r="U71" s="283">
        <f t="shared" si="59"/>
        <v>3278.1971811895355</v>
      </c>
      <c r="V71" s="283">
        <f t="shared" si="59"/>
        <v>25442.72093361005</v>
      </c>
    </row>
    <row r="72" spans="1:39" x14ac:dyDescent="0.25">
      <c r="C72" t="s">
        <v>905</v>
      </c>
      <c r="D72">
        <f>+(E48*J48)*F30/1000000</f>
        <v>177.17312143246573</v>
      </c>
      <c r="E72" t="s">
        <v>435</v>
      </c>
      <c r="I72" s="292" t="s">
        <v>906</v>
      </c>
      <c r="J72" s="283">
        <f>+SUMPRODUCT(J36:J68,$E$36:$E$68)</f>
        <v>118588.79500053711</v>
      </c>
      <c r="K72" s="283"/>
      <c r="L72" s="283">
        <f t="shared" ref="L72:V72" si="60">+SUMPRODUCT(L36:L68,$E$36:$E$68)</f>
        <v>74750.74327270432</v>
      </c>
      <c r="M72" s="283">
        <f t="shared" si="60"/>
        <v>20098.230172469674</v>
      </c>
      <c r="N72" s="283">
        <f t="shared" si="60"/>
        <v>27155.221206378876</v>
      </c>
      <c r="O72" s="283">
        <f t="shared" si="60"/>
        <v>5406.6987731625695</v>
      </c>
      <c r="P72" s="283">
        <f t="shared" si="60"/>
        <v>15487.636727635963</v>
      </c>
      <c r="Q72" s="283">
        <f t="shared" si="60"/>
        <v>3194.5714250822398</v>
      </c>
      <c r="R72" s="283">
        <f t="shared" si="60"/>
        <v>6459.4631376235538</v>
      </c>
      <c r="S72" s="283">
        <f t="shared" si="60"/>
        <v>38.406230529595113</v>
      </c>
      <c r="T72" s="283">
        <f t="shared" si="60"/>
        <v>3240.1305511245546</v>
      </c>
      <c r="U72" s="283">
        <f t="shared" si="60"/>
        <v>0</v>
      </c>
      <c r="V72" s="283">
        <f t="shared" si="60"/>
        <v>2400.4840556703116</v>
      </c>
    </row>
    <row r="73" spans="1:39" x14ac:dyDescent="0.25">
      <c r="C73" t="s">
        <v>889</v>
      </c>
      <c r="D73">
        <f>+(E49*J49)*F30/1000000</f>
        <v>0</v>
      </c>
      <c r="E73" t="s">
        <v>435</v>
      </c>
      <c r="I73" s="292" t="s">
        <v>907</v>
      </c>
      <c r="J73" s="75">
        <f>+J72*$F$30/1000000</f>
        <v>687.81501100311516</v>
      </c>
      <c r="K73" s="75"/>
      <c r="L73" s="75">
        <f t="shared" ref="L73" si="61">+L72*$F$30/1000000</f>
        <v>433.55431098168503</v>
      </c>
    </row>
    <row r="74" spans="1:39" x14ac:dyDescent="0.25">
      <c r="C74" t="s">
        <v>890</v>
      </c>
      <c r="D74">
        <f>+(E50*J50)*F30/1000000</f>
        <v>59.792875880758814</v>
      </c>
      <c r="E74" t="s">
        <v>435</v>
      </c>
    </row>
    <row r="76" spans="1:39" x14ac:dyDescent="0.25">
      <c r="I76" s="292" t="s">
        <v>908</v>
      </c>
    </row>
  </sheetData>
  <autoFilter ref="B35:H35" xr:uid="{00000000-0001-0000-0000-000000000000}">
    <sortState xmlns:xlrd2="http://schemas.microsoft.com/office/spreadsheetml/2017/richdata2" ref="B36:H69">
      <sortCondition ref="B35"/>
    </sortState>
  </autoFilter>
  <mergeCells count="4">
    <mergeCell ref="J34:S34"/>
    <mergeCell ref="AA34:AJ34"/>
    <mergeCell ref="K4:T4"/>
    <mergeCell ref="Y4:AH4"/>
  </mergeCells>
  <conditionalFormatting sqref="F36:F68">
    <cfRule type="containsText" dxfId="97" priority="3" operator="containsText" text="Oil and Gas">
      <formula>NOT(ISERROR(SEARCH("Oil and Gas",F36)))</formula>
    </cfRule>
    <cfRule type="containsText" dxfId="96" priority="4" operator="containsText" text="Oil">
      <formula>NOT(ISERROR(SEARCH("Oil",F36)))</formula>
    </cfRule>
    <cfRule type="containsText" dxfId="95" priority="5" operator="containsText" text="Gas">
      <formula>NOT(ISERROR(SEARCH("Gas",F36)))</formula>
    </cfRule>
  </conditionalFormatting>
  <conditionalFormatting sqref="H6:H25">
    <cfRule type="containsBlanks" dxfId="94" priority="2">
      <formula>LEN(TRIM(H6))=0</formula>
    </cfRule>
  </conditionalFormatting>
  <conditionalFormatting sqref="AP6">
    <cfRule type="containsBlanks" dxfId="93" priority="1">
      <formula>LEN(TRIM(AP6))=0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zoomScaleNormal="100" workbookViewId="0">
      <selection activeCell="K13" sqref="K1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648" t="s">
        <v>783</v>
      </c>
      <c r="E2" s="648"/>
      <c r="F2" s="648"/>
      <c r="G2" s="648"/>
      <c r="H2" s="648"/>
    </row>
    <row r="3" spans="1:23" ht="15.75" thickTop="1" x14ac:dyDescent="0.25">
      <c r="D3" s="468"/>
      <c r="E3" s="649" t="s">
        <v>784</v>
      </c>
      <c r="F3" s="649"/>
      <c r="G3" s="649" t="s">
        <v>785</v>
      </c>
      <c r="H3" s="649"/>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650" t="s">
        <v>793</v>
      </c>
      <c r="O11" s="650"/>
      <c r="P11" s="650"/>
      <c r="Q11" s="650"/>
      <c r="R11" s="650"/>
      <c r="S11" s="650"/>
      <c r="T11" s="650"/>
      <c r="U11" s="650"/>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 t="shared" si="2"/>
        <v>114.48408219178081</v>
      </c>
      <c r="L19" s="477">
        <f t="shared" si="0"/>
        <v>114.48408219178081</v>
      </c>
      <c r="M19" s="477">
        <f t="shared" si="1"/>
        <v>0</v>
      </c>
      <c r="N19" s="478">
        <v>114.48408219178081</v>
      </c>
      <c r="O19" s="478">
        <v>0</v>
      </c>
      <c r="P19" s="478">
        <v>111.18394520547945</v>
      </c>
      <c r="Q19" s="478">
        <v>2.923643835616438</v>
      </c>
      <c r="R19" s="478">
        <v>0.37649315068493155</v>
      </c>
      <c r="S19" s="478">
        <v>0</v>
      </c>
      <c r="T19" s="478">
        <v>0</v>
      </c>
      <c r="U19" s="478">
        <v>0</v>
      </c>
      <c r="V19" s="478">
        <v>4583.6177808219181</v>
      </c>
      <c r="W19" s="479">
        <f t="shared" si="3"/>
        <v>3.3001369863013679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0.23824657534246574</v>
      </c>
      <c r="L24" s="477">
        <f t="shared" si="0"/>
        <v>0.23824657534246574</v>
      </c>
      <c r="M24" s="477">
        <f t="shared" si="1"/>
        <v>0</v>
      </c>
      <c r="N24" s="478">
        <v>0.23827397260273972</v>
      </c>
      <c r="O24" s="478">
        <v>0</v>
      </c>
      <c r="P24" s="478">
        <v>0</v>
      </c>
      <c r="Q24" s="478">
        <v>0.10038356164383562</v>
      </c>
      <c r="R24" s="478">
        <v>0.1378630136986301</v>
      </c>
      <c r="S24" s="478">
        <v>0</v>
      </c>
      <c r="T24" s="478">
        <v>0</v>
      </c>
      <c r="U24" s="478">
        <v>0</v>
      </c>
      <c r="V24" s="478">
        <v>1476.5236986301368</v>
      </c>
      <c r="W24" s="479">
        <f t="shared" si="3"/>
        <v>0.23824657534246574</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+IF(I31="Gas","Doesn't Apply",IF(H31&lt;$F$5,$D$5,IF(H31&lt;$F$6,$D$6,IF(H31&lt;$F$7,$D$7,IF(H31&gt;$E$8,$D$8,"Doesn't Apply")))))</f>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+IF(I32="Gas","Doesn't Apply",IF(H32&lt;$F$5,$D$5,IF(H32&lt;$F$6,$D$6,IF(H32&lt;$F$7,$D$7,IF(H32&gt;$E$8,$D$8,"Doesn't Apply")))))</f>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6:22" x14ac:dyDescent="0.25">
      <c r="L33" s="75"/>
    </row>
    <row r="34" spans="6:22" x14ac:dyDescent="0.25">
      <c r="V34" s="75"/>
    </row>
    <row r="37" spans="6:22" x14ac:dyDescent="0.25">
      <c r="G37" s="601" t="s">
        <v>51</v>
      </c>
      <c r="H37" s="601"/>
      <c r="J37" s="651" t="s">
        <v>270</v>
      </c>
      <c r="K37" s="651"/>
    </row>
    <row r="38" spans="6:22" x14ac:dyDescent="0.25">
      <c r="F38" s="474"/>
      <c r="H38" s="63"/>
      <c r="K38" s="63"/>
    </row>
    <row r="39" spans="6:22" x14ac:dyDescent="0.25">
      <c r="F39" s="474" t="s">
        <v>837</v>
      </c>
      <c r="G39">
        <f t="shared" ref="G39:G43" si="5">+SUMIF($F$13:$F$32,$F39,$M$13:$M$32)</f>
        <v>179.22638356164384</v>
      </c>
      <c r="H39" s="63">
        <f t="shared" ref="H39:H43" si="6">+G39/$G$44</f>
        <v>0.22736062804688442</v>
      </c>
      <c r="J39">
        <f>+SUMIF($F$13:$F$32,F39,$V$13:$V$32)</f>
        <v>0</v>
      </c>
      <c r="K39" s="63">
        <f t="shared" ref="K39:K43" si="7">+J39/$J$44</f>
        <v>0</v>
      </c>
    </row>
    <row r="40" spans="6:22" x14ac:dyDescent="0.25">
      <c r="F40" s="474" t="s">
        <v>822</v>
      </c>
      <c r="G40">
        <f t="shared" si="5"/>
        <v>601.2036438356165</v>
      </c>
      <c r="H40" s="63">
        <f>+G40/$G$44</f>
        <v>0.76266694294775783</v>
      </c>
      <c r="J40">
        <f>+SUMIF($F$13:$F$32,F40,$V$13:$V$32)</f>
        <v>368695.16235616436</v>
      </c>
      <c r="K40" s="63">
        <f t="shared" si="7"/>
        <v>0.80638904651418819</v>
      </c>
    </row>
    <row r="41" spans="6:22" x14ac:dyDescent="0.25">
      <c r="F41" s="474" t="s">
        <v>852</v>
      </c>
      <c r="G41">
        <f t="shared" si="5"/>
        <v>0</v>
      </c>
      <c r="H41" s="63">
        <f t="shared" si="6"/>
        <v>0</v>
      </c>
      <c r="J41">
        <f>+SUMIF($F$13:$F$32,F41,$V$13:$V$32)</f>
        <v>1962.0646849315069</v>
      </c>
      <c r="K41" s="63">
        <f t="shared" si="7"/>
        <v>4.2913160573359111E-3</v>
      </c>
    </row>
    <row r="42" spans="6:22" x14ac:dyDescent="0.25">
      <c r="F42" s="474" t="s">
        <v>817</v>
      </c>
      <c r="G42">
        <f t="shared" si="5"/>
        <v>6.1789589041095905</v>
      </c>
      <c r="H42" s="63">
        <f t="shared" si="6"/>
        <v>7.8384217166947122E-3</v>
      </c>
      <c r="J42">
        <f>+SUMIF($F$13:$F$32,F42,$V$13:$V$32)</f>
        <v>73780.315945205512</v>
      </c>
      <c r="K42" s="63">
        <f t="shared" si="7"/>
        <v>0.1613681021642922</v>
      </c>
    </row>
    <row r="43" spans="6:22" x14ac:dyDescent="0.25">
      <c r="F43" s="474" t="s">
        <v>830</v>
      </c>
      <c r="G43">
        <f t="shared" si="5"/>
        <v>1.6822191780821916</v>
      </c>
      <c r="H43" s="63">
        <f t="shared" si="6"/>
        <v>2.1340072886631245E-3</v>
      </c>
      <c r="J43">
        <f>+SUMIF($F$13:$F$32,F43,$V$13:$V$32)</f>
        <v>12779.930328767123</v>
      </c>
      <c r="K43" s="63">
        <f t="shared" si="7"/>
        <v>2.7951535264183737E-2</v>
      </c>
    </row>
    <row r="44" spans="6:22" x14ac:dyDescent="0.25">
      <c r="G44" s="144">
        <f>+SUM(G38:G43)</f>
        <v>788.29120547945206</v>
      </c>
      <c r="H44" s="144"/>
      <c r="I44" s="144"/>
      <c r="J44" s="144">
        <f>+SUM(J38:J43)</f>
        <v>457217.47331506846</v>
      </c>
      <c r="K44" s="144"/>
    </row>
    <row r="58" spans="5:15" x14ac:dyDescent="0.25">
      <c r="G58" t="s">
        <v>815</v>
      </c>
      <c r="L58" t="s">
        <v>857</v>
      </c>
    </row>
    <row r="59" spans="5:15" x14ac:dyDescent="0.25">
      <c r="E59" s="481" t="e" vm="6">
        <v>#VALUE!</v>
      </c>
      <c r="F59" s="357" t="s">
        <v>858</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859</v>
      </c>
      <c r="G60" s="482">
        <v>49873.263342465754</v>
      </c>
      <c r="K60" s="483">
        <v>9.7200650381855019E-2</v>
      </c>
      <c r="L60" s="357">
        <f ca="1">+SUMIF($C$13:C33,E60,V$13:V$32)</f>
        <v>45006.501780821927</v>
      </c>
      <c r="M60" s="357"/>
      <c r="N60" s="484">
        <f t="shared" ca="1" si="8"/>
        <v>4866.761561643827</v>
      </c>
      <c r="O60" s="483">
        <f t="shared" ca="1" si="9"/>
        <v>9.758257702579308E-2</v>
      </c>
    </row>
    <row r="61" spans="5:15" x14ac:dyDescent="0.25">
      <c r="F61" t="s">
        <v>860</v>
      </c>
      <c r="G61" s="283">
        <v>2877.3214794520545</v>
      </c>
      <c r="K61" s="63">
        <v>5.6077645699651466E-3</v>
      </c>
      <c r="L61">
        <f ca="1">+SUMIF($C$13:C34,E61,V$13:V$32)</f>
        <v>0</v>
      </c>
      <c r="N61" s="291">
        <f t="shared" ca="1" si="8"/>
        <v>2877.3214794520545</v>
      </c>
      <c r="O61" s="63">
        <f t="shared" ca="1" si="9"/>
        <v>1</v>
      </c>
    </row>
    <row r="62" spans="5:15" x14ac:dyDescent="0.25">
      <c r="F62" t="s">
        <v>861</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862</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863</v>
      </c>
      <c r="G64" s="482">
        <v>351063.42304109584</v>
      </c>
      <c r="K64" s="483">
        <v>0.68420614088469911</v>
      </c>
      <c r="L64" s="357">
        <f ca="1">+SUMIF($C$13:C37,E64,V$13:V$32)</f>
        <v>323688.66057534254</v>
      </c>
      <c r="M64" s="357"/>
      <c r="N64" s="484">
        <f t="shared" ca="1" si="8"/>
        <v>27374.762465753302</v>
      </c>
      <c r="O64" s="483">
        <f t="shared" ca="1" si="9"/>
        <v>7.7976686459155231E-2</v>
      </c>
    </row>
    <row r="65" spans="5:15" x14ac:dyDescent="0.25">
      <c r="E65" s="481" t="e" vm="2">
        <v>#VALUE!</v>
      </c>
      <c r="F65" s="357" t="s">
        <v>864</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865</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860</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866</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867</v>
      </c>
      <c r="G69" s="283">
        <v>33.721452054794518</v>
      </c>
      <c r="K69" s="63">
        <v>6.5721527966581929E-5</v>
      </c>
      <c r="L69">
        <f ca="1">+SUMIF($C$13:C42,E69,V$13:V$32)</f>
        <v>0</v>
      </c>
      <c r="N69" s="291">
        <f t="shared" ca="1" si="8"/>
        <v>33.721452054794518</v>
      </c>
      <c r="O69" s="63">
        <f t="shared" ca="1" si="9"/>
        <v>1</v>
      </c>
    </row>
    <row r="70" spans="5:15" x14ac:dyDescent="0.25">
      <c r="F70" t="s">
        <v>868</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869</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457217.47331506864</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92" priority="18">
      <formula>LEN(TRIM(F13))=0</formula>
    </cfRule>
  </conditionalFormatting>
  <conditionalFormatting sqref="H13:I24">
    <cfRule type="containsText" dxfId="91" priority="15" operator="containsText" text="Oil and Gas">
      <formula>NOT(ISERROR(SEARCH("Oil and Gas",H13)))</formula>
    </cfRule>
    <cfRule type="containsText" dxfId="90" priority="16" operator="containsText" text="Gas">
      <formula>NOT(ISERROR(SEARCH("Gas",H13)))</formula>
    </cfRule>
    <cfRule type="containsText" dxfId="89" priority="17" operator="containsText" text="Oil">
      <formula>NOT(ISERROR(SEARCH("Oil",H13)))</formula>
    </cfRule>
  </conditionalFormatting>
  <conditionalFormatting sqref="H25:I32">
    <cfRule type="containsText" dxfId="88" priority="8" operator="containsText" text="Oil and Gas">
      <formula>NOT(ISERROR(SEARCH("Oil and Gas",H25)))</formula>
    </cfRule>
    <cfRule type="containsText" dxfId="87" priority="9" operator="containsText" text="Gas">
      <formula>NOT(ISERROR(SEARCH("Gas",H25)))</formula>
    </cfRule>
    <cfRule type="containsText" dxfId="86" priority="10" operator="containsText" text="Oil">
      <formula>NOT(ISERROR(SEARCH("Oil",H25)))</formula>
    </cfRule>
  </conditionalFormatting>
  <conditionalFormatting sqref="N13:V32">
    <cfRule type="cellIs" dxfId="85" priority="7" operator="equal">
      <formula>0</formula>
    </cfRule>
  </conditionalFormatting>
  <conditionalFormatting sqref="F38">
    <cfRule type="containsBlanks" dxfId="84" priority="6">
      <formula>LEN(TRIM(F38))=0</formula>
    </cfRule>
  </conditionalFormatting>
  <conditionalFormatting sqref="F39">
    <cfRule type="containsBlanks" dxfId="83" priority="5">
      <formula>LEN(TRIM(F39))=0</formula>
    </cfRule>
  </conditionalFormatting>
  <conditionalFormatting sqref="F40">
    <cfRule type="containsBlanks" dxfId="82" priority="4">
      <formula>LEN(TRIM(F40))=0</formula>
    </cfRule>
  </conditionalFormatting>
  <conditionalFormatting sqref="F41">
    <cfRule type="containsBlanks" dxfId="81" priority="3">
      <formula>LEN(TRIM(F41))=0</formula>
    </cfRule>
  </conditionalFormatting>
  <conditionalFormatting sqref="F42">
    <cfRule type="containsBlanks" dxfId="80" priority="2">
      <formula>LEN(TRIM(F42))=0</formula>
    </cfRule>
  </conditionalFormatting>
  <conditionalFormatting sqref="F43">
    <cfRule type="containsBlanks" dxfId="79"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BM102"/>
  <sheetViews>
    <sheetView showGridLines="0" topLeftCell="C52" zoomScale="85" zoomScaleNormal="85" workbookViewId="0">
      <selection activeCell="AA60" sqref="AA60"/>
    </sheetView>
  </sheetViews>
  <sheetFormatPr baseColWidth="10" defaultRowHeight="15" x14ac:dyDescent="0.25"/>
  <cols>
    <col min="3" max="3" width="26.5703125"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47" max="47" width="27.28515625" customWidth="1"/>
    <col min="48" max="48" width="30.5703125" customWidth="1"/>
    <col min="49" max="49" width="0" hidden="1" customWidth="1"/>
    <col min="50" max="50" width="7.140625" hidden="1" customWidth="1"/>
    <col min="51" max="51" width="16.85546875" hidden="1" customWidth="1"/>
    <col min="54" max="54" width="14.42578125" hidden="1" customWidth="1"/>
    <col min="55" max="55" width="0" hidden="1" customWidth="1"/>
    <col min="63" max="64" width="13.42578125" customWidth="1"/>
  </cols>
  <sheetData>
    <row r="3" spans="2:26" x14ac:dyDescent="0.25">
      <c r="N3" s="19" t="s">
        <v>1030</v>
      </c>
      <c r="O3" s="19" t="s">
        <v>1030</v>
      </c>
      <c r="P3" s="19" t="s">
        <v>1030</v>
      </c>
      <c r="Q3" s="19" t="s">
        <v>1030</v>
      </c>
      <c r="R3" s="19" t="s">
        <v>1030</v>
      </c>
      <c r="S3" s="19" t="s">
        <v>1030</v>
      </c>
      <c r="T3" s="19" t="s">
        <v>1030</v>
      </c>
      <c r="U3" s="19" t="s">
        <v>1030</v>
      </c>
      <c r="V3" s="19" t="s">
        <v>1030</v>
      </c>
      <c r="W3" s="19" t="s">
        <v>1030</v>
      </c>
      <c r="X3" s="19" t="s">
        <v>1030</v>
      </c>
      <c r="Y3" s="19" t="s">
        <v>1031</v>
      </c>
      <c r="Z3" s="19" t="s">
        <v>1030</v>
      </c>
    </row>
    <row r="4" spans="2:26" ht="37.5" x14ac:dyDescent="0.25">
      <c r="D4" s="19" t="s">
        <v>403</v>
      </c>
      <c r="E4" s="19" t="s">
        <v>404</v>
      </c>
      <c r="I4" s="470" t="s">
        <v>798</v>
      </c>
      <c r="J4" s="470" t="s">
        <v>799</v>
      </c>
      <c r="K4" s="470" t="s">
        <v>800</v>
      </c>
      <c r="L4" s="471"/>
      <c r="M4" s="470" t="str">
        <f>+'5. 2019 O&amp;G'!J12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row>
    <row r="5" spans="2:26" x14ac:dyDescent="0.25">
      <c r="D5" s="19"/>
      <c r="E5" s="19" t="s">
        <v>281</v>
      </c>
      <c r="I5" s="474" t="s">
        <v>837</v>
      </c>
      <c r="J5" s="475" t="s">
        <v>838</v>
      </c>
      <c r="K5" s="473" t="s">
        <v>665</v>
      </c>
      <c r="L5" s="476" t="s">
        <v>51</v>
      </c>
      <c r="M5" s="476" t="str">
        <f>+'5. 2019 O&amp;G'!J13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row>
    <row r="6" spans="2:26" x14ac:dyDescent="0.25">
      <c r="C6" t="s">
        <v>246</v>
      </c>
      <c r="D6" s="19" t="s">
        <v>470</v>
      </c>
      <c r="E6" s="19" t="s">
        <v>472</v>
      </c>
      <c r="I6" s="474" t="s">
        <v>837</v>
      </c>
      <c r="J6" s="475" t="s">
        <v>839</v>
      </c>
      <c r="K6" s="473" t="s">
        <v>665</v>
      </c>
      <c r="L6" s="476" t="s">
        <v>51</v>
      </c>
      <c r="M6" s="476" t="str">
        <f>+'5. 2019 O&amp;G'!J14</f>
        <v>Doesn't Apply</v>
      </c>
      <c r="N6" s="477">
        <f t="shared" ref="N6:N24" si="2">+SUM(R6:X6)-W6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4" si="3">+N6-S6</f>
        <v>23.174410958904112</v>
      </c>
    </row>
    <row r="7" spans="2:26" x14ac:dyDescent="0.25">
      <c r="B7" s="19" t="s">
        <v>51</v>
      </c>
      <c r="C7" s="143" t="s">
        <v>405</v>
      </c>
      <c r="D7" s="311">
        <v>1.0095573442026637</v>
      </c>
      <c r="E7" s="312">
        <v>55.539114956987063</v>
      </c>
      <c r="I7" s="474" t="s">
        <v>822</v>
      </c>
      <c r="J7" s="475" t="s">
        <v>850</v>
      </c>
      <c r="K7" s="473" t="s">
        <v>665</v>
      </c>
      <c r="L7" s="476" t="s">
        <v>51</v>
      </c>
      <c r="M7" s="476" t="str">
        <f>+'5. 2019 O&amp;G'!J15</f>
        <v>Doesn't Apply</v>
      </c>
      <c r="N7" s="477">
        <f t="shared" si="2"/>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3"/>
        <v>35.569315068493154</v>
      </c>
    </row>
    <row r="8" spans="2:26" x14ac:dyDescent="0.25">
      <c r="B8" s="19" t="s">
        <v>52</v>
      </c>
      <c r="C8" s="143" t="s">
        <v>406</v>
      </c>
      <c r="D8" s="311">
        <v>6.0871741676095334</v>
      </c>
      <c r="E8" s="312">
        <v>77.841777688967127</v>
      </c>
      <c r="I8" s="474" t="s">
        <v>822</v>
      </c>
      <c r="J8" s="475" t="s">
        <v>823</v>
      </c>
      <c r="K8" s="473">
        <v>48</v>
      </c>
      <c r="L8" s="476"/>
      <c r="M8" s="476" t="str">
        <f>+'5. 2019 O&amp;G'!J16</f>
        <v>Light Oil</v>
      </c>
      <c r="N8" s="477">
        <f t="shared" si="2"/>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3"/>
        <v>253.10243835616438</v>
      </c>
    </row>
    <row r="9" spans="2:26" x14ac:dyDescent="0.25">
      <c r="B9" s="19" t="s">
        <v>67</v>
      </c>
      <c r="C9" s="148" t="s">
        <v>411</v>
      </c>
      <c r="D9" s="122">
        <v>6.0871741676095334</v>
      </c>
      <c r="E9" s="313">
        <v>77.841777688967127</v>
      </c>
      <c r="I9" s="474" t="s">
        <v>822</v>
      </c>
      <c r="J9" s="475" t="s">
        <v>825</v>
      </c>
      <c r="K9" s="473">
        <v>52</v>
      </c>
      <c r="L9" s="476"/>
      <c r="M9" s="476" t="str">
        <f>+'5. 2019 O&amp;G'!J17</f>
        <v>Light Oil</v>
      </c>
      <c r="N9" s="477">
        <f t="shared" si="2"/>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3"/>
        <v>226.87320547945205</v>
      </c>
    </row>
    <row r="10" spans="2:26" x14ac:dyDescent="0.25">
      <c r="B10" s="19" t="s">
        <v>53</v>
      </c>
      <c r="C10" s="151" t="s">
        <v>407</v>
      </c>
      <c r="D10" s="314">
        <v>6.0871741676095334</v>
      </c>
      <c r="E10" s="315">
        <v>77.841777688967127</v>
      </c>
      <c r="I10" s="474" t="s">
        <v>822</v>
      </c>
      <c r="J10" s="475" t="s">
        <v>827</v>
      </c>
      <c r="K10" s="473">
        <v>46</v>
      </c>
      <c r="L10" s="476"/>
      <c r="M10" s="476" t="str">
        <f>+'5. 2019 O&amp;G'!J18</f>
        <v>Light Oil</v>
      </c>
      <c r="N10" s="477">
        <f t="shared" si="2"/>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3"/>
        <v>210.16008219178084</v>
      </c>
    </row>
    <row r="11" spans="2:26" x14ac:dyDescent="0.25">
      <c r="B11" s="19" t="s">
        <v>45</v>
      </c>
      <c r="C11" s="143" t="s">
        <v>408</v>
      </c>
      <c r="D11" s="311">
        <v>5.3308987344700309</v>
      </c>
      <c r="E11" s="312">
        <v>69.193827140333724</v>
      </c>
      <c r="I11" s="474" t="s">
        <v>822</v>
      </c>
      <c r="J11" s="475" t="s">
        <v>828</v>
      </c>
      <c r="K11" s="473">
        <f>44+((47-44)/2)</f>
        <v>45.5</v>
      </c>
      <c r="L11" s="476"/>
      <c r="M11" s="476" t="str">
        <f>+'5. 2019 O&amp;G'!J19</f>
        <v>Light Oil</v>
      </c>
      <c r="N11" s="477">
        <f t="shared" si="2"/>
        <v>114.48408219178081</v>
      </c>
      <c r="O11" s="477">
        <f t="shared" si="0"/>
        <v>114.48408219178081</v>
      </c>
      <c r="P11" s="477">
        <f t="shared" si="1"/>
        <v>0</v>
      </c>
      <c r="Q11" s="478">
        <v>114.48408219178081</v>
      </c>
      <c r="R11" s="478">
        <v>0</v>
      </c>
      <c r="S11" s="478">
        <v>111.18394520547945</v>
      </c>
      <c r="T11" s="478">
        <v>2.923643835616438</v>
      </c>
      <c r="U11" s="478">
        <v>0.37649315068493155</v>
      </c>
      <c r="V11" s="478">
        <v>0</v>
      </c>
      <c r="W11" s="478">
        <v>0</v>
      </c>
      <c r="X11" s="478">
        <v>0</v>
      </c>
      <c r="Y11" s="478">
        <v>4583.6177808219181</v>
      </c>
      <c r="Z11" s="479">
        <f t="shared" si="3"/>
        <v>3.3001369863013679</v>
      </c>
    </row>
    <row r="12" spans="2:26" x14ac:dyDescent="0.25">
      <c r="B12" s="19" t="s">
        <v>47</v>
      </c>
      <c r="C12" s="148" t="s">
        <v>409</v>
      </c>
      <c r="D12" s="122">
        <v>5.6708498400612823</v>
      </c>
      <c r="E12" s="313">
        <v>75.166375708662926</v>
      </c>
      <c r="I12" s="474" t="s">
        <v>822</v>
      </c>
      <c r="J12" s="475" t="s">
        <v>841</v>
      </c>
      <c r="K12" s="473">
        <f>11.3+(14.4-11.3)/2</f>
        <v>12.850000000000001</v>
      </c>
      <c r="L12" s="476"/>
      <c r="M12" s="476" t="str">
        <f>+'5. 2019 O&amp;G'!J20</f>
        <v>Heavy Oil</v>
      </c>
      <c r="N12" s="477">
        <f t="shared" si="2"/>
        <v>0</v>
      </c>
      <c r="O12" s="477">
        <f t="shared" si="0"/>
        <v>0</v>
      </c>
      <c r="P12" s="477">
        <f t="shared" si="1"/>
        <v>0</v>
      </c>
      <c r="Q12" s="478">
        <v>0</v>
      </c>
      <c r="R12" s="478">
        <v>0</v>
      </c>
      <c r="S12" s="478">
        <v>0</v>
      </c>
      <c r="T12" s="478">
        <v>0</v>
      </c>
      <c r="U12" s="478">
        <v>0</v>
      </c>
      <c r="V12" s="478">
        <v>0</v>
      </c>
      <c r="W12" s="478">
        <v>0</v>
      </c>
      <c r="X12" s="478">
        <v>0</v>
      </c>
      <c r="Y12" s="478">
        <v>119308.68268493151</v>
      </c>
      <c r="Z12" s="479">
        <f t="shared" si="3"/>
        <v>0</v>
      </c>
    </row>
    <row r="13" spans="2:26" x14ac:dyDescent="0.25">
      <c r="B13" s="19" t="s">
        <v>48</v>
      </c>
      <c r="C13" s="151" t="s">
        <v>87</v>
      </c>
      <c r="D13" s="314">
        <v>4.7117947967516214</v>
      </c>
      <c r="E13" s="315">
        <v>87.735056011523966</v>
      </c>
      <c r="I13" s="474" t="s">
        <v>822</v>
      </c>
      <c r="J13" s="475" t="s">
        <v>843</v>
      </c>
      <c r="K13" s="473">
        <v>13.7</v>
      </c>
      <c r="L13" s="476"/>
      <c r="M13" s="476" t="str">
        <f>+'5. 2019 O&amp;G'!J21</f>
        <v>Heavy Oil</v>
      </c>
      <c r="N13" s="477">
        <f t="shared" si="2"/>
        <v>0</v>
      </c>
      <c r="O13" s="477">
        <f t="shared" si="0"/>
        <v>0</v>
      </c>
      <c r="P13" s="477">
        <f t="shared" si="1"/>
        <v>0</v>
      </c>
      <c r="Q13" s="478">
        <v>0</v>
      </c>
      <c r="R13" s="478">
        <v>0</v>
      </c>
      <c r="S13" s="478">
        <v>0</v>
      </c>
      <c r="T13" s="478">
        <v>0</v>
      </c>
      <c r="U13" s="478">
        <v>0</v>
      </c>
      <c r="V13" s="478">
        <v>0</v>
      </c>
      <c r="W13" s="478">
        <v>0</v>
      </c>
      <c r="X13" s="478">
        <v>0</v>
      </c>
      <c r="Y13" s="478">
        <v>114056.06200000001</v>
      </c>
      <c r="Z13" s="479">
        <f t="shared" si="3"/>
        <v>0</v>
      </c>
    </row>
    <row r="14" spans="2:26" x14ac:dyDescent="0.25">
      <c r="B14" s="19" t="s">
        <v>49</v>
      </c>
      <c r="C14" s="143" t="s">
        <v>410</v>
      </c>
      <c r="D14" s="311">
        <v>4.0562660463586173</v>
      </c>
      <c r="E14" s="312">
        <v>47.28933824683137</v>
      </c>
      <c r="I14" s="474" t="s">
        <v>822</v>
      </c>
      <c r="J14" s="475" t="s">
        <v>845</v>
      </c>
      <c r="K14" s="473">
        <f>7+(20-7)/2</f>
        <v>13.5</v>
      </c>
      <c r="L14" s="476"/>
      <c r="M14" s="476" t="str">
        <f>+'5. 2019 O&amp;G'!J22</f>
        <v>Heavy Oil</v>
      </c>
      <c r="N14" s="477">
        <f t="shared" si="2"/>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3"/>
        <v>3.793589041095891</v>
      </c>
    </row>
    <row r="15" spans="2:26" x14ac:dyDescent="0.25">
      <c r="B15" s="19" t="s">
        <v>50</v>
      </c>
      <c r="C15" s="148" t="s">
        <v>412</v>
      </c>
      <c r="D15" s="122">
        <v>5.4608206169323079</v>
      </c>
      <c r="E15" s="313">
        <v>78.281203343664757</v>
      </c>
      <c r="I15" s="474" t="s">
        <v>822</v>
      </c>
      <c r="J15" s="475" t="s">
        <v>846</v>
      </c>
      <c r="K15" s="473">
        <v>8</v>
      </c>
      <c r="L15" s="476"/>
      <c r="M15" s="476" t="str">
        <f>+'5. 2019 O&amp;G'!J23</f>
        <v>Heavy Oil</v>
      </c>
      <c r="N15" s="477">
        <f t="shared" si="2"/>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3"/>
        <v>0.58205479452054798</v>
      </c>
    </row>
    <row r="16" spans="2:26" x14ac:dyDescent="0.25">
      <c r="B16" s="19" t="s">
        <v>518</v>
      </c>
      <c r="C16" s="148" t="s">
        <v>513</v>
      </c>
      <c r="D16" s="122">
        <v>4.7615165047769556</v>
      </c>
      <c r="E16" s="313">
        <v>56.337812381502502</v>
      </c>
      <c r="I16" s="474" t="s">
        <v>822</v>
      </c>
      <c r="J16" s="475" t="s">
        <v>848</v>
      </c>
      <c r="K16" s="473">
        <v>13.5</v>
      </c>
      <c r="L16" s="476"/>
      <c r="M16" s="476" t="str">
        <f>+'5. 2019 O&amp;G'!J24</f>
        <v>Heavy Oil</v>
      </c>
      <c r="N16" s="477">
        <f t="shared" si="2"/>
        <v>0.23824657534246574</v>
      </c>
      <c r="O16" s="477">
        <f t="shared" si="0"/>
        <v>0.23824657534246574</v>
      </c>
      <c r="P16" s="477">
        <f t="shared" si="1"/>
        <v>0</v>
      </c>
      <c r="Q16" s="478">
        <v>0.23827397260273972</v>
      </c>
      <c r="R16" s="478">
        <v>0</v>
      </c>
      <c r="S16" s="478">
        <v>0</v>
      </c>
      <c r="T16" s="478">
        <v>0.10038356164383562</v>
      </c>
      <c r="U16" s="478">
        <v>0.1378630136986301</v>
      </c>
      <c r="V16" s="478">
        <v>0</v>
      </c>
      <c r="W16" s="478">
        <v>0</v>
      </c>
      <c r="X16" s="478">
        <v>0</v>
      </c>
      <c r="Y16" s="478">
        <v>1476.5236986301368</v>
      </c>
      <c r="Z16" s="479">
        <f t="shared" si="3"/>
        <v>0.23824657534246574</v>
      </c>
    </row>
    <row r="17" spans="2:27" x14ac:dyDescent="0.25">
      <c r="B17" s="19" t="s">
        <v>515</v>
      </c>
      <c r="C17" s="151" t="s">
        <v>514</v>
      </c>
      <c r="D17" s="314">
        <v>4.1867999999999999</v>
      </c>
      <c r="E17" s="315">
        <v>40.784041574326501</v>
      </c>
      <c r="I17" s="474" t="s">
        <v>852</v>
      </c>
      <c r="J17" s="475" t="s">
        <v>851</v>
      </c>
      <c r="K17" s="473">
        <v>35</v>
      </c>
      <c r="L17" s="476"/>
      <c r="M17" s="476" t="str">
        <f>+'5. 2019 O&amp;G'!J25</f>
        <v>Light Oil</v>
      </c>
      <c r="N17" s="477">
        <f t="shared" si="2"/>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row>
    <row r="18" spans="2:27" x14ac:dyDescent="0.25">
      <c r="B18" s="142" t="s">
        <v>481</v>
      </c>
      <c r="I18" s="474" t="s">
        <v>817</v>
      </c>
      <c r="J18" s="475" t="s">
        <v>818</v>
      </c>
      <c r="K18" s="473">
        <v>21</v>
      </c>
      <c r="L18" s="476"/>
      <c r="M18" s="476" t="str">
        <f>+'5. 2019 O&amp;G'!J26</f>
        <v>Medium Oil</v>
      </c>
      <c r="N18" s="477">
        <f t="shared" si="2"/>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row>
    <row r="19" spans="2:27" x14ac:dyDescent="0.25">
      <c r="I19" s="474" t="s">
        <v>817</v>
      </c>
      <c r="J19" s="475" t="s">
        <v>820</v>
      </c>
      <c r="K19" s="473">
        <v>12.5</v>
      </c>
      <c r="L19" s="476"/>
      <c r="M19" s="476" t="str">
        <f>+'5. 2019 O&amp;G'!J27</f>
        <v>Heavy Oil</v>
      </c>
      <c r="N19" s="477">
        <f t="shared" si="2"/>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3"/>
        <v>0.23824657534246574</v>
      </c>
    </row>
    <row r="20" spans="2:27" x14ac:dyDescent="0.25">
      <c r="I20" s="474" t="s">
        <v>817</v>
      </c>
      <c r="J20" s="475" t="s">
        <v>854</v>
      </c>
      <c r="K20" s="473">
        <v>21</v>
      </c>
      <c r="L20" s="476"/>
      <c r="M20" s="476" t="str">
        <f>+'5. 2019 O&amp;G'!J28</f>
        <v>Medium Oil</v>
      </c>
      <c r="N20" s="477">
        <f t="shared" si="2"/>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3"/>
        <v>5.057041095890412</v>
      </c>
    </row>
    <row r="21" spans="2:27" x14ac:dyDescent="0.25">
      <c r="I21" s="474" t="s">
        <v>817</v>
      </c>
      <c r="J21" s="475" t="s">
        <v>856</v>
      </c>
      <c r="K21" s="473">
        <f>20+(25-20)/2</f>
        <v>22.5</v>
      </c>
      <c r="L21" s="476"/>
      <c r="M21" s="476" t="str">
        <f>+'5. 2019 O&amp;G'!J29</f>
        <v>Medium Oil</v>
      </c>
      <c r="N21" s="477">
        <f t="shared" si="2"/>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3"/>
        <v>6.7767123287671236</v>
      </c>
    </row>
    <row r="22" spans="2:27" x14ac:dyDescent="0.25">
      <c r="I22" s="474" t="s">
        <v>830</v>
      </c>
      <c r="J22" s="475" t="s">
        <v>831</v>
      </c>
      <c r="K22" s="473">
        <v>23</v>
      </c>
      <c r="L22" s="476"/>
      <c r="M22" s="476" t="str">
        <f>+'5. 2019 O&amp;G'!J30</f>
        <v>Medium Oil</v>
      </c>
      <c r="N22" s="477">
        <f t="shared" si="2"/>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3"/>
        <v>1.9274794520547947</v>
      </c>
    </row>
    <row r="23" spans="2:27" x14ac:dyDescent="0.25">
      <c r="I23" s="474" t="s">
        <v>830</v>
      </c>
      <c r="J23" s="475" t="s">
        <v>833</v>
      </c>
      <c r="K23" s="473">
        <v>25.5</v>
      </c>
      <c r="L23" s="476"/>
      <c r="M23" s="476" t="str">
        <f>+'5. 2019 O&amp;G'!J31</f>
        <v>Medium Oil</v>
      </c>
      <c r="N23" s="477">
        <f t="shared" si="2"/>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3"/>
        <v>0.8670410958904109</v>
      </c>
    </row>
    <row r="24" spans="2:27" x14ac:dyDescent="0.25">
      <c r="I24" s="474" t="s">
        <v>830</v>
      </c>
      <c r="J24" s="480" t="s">
        <v>835</v>
      </c>
      <c r="K24" s="473">
        <v>21</v>
      </c>
      <c r="L24" s="476"/>
      <c r="M24" s="476" t="str">
        <f>+'5. 2019 O&amp;G'!J32</f>
        <v>Medium Oil</v>
      </c>
      <c r="N24" s="477">
        <f t="shared" si="2"/>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3"/>
        <v>1.1906575342465753</v>
      </c>
    </row>
    <row r="27" spans="2:27" x14ac:dyDescent="0.25">
      <c r="Y27" s="75"/>
      <c r="Z27" s="57"/>
      <c r="AA27" s="57"/>
    </row>
    <row r="28" spans="2:27" ht="49.5" customHeight="1" x14ac:dyDescent="0.25"/>
    <row r="29" spans="2:27" x14ac:dyDescent="0.25">
      <c r="N29" s="57"/>
    </row>
    <row r="30" spans="2:27" x14ac:dyDescent="0.25">
      <c r="N30" s="19" t="s">
        <v>9</v>
      </c>
      <c r="O30" s="19" t="s">
        <v>9</v>
      </c>
      <c r="P30" s="19" t="s">
        <v>9</v>
      </c>
      <c r="Q30" s="19" t="s">
        <v>9</v>
      </c>
      <c r="R30" s="19" t="s">
        <v>9</v>
      </c>
      <c r="S30" s="19" t="s">
        <v>9</v>
      </c>
      <c r="T30" s="19" t="s">
        <v>9</v>
      </c>
      <c r="U30" s="19" t="s">
        <v>9</v>
      </c>
      <c r="V30" s="19" t="s">
        <v>9</v>
      </c>
      <c r="W30" s="19" t="s">
        <v>9</v>
      </c>
      <c r="X30" s="19" t="s">
        <v>9</v>
      </c>
      <c r="Y30" s="19" t="s">
        <v>9</v>
      </c>
      <c r="Z30" s="19" t="s">
        <v>9</v>
      </c>
    </row>
    <row r="31" spans="2:27" ht="37.5" x14ac:dyDescent="0.25">
      <c r="I31" s="470" t="s">
        <v>798</v>
      </c>
      <c r="J31" s="470" t="s">
        <v>799</v>
      </c>
      <c r="K31" s="470" t="s">
        <v>800</v>
      </c>
      <c r="L31" s="471"/>
      <c r="M31" s="470" t="str">
        <f>+'5. 2019 O&amp;G'!J12</f>
        <v>Type of Oil producing</v>
      </c>
      <c r="N31" s="472" t="s">
        <v>802</v>
      </c>
      <c r="O31" s="472" t="s">
        <v>803</v>
      </c>
      <c r="P31" s="472" t="s">
        <v>804</v>
      </c>
      <c r="Q31" s="470" t="s">
        <v>805</v>
      </c>
      <c r="R31" s="470" t="s">
        <v>806</v>
      </c>
      <c r="S31" s="470" t="s">
        <v>807</v>
      </c>
      <c r="T31" s="470" t="s">
        <v>808</v>
      </c>
      <c r="U31" s="470" t="s">
        <v>809</v>
      </c>
      <c r="V31" s="470" t="s">
        <v>810</v>
      </c>
      <c r="W31" s="470" t="s">
        <v>811</v>
      </c>
      <c r="X31" s="470" t="s">
        <v>812</v>
      </c>
      <c r="Y31" s="470" t="s">
        <v>813</v>
      </c>
      <c r="Z31" s="472" t="s">
        <v>814</v>
      </c>
    </row>
    <row r="32" spans="2:27" x14ac:dyDescent="0.25">
      <c r="I32" s="474" t="s">
        <v>837</v>
      </c>
      <c r="J32" s="475" t="s">
        <v>838</v>
      </c>
      <c r="K32" s="473" t="s">
        <v>665</v>
      </c>
      <c r="L32" s="476" t="s">
        <v>51</v>
      </c>
      <c r="M32" s="476" t="str">
        <f>+'5. 2019 O&amp;G'!J13</f>
        <v>Doesn't Apply</v>
      </c>
      <c r="N32" s="477">
        <f t="shared" ref="N32:X32" si="4">+N5*365*$D$7/1000</f>
        <v>60.04622961587031</v>
      </c>
      <c r="O32" s="477">
        <f t="shared" si="4"/>
        <v>2.4898308957132613</v>
      </c>
      <c r="P32" s="477">
        <f t="shared" si="4"/>
        <v>57.556398720157048</v>
      </c>
      <c r="Q32" s="478">
        <f t="shared" si="4"/>
        <v>60.04621952029688</v>
      </c>
      <c r="R32" s="478">
        <f t="shared" si="4"/>
        <v>0</v>
      </c>
      <c r="S32" s="478">
        <f t="shared" si="4"/>
        <v>0</v>
      </c>
      <c r="T32" s="478">
        <f t="shared" si="4"/>
        <v>2.4069462377542221</v>
      </c>
      <c r="U32" s="478">
        <f t="shared" si="4"/>
        <v>8.2884657959038696E-2</v>
      </c>
      <c r="V32" s="478">
        <f t="shared" si="4"/>
        <v>4.8961411123406373</v>
      </c>
      <c r="W32" s="478">
        <f t="shared" si="4"/>
        <v>0</v>
      </c>
      <c r="X32" s="478">
        <f t="shared" si="4"/>
        <v>52.660257607816412</v>
      </c>
      <c r="Y32" s="478">
        <f t="shared" ref="Y32:Y51" si="5">+Y5*365*(0.001)*$D$8/1000</f>
        <v>0</v>
      </c>
      <c r="Z32" s="479">
        <f>+N32-S32</f>
        <v>60.04622961587031</v>
      </c>
    </row>
    <row r="33" spans="9:26" x14ac:dyDescent="0.25">
      <c r="I33" s="474" t="s">
        <v>837</v>
      </c>
      <c r="J33" s="475" t="s">
        <v>839</v>
      </c>
      <c r="K33" s="473" t="s">
        <v>665</v>
      </c>
      <c r="L33" s="476" t="s">
        <v>51</v>
      </c>
      <c r="M33" s="476" t="str">
        <f>+'5. 2019 O&amp;G'!J14</f>
        <v>Doesn't Apply</v>
      </c>
      <c r="N33" s="477">
        <f t="shared" ref="N33:X33" si="6">+N6*365*$D$7/1000</f>
        <v>8.539502325113304</v>
      </c>
      <c r="O33" s="477">
        <f t="shared" si="6"/>
        <v>5.3052238437849987E-2</v>
      </c>
      <c r="P33" s="477">
        <f t="shared" si="6"/>
        <v>8.4864500866754558</v>
      </c>
      <c r="Q33" s="478">
        <f t="shared" si="6"/>
        <v>8.5394619428195373</v>
      </c>
      <c r="R33" s="478">
        <f t="shared" si="6"/>
        <v>0</v>
      </c>
      <c r="S33" s="478">
        <f t="shared" si="6"/>
        <v>0</v>
      </c>
      <c r="T33" s="478">
        <f t="shared" si="6"/>
        <v>4.3098003024011712E-2</v>
      </c>
      <c r="U33" s="478">
        <f t="shared" si="6"/>
        <v>9.9542354138382663E-3</v>
      </c>
      <c r="V33" s="478">
        <f t="shared" si="6"/>
        <v>0.72254019124584645</v>
      </c>
      <c r="W33" s="478">
        <f t="shared" si="6"/>
        <v>0</v>
      </c>
      <c r="X33" s="478">
        <f t="shared" si="6"/>
        <v>7.7639098954296077</v>
      </c>
      <c r="Y33" s="478">
        <f t="shared" si="5"/>
        <v>0</v>
      </c>
      <c r="Z33" s="479">
        <f t="shared" ref="Z33:Z43" si="7">+N33-S33</f>
        <v>8.539502325113304</v>
      </c>
    </row>
    <row r="34" spans="9:26" x14ac:dyDescent="0.25">
      <c r="I34" s="474" t="s">
        <v>822</v>
      </c>
      <c r="J34" s="475" t="s">
        <v>850</v>
      </c>
      <c r="K34" s="473" t="s">
        <v>665</v>
      </c>
      <c r="L34" s="476" t="s">
        <v>51</v>
      </c>
      <c r="M34" s="476" t="str">
        <f>+'5. 2019 O&amp;G'!J15</f>
        <v>Doesn't Apply</v>
      </c>
      <c r="N34" s="477">
        <f t="shared" ref="N34:X34" si="8">+N7*365*$D$7/1000</f>
        <v>13.106881088314344</v>
      </c>
      <c r="O34" s="477">
        <f t="shared" si="8"/>
        <v>0</v>
      </c>
      <c r="P34" s="477">
        <f t="shared" si="8"/>
        <v>11.790499076061607</v>
      </c>
      <c r="Q34" s="478">
        <f t="shared" si="8"/>
        <v>13.106881088314344</v>
      </c>
      <c r="R34" s="478">
        <f t="shared" si="8"/>
        <v>0</v>
      </c>
      <c r="S34" s="478">
        <f t="shared" si="8"/>
        <v>0</v>
      </c>
      <c r="T34" s="478">
        <f t="shared" si="8"/>
        <v>0</v>
      </c>
      <c r="U34" s="478">
        <f t="shared" si="8"/>
        <v>0</v>
      </c>
      <c r="V34" s="478">
        <f t="shared" si="8"/>
        <v>13.106881088314344</v>
      </c>
      <c r="W34" s="478">
        <f t="shared" si="8"/>
        <v>1.3163820122527377</v>
      </c>
      <c r="X34" s="478">
        <f t="shared" si="8"/>
        <v>0</v>
      </c>
      <c r="Y34" s="478">
        <f t="shared" si="5"/>
        <v>0</v>
      </c>
      <c r="Z34" s="479">
        <f t="shared" si="7"/>
        <v>13.106881088314344</v>
      </c>
    </row>
    <row r="35" spans="9:26" x14ac:dyDescent="0.25">
      <c r="I35" s="474" t="s">
        <v>822</v>
      </c>
      <c r="J35" s="475" t="s">
        <v>823</v>
      </c>
      <c r="K35" s="473">
        <v>48</v>
      </c>
      <c r="L35" s="476"/>
      <c r="M35" s="476" t="str">
        <f>+'5. 2019 O&amp;G'!J16</f>
        <v>Light Oil</v>
      </c>
      <c r="N35" s="477">
        <f t="shared" ref="N35:X35" si="9">+N8*365*$D$7/1000</f>
        <v>239.32819800561739</v>
      </c>
      <c r="O35" s="477">
        <f t="shared" si="9"/>
        <v>160.99168674237271</v>
      </c>
      <c r="P35" s="477">
        <f t="shared" si="9"/>
        <v>75.291444019366878</v>
      </c>
      <c r="Q35" s="478">
        <f t="shared" si="9"/>
        <v>239.32817781447051</v>
      </c>
      <c r="R35" s="478">
        <f t="shared" si="9"/>
        <v>0</v>
      </c>
      <c r="S35" s="478">
        <f t="shared" si="9"/>
        <v>146.06287770612269</v>
      </c>
      <c r="T35" s="478">
        <f t="shared" si="9"/>
        <v>14.103990590462988</v>
      </c>
      <c r="U35" s="478">
        <f t="shared" si="9"/>
        <v>0.82481844578701846</v>
      </c>
      <c r="V35" s="478">
        <f t="shared" si="9"/>
        <v>6.0840367613967006</v>
      </c>
      <c r="W35" s="478">
        <f t="shared" si="9"/>
        <v>3.0450672438778423</v>
      </c>
      <c r="X35" s="478">
        <f t="shared" si="9"/>
        <v>72.252474501848027</v>
      </c>
      <c r="Y35" s="478">
        <f t="shared" si="5"/>
        <v>22.733323234776581</v>
      </c>
      <c r="Z35" s="479">
        <f t="shared" si="7"/>
        <v>93.265320299494704</v>
      </c>
    </row>
    <row r="36" spans="9:26" x14ac:dyDescent="0.25">
      <c r="I36" s="474" t="s">
        <v>822</v>
      </c>
      <c r="J36" s="475" t="s">
        <v>825</v>
      </c>
      <c r="K36" s="473">
        <v>52</v>
      </c>
      <c r="L36" s="476"/>
      <c r="M36" s="476" t="str">
        <f>+'5. 2019 O&amp;G'!J17</f>
        <v>Light Oil</v>
      </c>
      <c r="N36" s="477">
        <f t="shared" ref="N36:X36" si="10">+N9*365*$D$7/1000</f>
        <v>102.2089585250658</v>
      </c>
      <c r="O36" s="477">
        <f t="shared" si="10"/>
        <v>30.216717619832895</v>
      </c>
      <c r="P36" s="477">
        <f t="shared" si="10"/>
        <v>60.807849771910249</v>
      </c>
      <c r="Q36" s="478">
        <f t="shared" si="10"/>
        <v>102.20910995866744</v>
      </c>
      <c r="R36" s="478">
        <f t="shared" si="10"/>
        <v>0</v>
      </c>
      <c r="S36" s="478">
        <f t="shared" si="10"/>
        <v>18.608807085043786</v>
      </c>
      <c r="T36" s="478">
        <f t="shared" si="10"/>
        <v>11.187076555858232</v>
      </c>
      <c r="U36" s="478">
        <f t="shared" si="10"/>
        <v>0.42083397893088031</v>
      </c>
      <c r="V36" s="478">
        <f t="shared" si="10"/>
        <v>11.193699252036202</v>
      </c>
      <c r="W36" s="478">
        <f t="shared" si="10"/>
        <v>11.184391133322654</v>
      </c>
      <c r="X36" s="478">
        <f t="shared" si="10"/>
        <v>60.798541653196693</v>
      </c>
      <c r="Y36" s="478">
        <f t="shared" si="5"/>
        <v>7.0712088472532377</v>
      </c>
      <c r="Z36" s="479">
        <f t="shared" si="7"/>
        <v>83.600151440022017</v>
      </c>
    </row>
    <row r="37" spans="9:26" x14ac:dyDescent="0.25">
      <c r="I37" s="474" t="s">
        <v>822</v>
      </c>
      <c r="J37" s="475" t="s">
        <v>827</v>
      </c>
      <c r="K37" s="473">
        <v>46</v>
      </c>
      <c r="L37" s="476"/>
      <c r="M37" s="476" t="str">
        <f>+'5. 2019 O&amp;G'!J18</f>
        <v>Light Oil</v>
      </c>
      <c r="N37" s="477">
        <f t="shared" ref="N37:X37" si="11">+N10*365*$D$7/1000</f>
        <v>160.44027661654269</v>
      </c>
      <c r="O37" s="477">
        <f t="shared" si="11"/>
        <v>86.793482275469458</v>
      </c>
      <c r="P37" s="477">
        <f t="shared" si="11"/>
        <v>73.646794341073218</v>
      </c>
      <c r="Q37" s="478">
        <f t="shared" si="11"/>
        <v>160.44018575638168</v>
      </c>
      <c r="R37" s="478">
        <f t="shared" si="11"/>
        <v>0</v>
      </c>
      <c r="S37" s="478">
        <f t="shared" si="11"/>
        <v>82.998717747786728</v>
      </c>
      <c r="T37" s="478">
        <f t="shared" si="11"/>
        <v>3.345117782148316</v>
      </c>
      <c r="U37" s="478">
        <f t="shared" si="11"/>
        <v>0.44964674553442446</v>
      </c>
      <c r="V37" s="478">
        <f t="shared" si="11"/>
        <v>52.360166687252182</v>
      </c>
      <c r="W37" s="478">
        <f t="shared" si="11"/>
        <v>0</v>
      </c>
      <c r="X37" s="478">
        <f t="shared" si="11"/>
        <v>21.286627653821029</v>
      </c>
      <c r="Y37" s="478">
        <f t="shared" si="5"/>
        <v>60.007782289723188</v>
      </c>
      <c r="Z37" s="479">
        <f t="shared" si="7"/>
        <v>77.441558868755962</v>
      </c>
    </row>
    <row r="38" spans="9:26" x14ac:dyDescent="0.25">
      <c r="I38" s="474" t="s">
        <v>822</v>
      </c>
      <c r="J38" s="475" t="s">
        <v>828</v>
      </c>
      <c r="K38" s="473">
        <f>44+((47-44)/2)</f>
        <v>45.5</v>
      </c>
      <c r="L38" s="476"/>
      <c r="M38" s="476" t="str">
        <f>+'5. 2019 O&amp;G'!J19</f>
        <v>Light Oil</v>
      </c>
      <c r="N38" s="477">
        <f t="shared" ref="N38:X38" si="12">+N11*365*$D$7/1000</f>
        <v>42.186059779419999</v>
      </c>
      <c r="O38" s="477">
        <f t="shared" si="12"/>
        <v>42.186059779419999</v>
      </c>
      <c r="P38" s="477">
        <f t="shared" si="12"/>
        <v>0</v>
      </c>
      <c r="Q38" s="478">
        <f t="shared" si="12"/>
        <v>42.186059779419999</v>
      </c>
      <c r="R38" s="478">
        <f t="shared" si="12"/>
        <v>0</v>
      </c>
      <c r="S38" s="478">
        <f t="shared" si="12"/>
        <v>40.969997480460691</v>
      </c>
      <c r="T38" s="478">
        <f t="shared" si="12"/>
        <v>1.0773289287189884</v>
      </c>
      <c r="U38" s="478">
        <f t="shared" si="12"/>
        <v>0.13873337024033006</v>
      </c>
      <c r="V38" s="478">
        <f t="shared" si="12"/>
        <v>0</v>
      </c>
      <c r="W38" s="478">
        <f t="shared" si="12"/>
        <v>0</v>
      </c>
      <c r="X38" s="478">
        <f t="shared" si="12"/>
        <v>0</v>
      </c>
      <c r="Y38" s="478">
        <f t="shared" si="5"/>
        <v>10.183967108609446</v>
      </c>
      <c r="Z38" s="479">
        <f t="shared" si="7"/>
        <v>1.216062298959308</v>
      </c>
    </row>
    <row r="39" spans="9:26" x14ac:dyDescent="0.25">
      <c r="I39" s="474" t="s">
        <v>822</v>
      </c>
      <c r="J39" s="475" t="s">
        <v>841</v>
      </c>
      <c r="K39" s="473">
        <f>11.3+(14.4-11.3)/2</f>
        <v>12.850000000000001</v>
      </c>
      <c r="L39" s="476"/>
      <c r="M39" s="476" t="str">
        <f>+'5. 2019 O&amp;G'!J20</f>
        <v>Heavy Oil</v>
      </c>
      <c r="N39" s="477">
        <f t="shared" ref="N39:X39" si="13">+N12*365*$D$7/1000</f>
        <v>0</v>
      </c>
      <c r="O39" s="477">
        <f t="shared" si="13"/>
        <v>0</v>
      </c>
      <c r="P39" s="477">
        <f t="shared" si="13"/>
        <v>0</v>
      </c>
      <c r="Q39" s="478">
        <f t="shared" si="13"/>
        <v>0</v>
      </c>
      <c r="R39" s="478">
        <f t="shared" si="13"/>
        <v>0</v>
      </c>
      <c r="S39" s="478">
        <f t="shared" si="13"/>
        <v>0</v>
      </c>
      <c r="T39" s="478">
        <f t="shared" si="13"/>
        <v>0</v>
      </c>
      <c r="U39" s="478">
        <f t="shared" si="13"/>
        <v>0</v>
      </c>
      <c r="V39" s="478">
        <f t="shared" si="13"/>
        <v>0</v>
      </c>
      <c r="W39" s="478">
        <f t="shared" si="13"/>
        <v>0</v>
      </c>
      <c r="X39" s="478">
        <f t="shared" si="13"/>
        <v>0</v>
      </c>
      <c r="Y39" s="478">
        <f t="shared" si="5"/>
        <v>265.08224689210181</v>
      </c>
      <c r="Z39" s="479">
        <f t="shared" si="7"/>
        <v>0</v>
      </c>
    </row>
    <row r="40" spans="9:26" x14ac:dyDescent="0.25">
      <c r="I40" s="474" t="s">
        <v>822</v>
      </c>
      <c r="J40" s="475" t="s">
        <v>843</v>
      </c>
      <c r="K40" s="473">
        <v>13.7</v>
      </c>
      <c r="L40" s="476"/>
      <c r="M40" s="476" t="str">
        <f>+'5. 2019 O&amp;G'!J21</f>
        <v>Heavy Oil</v>
      </c>
      <c r="N40" s="477">
        <f t="shared" ref="N40:X40" si="14">+N13*365*$D$7/1000</f>
        <v>0</v>
      </c>
      <c r="O40" s="477">
        <f t="shared" si="14"/>
        <v>0</v>
      </c>
      <c r="P40" s="477">
        <f t="shared" si="14"/>
        <v>0</v>
      </c>
      <c r="Q40" s="478">
        <f t="shared" si="14"/>
        <v>0</v>
      </c>
      <c r="R40" s="478">
        <f t="shared" si="14"/>
        <v>0</v>
      </c>
      <c r="S40" s="478">
        <f t="shared" si="14"/>
        <v>0</v>
      </c>
      <c r="T40" s="478">
        <f t="shared" si="14"/>
        <v>0</v>
      </c>
      <c r="U40" s="478">
        <f t="shared" si="14"/>
        <v>0</v>
      </c>
      <c r="V40" s="478">
        <f t="shared" si="14"/>
        <v>0</v>
      </c>
      <c r="W40" s="478">
        <f t="shared" si="14"/>
        <v>0</v>
      </c>
      <c r="X40" s="478">
        <f t="shared" si="14"/>
        <v>0</v>
      </c>
      <c r="Y40" s="478">
        <f t="shared" si="5"/>
        <v>253.41187670697005</v>
      </c>
      <c r="Z40" s="479">
        <f t="shared" si="7"/>
        <v>0</v>
      </c>
    </row>
    <row r="41" spans="9:26" x14ac:dyDescent="0.25">
      <c r="I41" s="474" t="s">
        <v>822</v>
      </c>
      <c r="J41" s="475" t="s">
        <v>845</v>
      </c>
      <c r="K41" s="473">
        <f>7+(20-7)/2</f>
        <v>13.5</v>
      </c>
      <c r="L41" s="476"/>
      <c r="M41" s="476" t="str">
        <f>+'5. 2019 O&amp;G'!J22</f>
        <v>Heavy Oil</v>
      </c>
      <c r="N41" s="477">
        <f t="shared" ref="N41:X41" si="15">+N14*365*$D$7/1000</f>
        <v>1.3978936722236606</v>
      </c>
      <c r="O41" s="477">
        <f t="shared" si="15"/>
        <v>1.3978936722236606</v>
      </c>
      <c r="P41" s="477">
        <f t="shared" si="15"/>
        <v>0</v>
      </c>
      <c r="Q41" s="478">
        <f t="shared" si="15"/>
        <v>1.3978835766502182</v>
      </c>
      <c r="R41" s="478">
        <f t="shared" si="15"/>
        <v>0</v>
      </c>
      <c r="S41" s="478">
        <f t="shared" si="15"/>
        <v>0</v>
      </c>
      <c r="T41" s="478">
        <f t="shared" si="15"/>
        <v>0.32109980889709927</v>
      </c>
      <c r="U41" s="478">
        <f t="shared" si="15"/>
        <v>1.0767938633265612</v>
      </c>
      <c r="V41" s="478">
        <f t="shared" si="15"/>
        <v>0</v>
      </c>
      <c r="W41" s="478">
        <f t="shared" si="15"/>
        <v>0</v>
      </c>
      <c r="X41" s="478">
        <f t="shared" si="15"/>
        <v>0</v>
      </c>
      <c r="Y41" s="478">
        <f t="shared" si="5"/>
        <v>153.50718826671843</v>
      </c>
      <c r="Z41" s="479">
        <f t="shared" si="7"/>
        <v>1.3978936722236606</v>
      </c>
    </row>
    <row r="42" spans="9:26" x14ac:dyDescent="0.25">
      <c r="I42" s="474" t="s">
        <v>822</v>
      </c>
      <c r="J42" s="475" t="s">
        <v>846</v>
      </c>
      <c r="K42" s="473">
        <v>8</v>
      </c>
      <c r="L42" s="476"/>
      <c r="M42" s="476" t="str">
        <f>+'5. 2019 O&amp;G'!J23</f>
        <v>Heavy Oil</v>
      </c>
      <c r="N42" s="477">
        <f t="shared" ref="N42:X42" si="16">+N15*365*$D$7/1000</f>
        <v>0.21448045777585595</v>
      </c>
      <c r="O42" s="477">
        <f t="shared" si="16"/>
        <v>0.21448045777585595</v>
      </c>
      <c r="P42" s="477">
        <f t="shared" si="16"/>
        <v>0</v>
      </c>
      <c r="Q42" s="478">
        <f t="shared" si="16"/>
        <v>0.21448045777585595</v>
      </c>
      <c r="R42" s="478">
        <f t="shared" si="16"/>
        <v>0</v>
      </c>
      <c r="S42" s="478">
        <f t="shared" si="16"/>
        <v>0</v>
      </c>
      <c r="T42" s="478">
        <f t="shared" si="16"/>
        <v>0</v>
      </c>
      <c r="U42" s="478">
        <f t="shared" si="16"/>
        <v>0.21448045777585595</v>
      </c>
      <c r="V42" s="478">
        <f t="shared" si="16"/>
        <v>0</v>
      </c>
      <c r="W42" s="478">
        <f t="shared" si="16"/>
        <v>0</v>
      </c>
      <c r="X42" s="478">
        <f t="shared" si="16"/>
        <v>0</v>
      </c>
      <c r="Y42" s="478">
        <f t="shared" si="5"/>
        <v>43.895597705669182</v>
      </c>
      <c r="Z42" s="479">
        <f t="shared" si="7"/>
        <v>0.21448045777585595</v>
      </c>
    </row>
    <row r="43" spans="9:26" x14ac:dyDescent="0.25">
      <c r="I43" s="474" t="s">
        <v>822</v>
      </c>
      <c r="J43" s="475" t="s">
        <v>848</v>
      </c>
      <c r="K43" s="473">
        <v>13.5</v>
      </c>
      <c r="L43" s="476"/>
      <c r="M43" s="476" t="str">
        <f>+'5. 2019 O&amp;G'!J24</f>
        <v>Heavy Oil</v>
      </c>
      <c r="N43" s="477">
        <f t="shared" ref="N43:X43" si="17">+N16*365*$D$7/1000</f>
        <v>8.7791106651863626E-2</v>
      </c>
      <c r="O43" s="477">
        <f t="shared" si="17"/>
        <v>8.7791106651863626E-2</v>
      </c>
      <c r="P43" s="477">
        <f t="shared" si="17"/>
        <v>0</v>
      </c>
      <c r="Q43" s="478">
        <f t="shared" si="17"/>
        <v>8.7801202225305658E-2</v>
      </c>
      <c r="R43" s="478">
        <f t="shared" si="17"/>
        <v>0</v>
      </c>
      <c r="S43" s="478">
        <f t="shared" si="17"/>
        <v>0</v>
      </c>
      <c r="T43" s="478">
        <f t="shared" si="17"/>
        <v>3.6990181091585597E-2</v>
      </c>
      <c r="U43" s="478">
        <f t="shared" si="17"/>
        <v>5.0800925560278022E-2</v>
      </c>
      <c r="V43" s="478">
        <f t="shared" si="17"/>
        <v>0</v>
      </c>
      <c r="W43" s="478">
        <f t="shared" si="17"/>
        <v>0</v>
      </c>
      <c r="X43" s="478">
        <f t="shared" si="17"/>
        <v>0</v>
      </c>
      <c r="Y43" s="478">
        <f t="shared" si="5"/>
        <v>3.2805677744000978</v>
      </c>
      <c r="Z43" s="479">
        <f t="shared" si="7"/>
        <v>8.7791106651863626E-2</v>
      </c>
    </row>
    <row r="44" spans="9:26" x14ac:dyDescent="0.25">
      <c r="I44" s="474" t="s">
        <v>852</v>
      </c>
      <c r="J44" s="475" t="s">
        <v>851</v>
      </c>
      <c r="K44" s="473">
        <v>35</v>
      </c>
      <c r="L44" s="476"/>
      <c r="M44" s="476" t="str">
        <f>+'5. 2019 O&amp;G'!J25</f>
        <v>Light Oil</v>
      </c>
      <c r="N44" s="477">
        <f t="shared" ref="N44:X44" si="18">+N17*365*$D$7/1000</f>
        <v>1.2759391450439788</v>
      </c>
      <c r="O44" s="477">
        <f t="shared" si="18"/>
        <v>1.2759391450439788</v>
      </c>
      <c r="P44" s="477">
        <f t="shared" si="18"/>
        <v>0</v>
      </c>
      <c r="Q44" s="478">
        <f t="shared" si="18"/>
        <v>1.2759391450439788</v>
      </c>
      <c r="R44" s="478">
        <f t="shared" si="18"/>
        <v>0</v>
      </c>
      <c r="S44" s="478">
        <f t="shared" si="18"/>
        <v>0</v>
      </c>
      <c r="T44" s="478">
        <f t="shared" si="18"/>
        <v>0</v>
      </c>
      <c r="U44" s="478">
        <f t="shared" si="18"/>
        <v>1.2759391450439788</v>
      </c>
      <c r="V44" s="478">
        <f t="shared" si="18"/>
        <v>0</v>
      </c>
      <c r="W44" s="478">
        <f t="shared" si="18"/>
        <v>0</v>
      </c>
      <c r="X44" s="478">
        <f t="shared" si="18"/>
        <v>0</v>
      </c>
      <c r="Y44" s="478">
        <f t="shared" si="5"/>
        <v>4.3593517548323124</v>
      </c>
      <c r="Z44" s="479">
        <f>+N44-S44</f>
        <v>1.2759391450439788</v>
      </c>
    </row>
    <row r="45" spans="9:26" x14ac:dyDescent="0.25">
      <c r="I45" s="474" t="s">
        <v>817</v>
      </c>
      <c r="J45" s="475" t="s">
        <v>818</v>
      </c>
      <c r="K45" s="473">
        <v>21</v>
      </c>
      <c r="L45" s="476"/>
      <c r="M45" s="476" t="str">
        <f>+'5. 2019 O&amp;G'!J26</f>
        <v>Medium Oil</v>
      </c>
      <c r="N45" s="477">
        <f t="shared" ref="N45:X45" si="19">+N18*365*$D$7/1000</f>
        <v>0.43827912983870243</v>
      </c>
      <c r="O45" s="477">
        <f t="shared" si="19"/>
        <v>0.43827912983870243</v>
      </c>
      <c r="P45" s="477">
        <f t="shared" si="19"/>
        <v>0</v>
      </c>
      <c r="Q45" s="478">
        <f t="shared" si="19"/>
        <v>0.43830941655902855</v>
      </c>
      <c r="R45" s="478">
        <f t="shared" si="19"/>
        <v>0</v>
      </c>
      <c r="S45" s="478">
        <f t="shared" si="19"/>
        <v>0</v>
      </c>
      <c r="T45" s="478">
        <f t="shared" si="19"/>
        <v>0.35206293264379496</v>
      </c>
      <c r="U45" s="478">
        <f t="shared" si="19"/>
        <v>8.621619719490746E-2</v>
      </c>
      <c r="V45" s="478">
        <f t="shared" si="19"/>
        <v>0</v>
      </c>
      <c r="W45" s="478">
        <f t="shared" si="19"/>
        <v>0</v>
      </c>
      <c r="X45" s="478">
        <f t="shared" si="19"/>
        <v>0</v>
      </c>
      <c r="Y45" s="478">
        <f t="shared" si="5"/>
        <v>26.927100382560717</v>
      </c>
      <c r="Z45" s="479">
        <f>+N45-S45</f>
        <v>0.43827912983870243</v>
      </c>
    </row>
    <row r="46" spans="9:26" x14ac:dyDescent="0.25">
      <c r="I46" s="474" t="s">
        <v>817</v>
      </c>
      <c r="J46" s="475" t="s">
        <v>820</v>
      </c>
      <c r="K46" s="473">
        <v>12.5</v>
      </c>
      <c r="L46" s="476"/>
      <c r="M46" s="476" t="str">
        <f>+'5. 2019 O&amp;G'!J27</f>
        <v>Heavy Oil</v>
      </c>
      <c r="N46" s="477">
        <f t="shared" ref="N46:X46" si="20">+N19*365*$D$7/1000</f>
        <v>8.7791106651863626E-2</v>
      </c>
      <c r="O46" s="477">
        <f t="shared" si="20"/>
        <v>8.7791106651863626E-2</v>
      </c>
      <c r="P46" s="477">
        <f t="shared" si="20"/>
        <v>0</v>
      </c>
      <c r="Q46" s="478">
        <f t="shared" si="20"/>
        <v>8.7801202225305658E-2</v>
      </c>
      <c r="R46" s="478">
        <f t="shared" si="20"/>
        <v>0</v>
      </c>
      <c r="S46" s="478">
        <f t="shared" si="20"/>
        <v>0</v>
      </c>
      <c r="T46" s="478">
        <f t="shared" si="20"/>
        <v>3.6990181091585597E-2</v>
      </c>
      <c r="U46" s="478">
        <f t="shared" si="20"/>
        <v>5.0800925560278022E-2</v>
      </c>
      <c r="V46" s="478">
        <f t="shared" si="20"/>
        <v>0</v>
      </c>
      <c r="W46" s="478">
        <f t="shared" si="20"/>
        <v>0</v>
      </c>
      <c r="X46" s="478">
        <f t="shared" si="20"/>
        <v>0</v>
      </c>
      <c r="Y46" s="478">
        <f t="shared" si="5"/>
        <v>3.2805677744000978</v>
      </c>
      <c r="Z46" s="479">
        <f t="shared" ref="Z46:Z51" si="21">+N46-S46</f>
        <v>8.7791106651863626E-2</v>
      </c>
    </row>
    <row r="47" spans="9:26" x14ac:dyDescent="0.25">
      <c r="I47" s="474" t="s">
        <v>817</v>
      </c>
      <c r="J47" s="475" t="s">
        <v>854</v>
      </c>
      <c r="K47" s="473">
        <v>21</v>
      </c>
      <c r="L47" s="476"/>
      <c r="M47" s="476" t="str">
        <f>+'5. 2019 O&amp;G'!J28</f>
        <v>Medium Oil</v>
      </c>
      <c r="N47" s="477">
        <f t="shared" ref="N47:X47" si="22">+N20*365*$D$7/1000</f>
        <v>1.8634611370761611</v>
      </c>
      <c r="O47" s="477">
        <f t="shared" si="22"/>
        <v>0.96320856653031961</v>
      </c>
      <c r="P47" s="477">
        <f t="shared" si="22"/>
        <v>0.90025257054584151</v>
      </c>
      <c r="Q47" s="478">
        <f t="shared" si="22"/>
        <v>1.8635217105168129</v>
      </c>
      <c r="R47" s="478">
        <f t="shared" si="22"/>
        <v>0</v>
      </c>
      <c r="S47" s="478">
        <f t="shared" si="22"/>
        <v>0</v>
      </c>
      <c r="T47" s="478">
        <f t="shared" si="22"/>
        <v>0.8853716952922942</v>
      </c>
      <c r="U47" s="478">
        <f t="shared" si="22"/>
        <v>7.7836871238025379E-2</v>
      </c>
      <c r="V47" s="478">
        <f t="shared" si="22"/>
        <v>0</v>
      </c>
      <c r="W47" s="478">
        <f t="shared" si="22"/>
        <v>0</v>
      </c>
      <c r="X47" s="478">
        <f t="shared" si="22"/>
        <v>0.90025257054584151</v>
      </c>
      <c r="Y47" s="478">
        <f t="shared" si="5"/>
        <v>39.659458817161386</v>
      </c>
      <c r="Z47" s="479">
        <f t="shared" si="21"/>
        <v>1.8634611370761611</v>
      </c>
    </row>
    <row r="48" spans="9:26" x14ac:dyDescent="0.25">
      <c r="I48" s="474" t="s">
        <v>817</v>
      </c>
      <c r="J48" s="475" t="s">
        <v>856</v>
      </c>
      <c r="K48" s="473">
        <f>20+(25-20)/2</f>
        <v>22.5</v>
      </c>
      <c r="L48" s="476"/>
      <c r="M48" s="476" t="str">
        <f>+'5. 2019 O&amp;G'!J29</f>
        <v>Medium Oil</v>
      </c>
      <c r="N48" s="477">
        <f t="shared" ref="N48:X48" si="23">+N21*365*$D$7/1000</f>
        <v>2.497140090885289</v>
      </c>
      <c r="O48" s="477">
        <f t="shared" si="23"/>
        <v>1.1205177919039784</v>
      </c>
      <c r="P48" s="477">
        <f t="shared" si="23"/>
        <v>1.3766222989813104</v>
      </c>
      <c r="Q48" s="478">
        <f t="shared" si="23"/>
        <v>2.497140090885289</v>
      </c>
      <c r="R48" s="478">
        <f t="shared" si="23"/>
        <v>0</v>
      </c>
      <c r="S48" s="478">
        <f t="shared" si="23"/>
        <v>0</v>
      </c>
      <c r="T48" s="478">
        <f t="shared" si="23"/>
        <v>0.51468242964795996</v>
      </c>
      <c r="U48" s="478">
        <f t="shared" si="23"/>
        <v>0.60583536225601842</v>
      </c>
      <c r="V48" s="478">
        <f t="shared" si="23"/>
        <v>1.3766222989813104</v>
      </c>
      <c r="W48" s="478">
        <f t="shared" si="23"/>
        <v>0</v>
      </c>
      <c r="X48" s="478">
        <f t="shared" si="23"/>
        <v>0</v>
      </c>
      <c r="Y48" s="478">
        <f t="shared" si="5"/>
        <v>94.059349180277351</v>
      </c>
      <c r="Z48" s="479">
        <f t="shared" si="21"/>
        <v>2.497140090885289</v>
      </c>
    </row>
    <row r="49" spans="9:65" x14ac:dyDescent="0.25">
      <c r="I49" s="474" t="s">
        <v>830</v>
      </c>
      <c r="J49" s="475" t="s">
        <v>831</v>
      </c>
      <c r="K49" s="473">
        <v>23</v>
      </c>
      <c r="L49" s="476"/>
      <c r="M49" s="476" t="str">
        <f>+'5. 2019 O&amp;G'!J30</f>
        <v>Medium Oil</v>
      </c>
      <c r="N49" s="477">
        <f t="shared" ref="N49:X49" si="24">+N22*365*$D$7/1000</f>
        <v>0.71025387836690013</v>
      </c>
      <c r="O49" s="477">
        <f t="shared" si="24"/>
        <v>0.12213624750163826</v>
      </c>
      <c r="P49" s="477">
        <f t="shared" si="24"/>
        <v>0.38201649904628793</v>
      </c>
      <c r="Q49" s="478">
        <f t="shared" si="24"/>
        <v>0.71027406951378402</v>
      </c>
      <c r="R49" s="478">
        <f t="shared" si="24"/>
        <v>0</v>
      </c>
      <c r="S49" s="478">
        <f t="shared" si="24"/>
        <v>0</v>
      </c>
      <c r="T49" s="478">
        <f t="shared" si="24"/>
        <v>3.8100694170208539E-2</v>
      </c>
      <c r="U49" s="478">
        <f t="shared" si="24"/>
        <v>8.403555333142973E-2</v>
      </c>
      <c r="V49" s="478">
        <f t="shared" si="24"/>
        <v>0.58683549303812432</v>
      </c>
      <c r="W49" s="478">
        <f t="shared" si="24"/>
        <v>0.2061011318189738</v>
      </c>
      <c r="X49" s="478">
        <f t="shared" si="24"/>
        <v>1.2821378271373829E-3</v>
      </c>
      <c r="Y49" s="478">
        <f t="shared" si="5"/>
        <v>10.408512554584734</v>
      </c>
      <c r="Z49" s="479">
        <f t="shared" si="21"/>
        <v>0.71025387836690013</v>
      </c>
    </row>
    <row r="50" spans="9:65" x14ac:dyDescent="0.25">
      <c r="I50" s="474" t="s">
        <v>830</v>
      </c>
      <c r="J50" s="475" t="s">
        <v>833</v>
      </c>
      <c r="K50" s="473">
        <v>25.5</v>
      </c>
      <c r="L50" s="476"/>
      <c r="M50" s="476" t="str">
        <f>+'5. 2019 O&amp;G'!J31</f>
        <v>Medium Oil</v>
      </c>
      <c r="N50" s="477">
        <f t="shared" ref="N50:X50" si="25">+N23*365*$D$7/1000</f>
        <v>0.31949461271981699</v>
      </c>
      <c r="O50" s="477">
        <f t="shared" si="25"/>
        <v>0.31949461271981699</v>
      </c>
      <c r="P50" s="477">
        <f t="shared" si="25"/>
        <v>0</v>
      </c>
      <c r="Q50" s="478">
        <f t="shared" si="25"/>
        <v>0.31951480386670106</v>
      </c>
      <c r="R50" s="478">
        <f t="shared" si="25"/>
        <v>0</v>
      </c>
      <c r="S50" s="478">
        <f t="shared" si="25"/>
        <v>0</v>
      </c>
      <c r="T50" s="478">
        <f t="shared" si="25"/>
        <v>0.16765718815173636</v>
      </c>
      <c r="U50" s="478">
        <f t="shared" si="25"/>
        <v>0.15183742456808058</v>
      </c>
      <c r="V50" s="478">
        <f t="shared" si="25"/>
        <v>0</v>
      </c>
      <c r="W50" s="478">
        <f t="shared" si="25"/>
        <v>0</v>
      </c>
      <c r="X50" s="478">
        <f t="shared" si="25"/>
        <v>0</v>
      </c>
      <c r="Y50" s="478">
        <f t="shared" si="5"/>
        <v>9.2296903712167389</v>
      </c>
      <c r="Z50" s="479">
        <f t="shared" si="21"/>
        <v>0.31949461271981699</v>
      </c>
    </row>
    <row r="51" spans="9:65" x14ac:dyDescent="0.25">
      <c r="I51" s="474" t="s">
        <v>830</v>
      </c>
      <c r="J51" s="480" t="s">
        <v>835</v>
      </c>
      <c r="K51" s="473">
        <v>21</v>
      </c>
      <c r="L51" s="476"/>
      <c r="M51" s="476" t="str">
        <f>+'5. 2019 O&amp;G'!J32</f>
        <v>Medium Oil</v>
      </c>
      <c r="N51" s="477">
        <f t="shared" ref="N51:X51" si="26">+N24*365*$D$7/1000</f>
        <v>0.43874352621703561</v>
      </c>
      <c r="O51" s="477">
        <f t="shared" si="26"/>
        <v>5.7140945681870784E-3</v>
      </c>
      <c r="P51" s="477">
        <f t="shared" si="26"/>
        <v>0.23786180586758957</v>
      </c>
      <c r="Q51" s="478">
        <f t="shared" si="26"/>
        <v>0.4388141952311298</v>
      </c>
      <c r="R51" s="478">
        <f t="shared" si="26"/>
        <v>0</v>
      </c>
      <c r="S51" s="478">
        <f t="shared" si="26"/>
        <v>0</v>
      </c>
      <c r="T51" s="478">
        <f t="shared" si="26"/>
        <v>0</v>
      </c>
      <c r="U51" s="478">
        <f t="shared" si="26"/>
        <v>5.7140945681870784E-3</v>
      </c>
      <c r="V51" s="478">
        <f t="shared" si="26"/>
        <v>0.4330294316488485</v>
      </c>
      <c r="W51" s="478">
        <f t="shared" si="26"/>
        <v>0.19516762578125896</v>
      </c>
      <c r="X51" s="478">
        <f t="shared" si="26"/>
        <v>0</v>
      </c>
      <c r="Y51" s="478">
        <f t="shared" si="5"/>
        <v>8.7564836170076354</v>
      </c>
      <c r="Z51" s="479">
        <f t="shared" si="21"/>
        <v>0.43874352621703561</v>
      </c>
    </row>
    <row r="52" spans="9:65" s="1" customFormat="1" x14ac:dyDescent="0.25">
      <c r="I52" s="576"/>
      <c r="J52" s="580"/>
      <c r="K52" s="577"/>
      <c r="L52" s="320"/>
      <c r="M52" s="320"/>
      <c r="N52" s="579"/>
      <c r="O52" s="579"/>
      <c r="P52" s="579"/>
      <c r="Q52" s="579"/>
      <c r="R52" s="579"/>
      <c r="S52" s="579"/>
      <c r="T52" s="579"/>
      <c r="U52" s="579"/>
      <c r="V52" s="579"/>
      <c r="W52" s="579"/>
      <c r="X52" s="579"/>
      <c r="Y52" s="579"/>
      <c r="Z52" s="581"/>
    </row>
    <row r="53" spans="9:65" s="1" customFormat="1" x14ac:dyDescent="0.25">
      <c r="I53" s="576"/>
      <c r="J53" s="580"/>
      <c r="K53" s="577"/>
      <c r="L53" s="320"/>
      <c r="M53" s="320"/>
      <c r="N53" s="579"/>
      <c r="O53" s="579"/>
      <c r="P53" s="579"/>
      <c r="Q53" s="579"/>
      <c r="R53" s="579"/>
      <c r="S53" s="579"/>
      <c r="T53" s="579"/>
      <c r="U53" s="579"/>
      <c r="V53" s="579"/>
      <c r="W53" s="579"/>
      <c r="X53" s="579"/>
      <c r="Y53" s="579"/>
      <c r="Z53" s="581"/>
    </row>
    <row r="54" spans="9:65" s="1" customFormat="1" x14ac:dyDescent="0.25">
      <c r="I54" s="576"/>
      <c r="J54" s="580"/>
      <c r="K54" s="577"/>
      <c r="L54" s="320"/>
      <c r="M54" s="320"/>
      <c r="N54" s="579"/>
      <c r="O54" s="579"/>
      <c r="P54" s="579"/>
      <c r="Q54" s="579"/>
      <c r="R54" s="579"/>
      <c r="S54" s="579"/>
      <c r="T54" s="579"/>
      <c r="U54" s="579"/>
      <c r="V54" s="579"/>
      <c r="W54" s="579"/>
      <c r="X54" s="579"/>
      <c r="Y54" s="579"/>
      <c r="Z54" s="581"/>
    </row>
    <row r="57" spans="9:65" x14ac:dyDescent="0.25">
      <c r="Y57" s="75"/>
    </row>
    <row r="58" spans="9:65" x14ac:dyDescent="0.25">
      <c r="N58" s="75"/>
      <c r="R58" s="653" t="s">
        <v>1035</v>
      </c>
      <c r="S58" s="653"/>
      <c r="T58" s="653"/>
      <c r="U58" s="653"/>
      <c r="V58" s="653"/>
      <c r="W58" s="652" t="s">
        <v>1032</v>
      </c>
      <c r="X58" s="652"/>
      <c r="Y58" s="652"/>
      <c r="Z58" s="652"/>
      <c r="AA58" s="575" t="s">
        <v>1033</v>
      </c>
      <c r="AZ58" s="75"/>
      <c r="BD58" s="653" t="str">
        <f t="shared" ref="BD58:BD80" si="27">R58</f>
        <v>USES</v>
      </c>
      <c r="BE58" s="653"/>
      <c r="BF58" s="653"/>
      <c r="BG58" s="653"/>
      <c r="BH58" s="653"/>
      <c r="BI58" s="652" t="str">
        <f t="shared" ref="BI58:BI80" si="28">W58</f>
        <v>Relative to Gfisc - Grei</v>
      </c>
      <c r="BJ58" s="652"/>
      <c r="BK58" s="652"/>
      <c r="BL58" s="652"/>
      <c r="BM58" s="575" t="str">
        <f t="shared" ref="BM58:BM80" si="29">AA58</f>
        <v>Relative to Gplant</v>
      </c>
    </row>
    <row r="59" spans="9:65" x14ac:dyDescent="0.25">
      <c r="N59" s="19" t="str">
        <f t="shared" ref="N59:N80" si="30">Y30</f>
        <v>PJ</v>
      </c>
      <c r="O59" s="19" t="str">
        <f>Z30</f>
        <v>PJ</v>
      </c>
      <c r="P59" s="582" t="s">
        <v>9</v>
      </c>
      <c r="Q59" s="582" t="s">
        <v>9</v>
      </c>
      <c r="R59" s="568" t="str">
        <f>T30</f>
        <v>PJ</v>
      </c>
      <c r="S59" s="568" t="str">
        <f>U30</f>
        <v>PJ</v>
      </c>
      <c r="T59" s="568" t="str">
        <f>V30</f>
        <v>PJ</v>
      </c>
      <c r="U59" s="568" t="str">
        <f>W30</f>
        <v>PJ</v>
      </c>
      <c r="V59" s="568" t="str">
        <f>X30</f>
        <v>PJ</v>
      </c>
      <c r="W59" s="570" t="s">
        <v>930</v>
      </c>
      <c r="X59" s="570" t="s">
        <v>930</v>
      </c>
      <c r="Y59" s="570" t="s">
        <v>930</v>
      </c>
      <c r="Z59" s="570" t="s">
        <v>930</v>
      </c>
      <c r="AA59" s="270" t="s">
        <v>930</v>
      </c>
      <c r="AZ59" s="19" t="str">
        <f t="shared" ref="AZ59:AZ80" si="31">N59</f>
        <v>PJ</v>
      </c>
      <c r="BA59" s="19" t="str">
        <f t="shared" ref="BA59:BA80" si="32">O59</f>
        <v>PJ</v>
      </c>
      <c r="BB59" s="582" t="str">
        <f t="shared" ref="BB59:BB80" si="33">P59</f>
        <v>PJ</v>
      </c>
      <c r="BC59" s="582" t="str">
        <f t="shared" ref="BC59:BC80" si="34">Q59</f>
        <v>PJ</v>
      </c>
      <c r="BD59" s="568" t="str">
        <f t="shared" si="27"/>
        <v>PJ</v>
      </c>
      <c r="BE59" s="568" t="str">
        <f t="shared" ref="BE59:BE80" si="35">S59</f>
        <v>PJ</v>
      </c>
      <c r="BF59" s="568" t="str">
        <f t="shared" ref="BF59:BF80" si="36">T59</f>
        <v>PJ</v>
      </c>
      <c r="BG59" s="568" t="str">
        <f t="shared" ref="BG59:BG80" si="37">U59</f>
        <v>PJ</v>
      </c>
      <c r="BH59" s="568" t="str">
        <f t="shared" ref="BH59:BH80" si="38">V59</f>
        <v>PJ</v>
      </c>
      <c r="BI59" s="570" t="str">
        <f t="shared" si="28"/>
        <v>%</v>
      </c>
      <c r="BJ59" s="570" t="str">
        <f t="shared" ref="BJ59:BJ80" si="39">X59</f>
        <v>%</v>
      </c>
      <c r="BK59" s="570" t="str">
        <f t="shared" ref="BK59:BK80" si="40">Y59</f>
        <v>%</v>
      </c>
      <c r="BL59" s="570" t="str">
        <f t="shared" ref="BL59:BL80" si="41">Z59</f>
        <v>%</v>
      </c>
      <c r="BM59" s="270" t="str">
        <f t="shared" si="29"/>
        <v>%</v>
      </c>
    </row>
    <row r="60" spans="9:65" ht="40.5" x14ac:dyDescent="0.25">
      <c r="I60" s="470" t="s">
        <v>798</v>
      </c>
      <c r="J60" s="470" t="s">
        <v>799</v>
      </c>
      <c r="K60" s="470" t="s">
        <v>800</v>
      </c>
      <c r="L60" s="471"/>
      <c r="M60" s="470" t="str">
        <f t="shared" ref="M60:M80" si="42">M31</f>
        <v>Type of Oil producing</v>
      </c>
      <c r="N60" s="470" t="s">
        <v>813</v>
      </c>
      <c r="O60" s="470" t="s">
        <v>814</v>
      </c>
      <c r="P60" s="583" t="s">
        <v>1034</v>
      </c>
      <c r="Q60" s="583" t="s">
        <v>804</v>
      </c>
      <c r="R60" s="472" t="s">
        <v>808</v>
      </c>
      <c r="S60" s="472" t="s">
        <v>809</v>
      </c>
      <c r="T60" s="472" t="s">
        <v>810</v>
      </c>
      <c r="U60" s="472" t="s">
        <v>811</v>
      </c>
      <c r="V60" s="472" t="s">
        <v>812</v>
      </c>
      <c r="W60" s="571" t="s">
        <v>808</v>
      </c>
      <c r="X60" s="571" t="s">
        <v>809</v>
      </c>
      <c r="Y60" s="571" t="s">
        <v>810</v>
      </c>
      <c r="Z60" s="571" t="s">
        <v>812</v>
      </c>
      <c r="AA60" s="573" t="s">
        <v>811</v>
      </c>
      <c r="AU60" s="470" t="str">
        <f t="shared" ref="AU60:AU80" si="43">I60</f>
        <v>Basin</v>
      </c>
      <c r="AV60" s="470" t="str">
        <f t="shared" ref="AV60:AV80" si="44">J60</f>
        <v>Oilfield</v>
      </c>
      <c r="AW60" s="470" t="str">
        <f t="shared" ref="AW60:AW80" si="45">K60</f>
        <v>API Gravity</v>
      </c>
      <c r="AX60" s="471"/>
      <c r="AY60" s="470" t="str">
        <f t="shared" ref="AY60:AY80" si="46">M60</f>
        <v>Type of Oil producing</v>
      </c>
      <c r="AZ60" s="470" t="s">
        <v>813</v>
      </c>
      <c r="BA60" s="470" t="s">
        <v>814</v>
      </c>
      <c r="BB60" s="583" t="str">
        <f t="shared" si="33"/>
        <v>GOR</v>
      </c>
      <c r="BC60" s="583" t="str">
        <f t="shared" si="34"/>
        <v>GCOMM</v>
      </c>
      <c r="BD60" s="472" t="s">
        <v>808</v>
      </c>
      <c r="BE60" s="472" t="s">
        <v>809</v>
      </c>
      <c r="BF60" s="472" t="s">
        <v>810</v>
      </c>
      <c r="BG60" s="472" t="s">
        <v>811</v>
      </c>
      <c r="BH60" s="472" t="s">
        <v>812</v>
      </c>
      <c r="BI60" s="571" t="s">
        <v>808</v>
      </c>
      <c r="BJ60" s="571" t="s">
        <v>809</v>
      </c>
      <c r="BK60" s="571" t="s">
        <v>810</v>
      </c>
      <c r="BL60" s="571" t="s">
        <v>812</v>
      </c>
      <c r="BM60" s="573" t="s">
        <v>811</v>
      </c>
    </row>
    <row r="61" spans="9:65" x14ac:dyDescent="0.25">
      <c r="I61" s="474" t="s">
        <v>837</v>
      </c>
      <c r="J61" s="475" t="s">
        <v>838</v>
      </c>
      <c r="K61" s="473" t="s">
        <v>665</v>
      </c>
      <c r="L61" s="476" t="s">
        <v>51</v>
      </c>
      <c r="M61" s="476" t="str">
        <f t="shared" si="42"/>
        <v>Doesn't Apply</v>
      </c>
      <c r="N61" s="478">
        <f t="shared" si="30"/>
        <v>0</v>
      </c>
      <c r="O61" s="567">
        <f t="shared" ref="O61:O80" si="47">Z32</f>
        <v>60.04622961587031</v>
      </c>
      <c r="P61" s="584" t="str">
        <f t="shared" ref="P61:P80" si="48">IF(N61=0,"-",O61/N61)</f>
        <v>-</v>
      </c>
      <c r="Q61" s="584">
        <f t="shared" ref="Q61:Q80" si="49">+V61+T61-U61</f>
        <v>57.556398720157048</v>
      </c>
      <c r="R61" s="477">
        <f t="shared" ref="R61:R80" si="50">T32</f>
        <v>2.4069462377542221</v>
      </c>
      <c r="S61" s="477">
        <f t="shared" ref="S61:S80" si="51">U32</f>
        <v>8.2884657959038696E-2</v>
      </c>
      <c r="T61" s="477">
        <f t="shared" ref="T61:T80" si="52">V32</f>
        <v>4.8961411123406373</v>
      </c>
      <c r="U61" s="477">
        <f t="shared" ref="U61:U80" si="53">W32</f>
        <v>0</v>
      </c>
      <c r="V61" s="477">
        <f t="shared" ref="V61:V80" si="54">X32</f>
        <v>52.660257607816412</v>
      </c>
      <c r="W61" s="572">
        <f t="shared" ref="W61:W80" si="55">+IF($O61=0,"-",R61/$O61)</f>
        <v>4.0084885481603369E-2</v>
      </c>
      <c r="X61" s="572">
        <f t="shared" ref="X61:X80" si="56">+IF($O61=0,"-",S61/$O61)</f>
        <v>1.3803474171362818E-3</v>
      </c>
      <c r="Y61" s="572">
        <f t="shared" ref="Y61:Y80" si="57">+IF($O61=0,"-",T61/$O61)</f>
        <v>8.1539526189444198E-2</v>
      </c>
      <c r="Z61" s="572">
        <f t="shared" ref="Z61:Z80" si="58">+IF($O61=0,"-",V61/$O61)</f>
        <v>0.87699524091181613</v>
      </c>
      <c r="AA61" s="574">
        <f t="shared" ref="AA61:AA80" si="59">+IF($T61=0,"-",U61/$T61)</f>
        <v>0</v>
      </c>
      <c r="AC61" s="289"/>
      <c r="AU61" s="474" t="str">
        <f t="shared" si="43"/>
        <v>Guajira</v>
      </c>
      <c r="AV61" s="475" t="str">
        <f t="shared" si="44"/>
        <v>Chuchupa</v>
      </c>
      <c r="AW61" s="473" t="str">
        <f t="shared" si="45"/>
        <v>-</v>
      </c>
      <c r="AX61" s="476" t="str">
        <f t="shared" ref="AX61:AX80" si="60">L61</f>
        <v>GAS</v>
      </c>
      <c r="AY61" s="476" t="str">
        <f t="shared" si="46"/>
        <v>Doesn't Apply</v>
      </c>
      <c r="AZ61" s="478">
        <f t="shared" si="31"/>
        <v>0</v>
      </c>
      <c r="BA61" s="567">
        <f t="shared" si="32"/>
        <v>60.04622961587031</v>
      </c>
      <c r="BB61" s="584" t="str">
        <f t="shared" si="33"/>
        <v>-</v>
      </c>
      <c r="BC61" s="584">
        <f t="shared" si="34"/>
        <v>57.556398720157048</v>
      </c>
      <c r="BD61" s="477">
        <f t="shared" si="27"/>
        <v>2.4069462377542221</v>
      </c>
      <c r="BE61" s="477">
        <f t="shared" si="35"/>
        <v>8.2884657959038696E-2</v>
      </c>
      <c r="BF61" s="477">
        <f t="shared" si="36"/>
        <v>4.8961411123406373</v>
      </c>
      <c r="BG61" s="477">
        <f t="shared" si="37"/>
        <v>0</v>
      </c>
      <c r="BH61" s="477">
        <f t="shared" si="38"/>
        <v>52.660257607816412</v>
      </c>
      <c r="BI61" s="572">
        <f t="shared" si="28"/>
        <v>4.0084885481603369E-2</v>
      </c>
      <c r="BJ61" s="572">
        <f t="shared" si="39"/>
        <v>1.3803474171362818E-3</v>
      </c>
      <c r="BK61" s="572">
        <f t="shared" si="40"/>
        <v>8.1539526189444198E-2</v>
      </c>
      <c r="BL61" s="572">
        <f t="shared" si="41"/>
        <v>0.87699524091181613</v>
      </c>
      <c r="BM61" s="574">
        <f t="shared" si="29"/>
        <v>0</v>
      </c>
    </row>
    <row r="62" spans="9:65" x14ac:dyDescent="0.25">
      <c r="I62" s="474" t="s">
        <v>837</v>
      </c>
      <c r="J62" s="475" t="s">
        <v>839</v>
      </c>
      <c r="K62" s="473" t="s">
        <v>665</v>
      </c>
      <c r="L62" s="476" t="s">
        <v>51</v>
      </c>
      <c r="M62" s="476" t="str">
        <f t="shared" si="42"/>
        <v>Doesn't Apply</v>
      </c>
      <c r="N62" s="478">
        <f t="shared" si="30"/>
        <v>0</v>
      </c>
      <c r="O62" s="567">
        <f t="shared" si="47"/>
        <v>8.539502325113304</v>
      </c>
      <c r="P62" s="584" t="str">
        <f t="shared" si="48"/>
        <v>-</v>
      </c>
      <c r="Q62" s="584">
        <f t="shared" si="49"/>
        <v>8.486450086675454</v>
      </c>
      <c r="R62" s="477">
        <f t="shared" si="50"/>
        <v>4.3098003024011712E-2</v>
      </c>
      <c r="S62" s="477">
        <f t="shared" si="51"/>
        <v>9.9542354138382663E-3</v>
      </c>
      <c r="T62" s="477">
        <f t="shared" si="52"/>
        <v>0.72254019124584645</v>
      </c>
      <c r="U62" s="477">
        <f t="shared" si="53"/>
        <v>0</v>
      </c>
      <c r="V62" s="477">
        <f t="shared" si="54"/>
        <v>7.7639098954296077</v>
      </c>
      <c r="W62" s="572">
        <f t="shared" si="55"/>
        <v>5.046898681351419E-3</v>
      </c>
      <c r="X62" s="572">
        <f t="shared" si="56"/>
        <v>1.1656692667632936E-3</v>
      </c>
      <c r="Y62" s="572">
        <f t="shared" si="57"/>
        <v>8.4611510570232168E-2</v>
      </c>
      <c r="Z62" s="572">
        <f t="shared" si="58"/>
        <v>0.90917592148165316</v>
      </c>
      <c r="AA62" s="574">
        <f t="shared" si="59"/>
        <v>0</v>
      </c>
      <c r="AC62" s="289"/>
      <c r="AU62" s="474" t="str">
        <f t="shared" si="43"/>
        <v>Guajira</v>
      </c>
      <c r="AV62" s="475" t="str">
        <f t="shared" si="44"/>
        <v>Ballena</v>
      </c>
      <c r="AW62" s="473" t="str">
        <f t="shared" si="45"/>
        <v>-</v>
      </c>
      <c r="AX62" s="476" t="str">
        <f t="shared" si="60"/>
        <v>GAS</v>
      </c>
      <c r="AY62" s="476" t="str">
        <f t="shared" si="46"/>
        <v>Doesn't Apply</v>
      </c>
      <c r="AZ62" s="478">
        <f t="shared" si="31"/>
        <v>0</v>
      </c>
      <c r="BA62" s="567">
        <f t="shared" si="32"/>
        <v>8.539502325113304</v>
      </c>
      <c r="BB62" s="584" t="str">
        <f t="shared" si="33"/>
        <v>-</v>
      </c>
      <c r="BC62" s="584">
        <f t="shared" si="34"/>
        <v>8.486450086675454</v>
      </c>
      <c r="BD62" s="477">
        <f t="shared" si="27"/>
        <v>4.3098003024011712E-2</v>
      </c>
      <c r="BE62" s="477">
        <f t="shared" si="35"/>
        <v>9.9542354138382663E-3</v>
      </c>
      <c r="BF62" s="477">
        <f t="shared" si="36"/>
        <v>0.72254019124584645</v>
      </c>
      <c r="BG62" s="477">
        <f t="shared" si="37"/>
        <v>0</v>
      </c>
      <c r="BH62" s="477">
        <f t="shared" si="38"/>
        <v>7.7639098954296077</v>
      </c>
      <c r="BI62" s="572">
        <f t="shared" si="28"/>
        <v>5.046898681351419E-3</v>
      </c>
      <c r="BJ62" s="572">
        <f t="shared" si="39"/>
        <v>1.1656692667632936E-3</v>
      </c>
      <c r="BK62" s="572">
        <f t="shared" si="40"/>
        <v>8.4611510570232168E-2</v>
      </c>
      <c r="BL62" s="572">
        <f t="shared" si="41"/>
        <v>0.90917592148165316</v>
      </c>
      <c r="BM62" s="574">
        <f t="shared" si="29"/>
        <v>0</v>
      </c>
    </row>
    <row r="63" spans="9:65" x14ac:dyDescent="0.25">
      <c r="I63" s="474" t="s">
        <v>822</v>
      </c>
      <c r="J63" s="475" t="s">
        <v>850</v>
      </c>
      <c r="K63" s="473" t="s">
        <v>665</v>
      </c>
      <c r="L63" s="476" t="s">
        <v>51</v>
      </c>
      <c r="M63" s="476" t="str">
        <f t="shared" si="42"/>
        <v>Doesn't Apply</v>
      </c>
      <c r="N63" s="478">
        <f t="shared" si="30"/>
        <v>0</v>
      </c>
      <c r="O63" s="567">
        <f t="shared" si="47"/>
        <v>13.106881088314344</v>
      </c>
      <c r="P63" s="584" t="str">
        <f t="shared" si="48"/>
        <v>-</v>
      </c>
      <c r="Q63" s="584">
        <f t="shared" si="49"/>
        <v>11.790499076061606</v>
      </c>
      <c r="R63" s="477">
        <f t="shared" si="50"/>
        <v>0</v>
      </c>
      <c r="S63" s="477">
        <f t="shared" si="51"/>
        <v>0</v>
      </c>
      <c r="T63" s="477">
        <f t="shared" si="52"/>
        <v>13.106881088314344</v>
      </c>
      <c r="U63" s="477">
        <f t="shared" si="53"/>
        <v>1.3163820122527377</v>
      </c>
      <c r="V63" s="477">
        <f t="shared" si="54"/>
        <v>0</v>
      </c>
      <c r="W63" s="572">
        <f t="shared" si="55"/>
        <v>0</v>
      </c>
      <c r="X63" s="572">
        <f t="shared" si="56"/>
        <v>0</v>
      </c>
      <c r="Y63" s="572">
        <f t="shared" si="57"/>
        <v>1</v>
      </c>
      <c r="Z63" s="572">
        <f t="shared" si="58"/>
        <v>0</v>
      </c>
      <c r="AA63" s="574">
        <f t="shared" si="59"/>
        <v>0.10043442092614846</v>
      </c>
      <c r="AC63" s="289"/>
      <c r="AU63" s="474" t="str">
        <f t="shared" si="43"/>
        <v>Llanos Orientales</v>
      </c>
      <c r="AV63" s="475" t="str">
        <f t="shared" si="44"/>
        <v>Gibraltar</v>
      </c>
      <c r="AW63" s="473" t="str">
        <f t="shared" si="45"/>
        <v>-</v>
      </c>
      <c r="AX63" s="476" t="str">
        <f t="shared" si="60"/>
        <v>GAS</v>
      </c>
      <c r="AY63" s="476" t="str">
        <f t="shared" si="46"/>
        <v>Doesn't Apply</v>
      </c>
      <c r="AZ63" s="478">
        <f t="shared" si="31"/>
        <v>0</v>
      </c>
      <c r="BA63" s="567">
        <f t="shared" si="32"/>
        <v>13.106881088314344</v>
      </c>
      <c r="BB63" s="584" t="str">
        <f t="shared" si="33"/>
        <v>-</v>
      </c>
      <c r="BC63" s="584">
        <f t="shared" si="34"/>
        <v>11.790499076061606</v>
      </c>
      <c r="BD63" s="477">
        <f t="shared" si="27"/>
        <v>0</v>
      </c>
      <c r="BE63" s="477">
        <f t="shared" si="35"/>
        <v>0</v>
      </c>
      <c r="BF63" s="477">
        <f t="shared" si="36"/>
        <v>13.106881088314344</v>
      </c>
      <c r="BG63" s="477">
        <f t="shared" si="37"/>
        <v>1.3163820122527377</v>
      </c>
      <c r="BH63" s="477">
        <f t="shared" si="38"/>
        <v>0</v>
      </c>
      <c r="BI63" s="572">
        <f t="shared" si="28"/>
        <v>0</v>
      </c>
      <c r="BJ63" s="572">
        <f t="shared" si="39"/>
        <v>0</v>
      </c>
      <c r="BK63" s="572">
        <f t="shared" si="40"/>
        <v>1</v>
      </c>
      <c r="BL63" s="572">
        <f t="shared" si="41"/>
        <v>0</v>
      </c>
      <c r="BM63" s="574">
        <f t="shared" si="29"/>
        <v>0.10043442092614846</v>
      </c>
    </row>
    <row r="64" spans="9:65" x14ac:dyDescent="0.25">
      <c r="I64" s="474" t="s">
        <v>822</v>
      </c>
      <c r="J64" s="475" t="s">
        <v>823</v>
      </c>
      <c r="K64" s="473">
        <v>48</v>
      </c>
      <c r="L64" s="476"/>
      <c r="M64" s="476" t="str">
        <f t="shared" si="42"/>
        <v>Light Oil</v>
      </c>
      <c r="N64" s="478">
        <f t="shared" si="30"/>
        <v>22.733323234776581</v>
      </c>
      <c r="O64" s="567">
        <f t="shared" si="47"/>
        <v>93.265320299494704</v>
      </c>
      <c r="P64" s="584">
        <f t="shared" si="48"/>
        <v>4.102581894266164</v>
      </c>
      <c r="Q64" s="584">
        <f t="shared" si="49"/>
        <v>75.291444019366892</v>
      </c>
      <c r="R64" s="477">
        <f t="shared" si="50"/>
        <v>14.103990590462988</v>
      </c>
      <c r="S64" s="477">
        <f t="shared" si="51"/>
        <v>0.82481844578701846</v>
      </c>
      <c r="T64" s="477">
        <f t="shared" si="52"/>
        <v>6.0840367613967006</v>
      </c>
      <c r="U64" s="477">
        <f t="shared" si="53"/>
        <v>3.0450672438778423</v>
      </c>
      <c r="V64" s="477">
        <f t="shared" si="54"/>
        <v>72.252474501848027</v>
      </c>
      <c r="W64" s="572">
        <f t="shared" si="55"/>
        <v>0.15122438378136788</v>
      </c>
      <c r="X64" s="572">
        <f t="shared" si="56"/>
        <v>8.8437850547057762E-3</v>
      </c>
      <c r="Y64" s="572">
        <f t="shared" si="57"/>
        <v>6.5233644637251759E-2</v>
      </c>
      <c r="Z64" s="572">
        <f t="shared" si="58"/>
        <v>0.77469818652667488</v>
      </c>
      <c r="AA64" s="574">
        <f t="shared" si="59"/>
        <v>0.50050112504231359</v>
      </c>
      <c r="AC64" s="289"/>
      <c r="AU64" s="474" t="str">
        <f t="shared" si="43"/>
        <v>Llanos Orientales</v>
      </c>
      <c r="AV64" s="475" t="str">
        <f t="shared" si="44"/>
        <v>Cupiagua (Cupiagua + Liria + Sur)</v>
      </c>
      <c r="AW64" s="473">
        <f t="shared" si="45"/>
        <v>48</v>
      </c>
      <c r="AX64" s="476">
        <f t="shared" si="60"/>
        <v>0</v>
      </c>
      <c r="AY64" s="476" t="str">
        <f t="shared" si="46"/>
        <v>Light Oil</v>
      </c>
      <c r="AZ64" s="478">
        <f t="shared" si="31"/>
        <v>22.733323234776581</v>
      </c>
      <c r="BA64" s="567">
        <f t="shared" si="32"/>
        <v>93.265320299494704</v>
      </c>
      <c r="BB64" s="584">
        <f t="shared" si="33"/>
        <v>4.102581894266164</v>
      </c>
      <c r="BC64" s="584">
        <f t="shared" si="34"/>
        <v>75.291444019366892</v>
      </c>
      <c r="BD64" s="477">
        <f t="shared" si="27"/>
        <v>14.103990590462988</v>
      </c>
      <c r="BE64" s="477">
        <f t="shared" si="35"/>
        <v>0.82481844578701846</v>
      </c>
      <c r="BF64" s="477">
        <f t="shared" si="36"/>
        <v>6.0840367613967006</v>
      </c>
      <c r="BG64" s="477">
        <f t="shared" si="37"/>
        <v>3.0450672438778423</v>
      </c>
      <c r="BH64" s="477">
        <f t="shared" si="38"/>
        <v>72.252474501848027</v>
      </c>
      <c r="BI64" s="572">
        <f t="shared" si="28"/>
        <v>0.15122438378136788</v>
      </c>
      <c r="BJ64" s="572">
        <f t="shared" si="39"/>
        <v>8.8437850547057762E-3</v>
      </c>
      <c r="BK64" s="572">
        <f t="shared" si="40"/>
        <v>6.5233644637251759E-2</v>
      </c>
      <c r="BL64" s="572">
        <f t="shared" si="41"/>
        <v>0.77469818652667488</v>
      </c>
      <c r="BM64" s="574">
        <f t="shared" si="29"/>
        <v>0.50050112504231359</v>
      </c>
    </row>
    <row r="65" spans="9:65" x14ac:dyDescent="0.25">
      <c r="I65" s="474" t="s">
        <v>822</v>
      </c>
      <c r="J65" s="475" t="s">
        <v>825</v>
      </c>
      <c r="K65" s="473">
        <v>52</v>
      </c>
      <c r="L65" s="476"/>
      <c r="M65" s="476" t="str">
        <f t="shared" si="42"/>
        <v>Light Oil</v>
      </c>
      <c r="N65" s="478">
        <f t="shared" si="30"/>
        <v>7.0712088472532377</v>
      </c>
      <c r="O65" s="567">
        <f t="shared" si="47"/>
        <v>83.600151440022017</v>
      </c>
      <c r="P65" s="584">
        <f t="shared" si="48"/>
        <v>11.822610991400136</v>
      </c>
      <c r="Q65" s="584">
        <f t="shared" si="49"/>
        <v>60.807849771910234</v>
      </c>
      <c r="R65" s="477">
        <f t="shared" si="50"/>
        <v>11.187076555858232</v>
      </c>
      <c r="S65" s="477">
        <f t="shared" si="51"/>
        <v>0.42083397893088031</v>
      </c>
      <c r="T65" s="477">
        <f t="shared" si="52"/>
        <v>11.193699252036202</v>
      </c>
      <c r="U65" s="477">
        <f t="shared" si="53"/>
        <v>11.184391133322654</v>
      </c>
      <c r="V65" s="477">
        <f t="shared" si="54"/>
        <v>60.798541653196693</v>
      </c>
      <c r="W65" s="572">
        <f t="shared" si="55"/>
        <v>0.13381646280729853</v>
      </c>
      <c r="X65" s="572">
        <f t="shared" si="56"/>
        <v>5.0338901506991034E-3</v>
      </c>
      <c r="Y65" s="572">
        <f t="shared" si="57"/>
        <v>0.13389568151759862</v>
      </c>
      <c r="Z65" s="572">
        <f t="shared" si="58"/>
        <v>0.72725396552440358</v>
      </c>
      <c r="AA65" s="574">
        <f t="shared" si="59"/>
        <v>0.99916845016969213</v>
      </c>
      <c r="AC65" s="289"/>
      <c r="AU65" s="474" t="str">
        <f t="shared" si="43"/>
        <v>Llanos Orientales</v>
      </c>
      <c r="AV65" s="475" t="str">
        <f t="shared" si="44"/>
        <v>Cusiana (Cusiana + Norte)</v>
      </c>
      <c r="AW65" s="473">
        <f t="shared" si="45"/>
        <v>52</v>
      </c>
      <c r="AX65" s="476">
        <f t="shared" si="60"/>
        <v>0</v>
      </c>
      <c r="AY65" s="476" t="str">
        <f t="shared" si="46"/>
        <v>Light Oil</v>
      </c>
      <c r="AZ65" s="478">
        <f t="shared" si="31"/>
        <v>7.0712088472532377</v>
      </c>
      <c r="BA65" s="567">
        <f t="shared" si="32"/>
        <v>83.600151440022017</v>
      </c>
      <c r="BB65" s="584">
        <f t="shared" si="33"/>
        <v>11.822610991400136</v>
      </c>
      <c r="BC65" s="584">
        <f t="shared" si="34"/>
        <v>60.807849771910234</v>
      </c>
      <c r="BD65" s="477">
        <f t="shared" si="27"/>
        <v>11.187076555858232</v>
      </c>
      <c r="BE65" s="477">
        <f t="shared" si="35"/>
        <v>0.42083397893088031</v>
      </c>
      <c r="BF65" s="477">
        <f t="shared" si="36"/>
        <v>11.193699252036202</v>
      </c>
      <c r="BG65" s="477">
        <f t="shared" si="37"/>
        <v>11.184391133322654</v>
      </c>
      <c r="BH65" s="477">
        <f t="shared" si="38"/>
        <v>60.798541653196693</v>
      </c>
      <c r="BI65" s="572">
        <f t="shared" si="28"/>
        <v>0.13381646280729853</v>
      </c>
      <c r="BJ65" s="572">
        <f t="shared" si="39"/>
        <v>5.0338901506991034E-3</v>
      </c>
      <c r="BK65" s="572">
        <f t="shared" si="40"/>
        <v>0.13389568151759862</v>
      </c>
      <c r="BL65" s="572">
        <f t="shared" si="41"/>
        <v>0.72725396552440358</v>
      </c>
      <c r="BM65" s="574">
        <f t="shared" si="29"/>
        <v>0.99916845016969213</v>
      </c>
    </row>
    <row r="66" spans="9:65" x14ac:dyDescent="0.25">
      <c r="I66" s="474" t="s">
        <v>822</v>
      </c>
      <c r="J66" s="475" t="s">
        <v>827</v>
      </c>
      <c r="K66" s="473">
        <v>46</v>
      </c>
      <c r="L66" s="476"/>
      <c r="M66" s="476" t="str">
        <f t="shared" si="42"/>
        <v>Light Oil</v>
      </c>
      <c r="N66" s="478">
        <f t="shared" si="30"/>
        <v>60.007782289723188</v>
      </c>
      <c r="O66" s="567">
        <f t="shared" si="47"/>
        <v>77.441558868755962</v>
      </c>
      <c r="P66" s="584">
        <f t="shared" si="48"/>
        <v>1.2905252604547335</v>
      </c>
      <c r="Q66" s="584">
        <f t="shared" si="49"/>
        <v>73.646794341073218</v>
      </c>
      <c r="R66" s="477">
        <f t="shared" si="50"/>
        <v>3.345117782148316</v>
      </c>
      <c r="S66" s="477">
        <f t="shared" si="51"/>
        <v>0.44964674553442446</v>
      </c>
      <c r="T66" s="477">
        <f t="shared" si="52"/>
        <v>52.360166687252182</v>
      </c>
      <c r="U66" s="477">
        <f t="shared" si="53"/>
        <v>0</v>
      </c>
      <c r="V66" s="477">
        <f t="shared" si="54"/>
        <v>21.286627653821029</v>
      </c>
      <c r="W66" s="572">
        <f t="shared" si="55"/>
        <v>4.3195382828197612E-2</v>
      </c>
      <c r="X66" s="572">
        <f t="shared" si="56"/>
        <v>5.8062718791141981E-3</v>
      </c>
      <c r="Y66" s="572">
        <f t="shared" si="57"/>
        <v>0.67612490569810901</v>
      </c>
      <c r="Z66" s="572">
        <f t="shared" si="58"/>
        <v>0.27487343959457905</v>
      </c>
      <c r="AA66" s="574">
        <f t="shared" si="59"/>
        <v>0</v>
      </c>
      <c r="AC66" s="289"/>
      <c r="AU66" s="474" t="str">
        <f t="shared" si="43"/>
        <v>Llanos Orientales</v>
      </c>
      <c r="AV66" s="475" t="str">
        <f t="shared" si="44"/>
        <v>Pauto Sur (Sur + Recetor)</v>
      </c>
      <c r="AW66" s="473">
        <f t="shared" si="45"/>
        <v>46</v>
      </c>
      <c r="AX66" s="476">
        <f t="shared" si="60"/>
        <v>0</v>
      </c>
      <c r="AY66" s="476" t="str">
        <f t="shared" si="46"/>
        <v>Light Oil</v>
      </c>
      <c r="AZ66" s="478">
        <f t="shared" si="31"/>
        <v>60.007782289723188</v>
      </c>
      <c r="BA66" s="567">
        <f t="shared" si="32"/>
        <v>77.441558868755962</v>
      </c>
      <c r="BB66" s="584">
        <f t="shared" si="33"/>
        <v>1.2905252604547335</v>
      </c>
      <c r="BC66" s="584">
        <f t="shared" si="34"/>
        <v>73.646794341073218</v>
      </c>
      <c r="BD66" s="477">
        <f t="shared" si="27"/>
        <v>3.345117782148316</v>
      </c>
      <c r="BE66" s="477">
        <f t="shared" si="35"/>
        <v>0.44964674553442446</v>
      </c>
      <c r="BF66" s="477">
        <f t="shared" si="36"/>
        <v>52.360166687252182</v>
      </c>
      <c r="BG66" s="477">
        <f t="shared" si="37"/>
        <v>0</v>
      </c>
      <c r="BH66" s="477">
        <f t="shared" si="38"/>
        <v>21.286627653821029</v>
      </c>
      <c r="BI66" s="572">
        <f t="shared" si="28"/>
        <v>4.3195382828197612E-2</v>
      </c>
      <c r="BJ66" s="572">
        <f t="shared" si="39"/>
        <v>5.8062718791141981E-3</v>
      </c>
      <c r="BK66" s="572">
        <f t="shared" si="40"/>
        <v>0.67612490569810901</v>
      </c>
      <c r="BL66" s="572">
        <f t="shared" si="41"/>
        <v>0.27487343959457905</v>
      </c>
      <c r="BM66" s="574">
        <f t="shared" si="29"/>
        <v>0</v>
      </c>
    </row>
    <row r="67" spans="9:65" x14ac:dyDescent="0.25">
      <c r="I67" s="474" t="s">
        <v>822</v>
      </c>
      <c r="J67" s="475" t="s">
        <v>828</v>
      </c>
      <c r="K67" s="473">
        <f>44+((47-44)/2)</f>
        <v>45.5</v>
      </c>
      <c r="L67" s="476"/>
      <c r="M67" s="476" t="str">
        <f t="shared" si="42"/>
        <v>Light Oil</v>
      </c>
      <c r="N67" s="478">
        <f t="shared" si="30"/>
        <v>10.183967108609446</v>
      </c>
      <c r="O67" s="566">
        <f t="shared" si="47"/>
        <v>1.216062298959308</v>
      </c>
      <c r="P67" s="585">
        <f t="shared" si="48"/>
        <v>0.11940948806985624</v>
      </c>
      <c r="Q67" s="584">
        <f t="shared" si="49"/>
        <v>0</v>
      </c>
      <c r="R67" s="569">
        <f t="shared" si="50"/>
        <v>1.0773289287189884</v>
      </c>
      <c r="S67" s="569">
        <f t="shared" si="51"/>
        <v>0.13873337024033006</v>
      </c>
      <c r="T67" s="477">
        <f t="shared" si="52"/>
        <v>0</v>
      </c>
      <c r="U67" s="477">
        <f t="shared" si="53"/>
        <v>0</v>
      </c>
      <c r="V67" s="477">
        <f t="shared" si="54"/>
        <v>0</v>
      </c>
      <c r="W67" s="572">
        <f t="shared" si="55"/>
        <v>0.88591590220415029</v>
      </c>
      <c r="X67" s="572">
        <f t="shared" si="56"/>
        <v>0.11408409779585837</v>
      </c>
      <c r="Y67" s="572">
        <f t="shared" si="57"/>
        <v>0</v>
      </c>
      <c r="Z67" s="572">
        <f t="shared" si="58"/>
        <v>0</v>
      </c>
      <c r="AA67" s="574" t="str">
        <f t="shared" si="59"/>
        <v>-</v>
      </c>
      <c r="AC67" s="289"/>
      <c r="AU67" s="474" t="str">
        <f t="shared" si="43"/>
        <v>Llanos Orientales</v>
      </c>
      <c r="AV67" s="475" t="str">
        <f t="shared" si="44"/>
        <v>Floreña (Floreña + Mirador)</v>
      </c>
      <c r="AW67" s="473">
        <f t="shared" si="45"/>
        <v>45.5</v>
      </c>
      <c r="AX67" s="476">
        <f t="shared" si="60"/>
        <v>0</v>
      </c>
      <c r="AY67" s="476" t="str">
        <f t="shared" si="46"/>
        <v>Light Oil</v>
      </c>
      <c r="AZ67" s="478">
        <f t="shared" si="31"/>
        <v>10.183967108609446</v>
      </c>
      <c r="BA67" s="566">
        <f t="shared" si="32"/>
        <v>1.216062298959308</v>
      </c>
      <c r="BB67" s="585">
        <f t="shared" si="33"/>
        <v>0.11940948806985624</v>
      </c>
      <c r="BC67" s="584">
        <f t="shared" si="34"/>
        <v>0</v>
      </c>
      <c r="BD67" s="569">
        <f t="shared" si="27"/>
        <v>1.0773289287189884</v>
      </c>
      <c r="BE67" s="569">
        <f t="shared" si="35"/>
        <v>0.13873337024033006</v>
      </c>
      <c r="BF67" s="477">
        <f t="shared" si="36"/>
        <v>0</v>
      </c>
      <c r="BG67" s="477">
        <f t="shared" si="37"/>
        <v>0</v>
      </c>
      <c r="BH67" s="477">
        <f t="shared" si="38"/>
        <v>0</v>
      </c>
      <c r="BI67" s="572">
        <f t="shared" si="28"/>
        <v>0.88591590220415029</v>
      </c>
      <c r="BJ67" s="572">
        <f t="shared" si="39"/>
        <v>0.11408409779585837</v>
      </c>
      <c r="BK67" s="572">
        <f t="shared" si="40"/>
        <v>0</v>
      </c>
      <c r="BL67" s="572">
        <f t="shared" si="41"/>
        <v>0</v>
      </c>
      <c r="BM67" s="574" t="str">
        <f t="shared" si="29"/>
        <v>-</v>
      </c>
    </row>
    <row r="68" spans="9:65" x14ac:dyDescent="0.25">
      <c r="I68" s="474" t="s">
        <v>822</v>
      </c>
      <c r="J68" s="475" t="s">
        <v>841</v>
      </c>
      <c r="K68" s="473">
        <f>11.3+(14.4-11.3)/2</f>
        <v>12.850000000000001</v>
      </c>
      <c r="L68" s="476"/>
      <c r="M68" s="476" t="str">
        <f t="shared" si="42"/>
        <v>Heavy Oil</v>
      </c>
      <c r="N68" s="478">
        <f t="shared" si="30"/>
        <v>265.08224689210181</v>
      </c>
      <c r="O68" s="567">
        <f t="shared" si="47"/>
        <v>0</v>
      </c>
      <c r="P68" s="584">
        <f t="shared" si="48"/>
        <v>0</v>
      </c>
      <c r="Q68" s="584">
        <f t="shared" si="49"/>
        <v>0</v>
      </c>
      <c r="R68" s="477">
        <f t="shared" si="50"/>
        <v>0</v>
      </c>
      <c r="S68" s="477">
        <f t="shared" si="51"/>
        <v>0</v>
      </c>
      <c r="T68" s="477">
        <f t="shared" si="52"/>
        <v>0</v>
      </c>
      <c r="U68" s="477">
        <f t="shared" si="53"/>
        <v>0</v>
      </c>
      <c r="V68" s="477">
        <f t="shared" si="54"/>
        <v>0</v>
      </c>
      <c r="W68" s="572" t="str">
        <f t="shared" si="55"/>
        <v>-</v>
      </c>
      <c r="X68" s="572" t="str">
        <f t="shared" si="56"/>
        <v>-</v>
      </c>
      <c r="Y68" s="572" t="str">
        <f t="shared" si="57"/>
        <v>-</v>
      </c>
      <c r="Z68" s="572" t="str">
        <f t="shared" si="58"/>
        <v>-</v>
      </c>
      <c r="AA68" s="574" t="str">
        <f t="shared" si="59"/>
        <v>-</v>
      </c>
      <c r="AC68" s="289"/>
      <c r="AU68" s="474" t="str">
        <f t="shared" si="43"/>
        <v>Llanos Orientales</v>
      </c>
      <c r="AV68" s="475" t="str">
        <f t="shared" si="44"/>
        <v>Rubiales</v>
      </c>
      <c r="AW68" s="473">
        <f t="shared" si="45"/>
        <v>12.850000000000001</v>
      </c>
      <c r="AX68" s="476">
        <f t="shared" si="60"/>
        <v>0</v>
      </c>
      <c r="AY68" s="476" t="str">
        <f t="shared" si="46"/>
        <v>Heavy Oil</v>
      </c>
      <c r="AZ68" s="478">
        <f t="shared" si="31"/>
        <v>265.08224689210181</v>
      </c>
      <c r="BA68" s="567">
        <f t="shared" si="32"/>
        <v>0</v>
      </c>
      <c r="BB68" s="584">
        <f t="shared" si="33"/>
        <v>0</v>
      </c>
      <c r="BC68" s="584">
        <f t="shared" si="34"/>
        <v>0</v>
      </c>
      <c r="BD68" s="477">
        <f t="shared" si="27"/>
        <v>0</v>
      </c>
      <c r="BE68" s="477">
        <f t="shared" si="35"/>
        <v>0</v>
      </c>
      <c r="BF68" s="477">
        <f t="shared" si="36"/>
        <v>0</v>
      </c>
      <c r="BG68" s="477">
        <f t="shared" si="37"/>
        <v>0</v>
      </c>
      <c r="BH68" s="477">
        <f t="shared" si="38"/>
        <v>0</v>
      </c>
      <c r="BI68" s="572" t="str">
        <f t="shared" si="28"/>
        <v>-</v>
      </c>
      <c r="BJ68" s="572" t="str">
        <f t="shared" si="39"/>
        <v>-</v>
      </c>
      <c r="BK68" s="572" t="str">
        <f t="shared" si="40"/>
        <v>-</v>
      </c>
      <c r="BL68" s="572" t="str">
        <f t="shared" si="41"/>
        <v>-</v>
      </c>
      <c r="BM68" s="574" t="str">
        <f t="shared" si="29"/>
        <v>-</v>
      </c>
    </row>
    <row r="69" spans="9:65" x14ac:dyDescent="0.25">
      <c r="I69" s="474" t="s">
        <v>822</v>
      </c>
      <c r="J69" s="475" t="s">
        <v>843</v>
      </c>
      <c r="K69" s="473">
        <v>13.7</v>
      </c>
      <c r="L69" s="476"/>
      <c r="M69" s="476" t="str">
        <f t="shared" si="42"/>
        <v>Heavy Oil</v>
      </c>
      <c r="N69" s="478">
        <f t="shared" si="30"/>
        <v>253.41187670697005</v>
      </c>
      <c r="O69" s="567">
        <f t="shared" si="47"/>
        <v>0</v>
      </c>
      <c r="P69" s="584">
        <f t="shared" si="48"/>
        <v>0</v>
      </c>
      <c r="Q69" s="584">
        <f t="shared" si="49"/>
        <v>0</v>
      </c>
      <c r="R69" s="477">
        <f t="shared" si="50"/>
        <v>0</v>
      </c>
      <c r="S69" s="477">
        <f t="shared" si="51"/>
        <v>0</v>
      </c>
      <c r="T69" s="477">
        <f t="shared" si="52"/>
        <v>0</v>
      </c>
      <c r="U69" s="477">
        <f t="shared" si="53"/>
        <v>0</v>
      </c>
      <c r="V69" s="477">
        <f t="shared" si="54"/>
        <v>0</v>
      </c>
      <c r="W69" s="572" t="str">
        <f t="shared" si="55"/>
        <v>-</v>
      </c>
      <c r="X69" s="572" t="str">
        <f t="shared" si="56"/>
        <v>-</v>
      </c>
      <c r="Y69" s="572" t="str">
        <f t="shared" si="57"/>
        <v>-</v>
      </c>
      <c r="Z69" s="572" t="str">
        <f t="shared" si="58"/>
        <v>-</v>
      </c>
      <c r="AA69" s="574" t="str">
        <f t="shared" si="59"/>
        <v>-</v>
      </c>
      <c r="AC69" s="289"/>
      <c r="AU69" s="474" t="str">
        <f t="shared" si="43"/>
        <v>Llanos Orientales</v>
      </c>
      <c r="AV69" s="475" t="str">
        <f t="shared" si="44"/>
        <v>Castilla (c, e, n, n)</v>
      </c>
      <c r="AW69" s="473">
        <f t="shared" si="45"/>
        <v>13.7</v>
      </c>
      <c r="AX69" s="476">
        <f t="shared" si="60"/>
        <v>0</v>
      </c>
      <c r="AY69" s="476" t="str">
        <f t="shared" si="46"/>
        <v>Heavy Oil</v>
      </c>
      <c r="AZ69" s="478">
        <f t="shared" si="31"/>
        <v>253.41187670697005</v>
      </c>
      <c r="BA69" s="567">
        <f t="shared" si="32"/>
        <v>0</v>
      </c>
      <c r="BB69" s="584">
        <f t="shared" si="33"/>
        <v>0</v>
      </c>
      <c r="BC69" s="584">
        <f t="shared" si="34"/>
        <v>0</v>
      </c>
      <c r="BD69" s="477">
        <f t="shared" si="27"/>
        <v>0</v>
      </c>
      <c r="BE69" s="477">
        <f t="shared" si="35"/>
        <v>0</v>
      </c>
      <c r="BF69" s="477">
        <f t="shared" si="36"/>
        <v>0</v>
      </c>
      <c r="BG69" s="477">
        <f t="shared" si="37"/>
        <v>0</v>
      </c>
      <c r="BH69" s="477">
        <f t="shared" si="38"/>
        <v>0</v>
      </c>
      <c r="BI69" s="572" t="str">
        <f t="shared" si="28"/>
        <v>-</v>
      </c>
      <c r="BJ69" s="572" t="str">
        <f t="shared" si="39"/>
        <v>-</v>
      </c>
      <c r="BK69" s="572" t="str">
        <f t="shared" si="40"/>
        <v>-</v>
      </c>
      <c r="BL69" s="572" t="str">
        <f t="shared" si="41"/>
        <v>-</v>
      </c>
      <c r="BM69" s="574" t="str">
        <f t="shared" si="29"/>
        <v>-</v>
      </c>
    </row>
    <row r="70" spans="9:65" x14ac:dyDescent="0.25">
      <c r="I70" s="474" t="s">
        <v>822</v>
      </c>
      <c r="J70" s="475" t="s">
        <v>845</v>
      </c>
      <c r="K70" s="473">
        <f>7+(20-7)/2</f>
        <v>13.5</v>
      </c>
      <c r="L70" s="476"/>
      <c r="M70" s="476" t="str">
        <f t="shared" si="42"/>
        <v>Heavy Oil</v>
      </c>
      <c r="N70" s="478">
        <f t="shared" si="30"/>
        <v>153.50718826671843</v>
      </c>
      <c r="O70" s="567">
        <f t="shared" si="47"/>
        <v>1.3978936722236606</v>
      </c>
      <c r="P70" s="584">
        <f t="shared" si="48"/>
        <v>9.1063727243497102E-3</v>
      </c>
      <c r="Q70" s="584">
        <f t="shared" si="49"/>
        <v>0</v>
      </c>
      <c r="R70" s="477">
        <f t="shared" si="50"/>
        <v>0.32109980889709927</v>
      </c>
      <c r="S70" s="477">
        <f t="shared" si="51"/>
        <v>1.0767938633265612</v>
      </c>
      <c r="T70" s="477">
        <f t="shared" si="52"/>
        <v>0</v>
      </c>
      <c r="U70" s="477">
        <f t="shared" si="53"/>
        <v>0</v>
      </c>
      <c r="V70" s="477">
        <f t="shared" si="54"/>
        <v>0</v>
      </c>
      <c r="W70" s="572">
        <f t="shared" si="55"/>
        <v>0.22970259847182703</v>
      </c>
      <c r="X70" s="572">
        <f t="shared" si="56"/>
        <v>0.77029740152817294</v>
      </c>
      <c r="Y70" s="572">
        <f t="shared" si="57"/>
        <v>0</v>
      </c>
      <c r="Z70" s="572">
        <f t="shared" si="58"/>
        <v>0</v>
      </c>
      <c r="AA70" s="574" t="str">
        <f t="shared" si="59"/>
        <v>-</v>
      </c>
      <c r="AC70" s="289"/>
      <c r="AU70" s="474" t="str">
        <f t="shared" si="43"/>
        <v>Llanos Orientales</v>
      </c>
      <c r="AV70" s="475" t="str">
        <f t="shared" si="44"/>
        <v>Chichimene</v>
      </c>
      <c r="AW70" s="473">
        <f t="shared" si="45"/>
        <v>13.5</v>
      </c>
      <c r="AX70" s="476">
        <f t="shared" si="60"/>
        <v>0</v>
      </c>
      <c r="AY70" s="476" t="str">
        <f t="shared" si="46"/>
        <v>Heavy Oil</v>
      </c>
      <c r="AZ70" s="478">
        <f t="shared" si="31"/>
        <v>153.50718826671843</v>
      </c>
      <c r="BA70" s="567">
        <f t="shared" si="32"/>
        <v>1.3978936722236606</v>
      </c>
      <c r="BB70" s="584">
        <f t="shared" si="33"/>
        <v>9.1063727243497102E-3</v>
      </c>
      <c r="BC70" s="584">
        <f t="shared" si="34"/>
        <v>0</v>
      </c>
      <c r="BD70" s="477">
        <f t="shared" si="27"/>
        <v>0.32109980889709927</v>
      </c>
      <c r="BE70" s="477">
        <f t="shared" si="35"/>
        <v>1.0767938633265612</v>
      </c>
      <c r="BF70" s="477">
        <f t="shared" si="36"/>
        <v>0</v>
      </c>
      <c r="BG70" s="477">
        <f t="shared" si="37"/>
        <v>0</v>
      </c>
      <c r="BH70" s="477">
        <f t="shared" si="38"/>
        <v>0</v>
      </c>
      <c r="BI70" s="572">
        <f t="shared" si="28"/>
        <v>0.22970259847182703</v>
      </c>
      <c r="BJ70" s="572">
        <f t="shared" si="39"/>
        <v>0.77029740152817294</v>
      </c>
      <c r="BK70" s="572">
        <f t="shared" si="40"/>
        <v>0</v>
      </c>
      <c r="BL70" s="572">
        <f t="shared" si="41"/>
        <v>0</v>
      </c>
      <c r="BM70" s="574" t="str">
        <f t="shared" si="29"/>
        <v>-</v>
      </c>
    </row>
    <row r="71" spans="9:65" x14ac:dyDescent="0.25">
      <c r="I71" s="474" t="s">
        <v>822</v>
      </c>
      <c r="J71" s="475" t="s">
        <v>846</v>
      </c>
      <c r="K71" s="473">
        <v>8</v>
      </c>
      <c r="L71" s="476"/>
      <c r="M71" s="476" t="str">
        <f t="shared" si="42"/>
        <v>Heavy Oil</v>
      </c>
      <c r="N71" s="478">
        <f t="shared" si="30"/>
        <v>43.895597705669182</v>
      </c>
      <c r="O71" s="567">
        <f t="shared" si="47"/>
        <v>0.21448045777585595</v>
      </c>
      <c r="P71" s="584">
        <f t="shared" si="48"/>
        <v>4.8861496137722138E-3</v>
      </c>
      <c r="Q71" s="584">
        <f t="shared" si="49"/>
        <v>0</v>
      </c>
      <c r="R71" s="477">
        <f t="shared" si="50"/>
        <v>0</v>
      </c>
      <c r="S71" s="477">
        <f t="shared" si="51"/>
        <v>0.21448045777585595</v>
      </c>
      <c r="T71" s="477">
        <f t="shared" si="52"/>
        <v>0</v>
      </c>
      <c r="U71" s="477">
        <f t="shared" si="53"/>
        <v>0</v>
      </c>
      <c r="V71" s="477">
        <f t="shared" si="54"/>
        <v>0</v>
      </c>
      <c r="W71" s="572">
        <f t="shared" si="55"/>
        <v>0</v>
      </c>
      <c r="X71" s="572">
        <f t="shared" si="56"/>
        <v>1</v>
      </c>
      <c r="Y71" s="572">
        <f t="shared" si="57"/>
        <v>0</v>
      </c>
      <c r="Z71" s="572">
        <f t="shared" si="58"/>
        <v>0</v>
      </c>
      <c r="AA71" s="574" t="str">
        <f t="shared" si="59"/>
        <v>-</v>
      </c>
      <c r="AC71" s="289"/>
      <c r="AU71" s="474" t="str">
        <f t="shared" si="43"/>
        <v>Llanos Orientales</v>
      </c>
      <c r="AV71" s="475" t="str">
        <f t="shared" si="44"/>
        <v>Akacias</v>
      </c>
      <c r="AW71" s="473">
        <f t="shared" si="45"/>
        <v>8</v>
      </c>
      <c r="AX71" s="476">
        <f t="shared" si="60"/>
        <v>0</v>
      </c>
      <c r="AY71" s="476" t="str">
        <f t="shared" si="46"/>
        <v>Heavy Oil</v>
      </c>
      <c r="AZ71" s="478">
        <f t="shared" si="31"/>
        <v>43.895597705669182</v>
      </c>
      <c r="BA71" s="567">
        <f t="shared" si="32"/>
        <v>0.21448045777585595</v>
      </c>
      <c r="BB71" s="584">
        <f t="shared" si="33"/>
        <v>4.8861496137722138E-3</v>
      </c>
      <c r="BC71" s="584">
        <f t="shared" si="34"/>
        <v>0</v>
      </c>
      <c r="BD71" s="477">
        <f t="shared" si="27"/>
        <v>0</v>
      </c>
      <c r="BE71" s="477">
        <f t="shared" si="35"/>
        <v>0.21448045777585595</v>
      </c>
      <c r="BF71" s="477">
        <f t="shared" si="36"/>
        <v>0</v>
      </c>
      <c r="BG71" s="477">
        <f t="shared" si="37"/>
        <v>0</v>
      </c>
      <c r="BH71" s="477">
        <f t="shared" si="38"/>
        <v>0</v>
      </c>
      <c r="BI71" s="572">
        <f t="shared" si="28"/>
        <v>0</v>
      </c>
      <c r="BJ71" s="572">
        <f t="shared" si="39"/>
        <v>1</v>
      </c>
      <c r="BK71" s="572">
        <f t="shared" si="40"/>
        <v>0</v>
      </c>
      <c r="BL71" s="572">
        <f t="shared" si="41"/>
        <v>0</v>
      </c>
      <c r="BM71" s="574" t="str">
        <f t="shared" si="29"/>
        <v>-</v>
      </c>
    </row>
    <row r="72" spans="9:65" x14ac:dyDescent="0.25">
      <c r="I72" s="474" t="s">
        <v>822</v>
      </c>
      <c r="J72" s="475" t="s">
        <v>848</v>
      </c>
      <c r="K72" s="473">
        <v>13.5</v>
      </c>
      <c r="L72" s="476"/>
      <c r="M72" s="476" t="str">
        <f t="shared" si="42"/>
        <v>Heavy Oil</v>
      </c>
      <c r="N72" s="478">
        <f t="shared" si="30"/>
        <v>3.2805677744000978</v>
      </c>
      <c r="O72" s="567">
        <f t="shared" si="47"/>
        <v>8.7791106651863626E-2</v>
      </c>
      <c r="P72" s="584">
        <f t="shared" si="48"/>
        <v>2.6760948923823889E-2</v>
      </c>
      <c r="Q72" s="584">
        <f t="shared" si="49"/>
        <v>0</v>
      </c>
      <c r="R72" s="477">
        <f t="shared" si="50"/>
        <v>3.6990181091585597E-2</v>
      </c>
      <c r="S72" s="477">
        <f t="shared" si="51"/>
        <v>5.0800925560278022E-2</v>
      </c>
      <c r="T72" s="477">
        <f t="shared" si="52"/>
        <v>0</v>
      </c>
      <c r="U72" s="477">
        <f t="shared" si="53"/>
        <v>0</v>
      </c>
      <c r="V72" s="477">
        <f t="shared" si="54"/>
        <v>0</v>
      </c>
      <c r="W72" s="572">
        <f t="shared" si="55"/>
        <v>0.42134314627414909</v>
      </c>
      <c r="X72" s="572">
        <f t="shared" si="56"/>
        <v>0.57865685372585085</v>
      </c>
      <c r="Y72" s="572">
        <f t="shared" si="57"/>
        <v>0</v>
      </c>
      <c r="Z72" s="572">
        <f t="shared" si="58"/>
        <v>0</v>
      </c>
      <c r="AA72" s="574" t="str">
        <f t="shared" si="59"/>
        <v>-</v>
      </c>
      <c r="AC72" s="289"/>
      <c r="AU72" s="474" t="str">
        <f t="shared" si="43"/>
        <v>Llanos Orientales</v>
      </c>
      <c r="AV72" s="475" t="str">
        <f t="shared" si="44"/>
        <v>Apiay</v>
      </c>
      <c r="AW72" s="473">
        <f t="shared" si="45"/>
        <v>13.5</v>
      </c>
      <c r="AX72" s="476">
        <f t="shared" si="60"/>
        <v>0</v>
      </c>
      <c r="AY72" s="476" t="str">
        <f t="shared" si="46"/>
        <v>Heavy Oil</v>
      </c>
      <c r="AZ72" s="478">
        <f t="shared" si="31"/>
        <v>3.2805677744000978</v>
      </c>
      <c r="BA72" s="567">
        <f t="shared" si="32"/>
        <v>8.7791106651863626E-2</v>
      </c>
      <c r="BB72" s="584">
        <f t="shared" si="33"/>
        <v>2.6760948923823889E-2</v>
      </c>
      <c r="BC72" s="584">
        <f t="shared" si="34"/>
        <v>0</v>
      </c>
      <c r="BD72" s="477">
        <f t="shared" si="27"/>
        <v>3.6990181091585597E-2</v>
      </c>
      <c r="BE72" s="477">
        <f t="shared" si="35"/>
        <v>5.0800925560278022E-2</v>
      </c>
      <c r="BF72" s="477">
        <f t="shared" si="36"/>
        <v>0</v>
      </c>
      <c r="BG72" s="477">
        <f t="shared" si="37"/>
        <v>0</v>
      </c>
      <c r="BH72" s="477">
        <f t="shared" si="38"/>
        <v>0</v>
      </c>
      <c r="BI72" s="572">
        <f t="shared" si="28"/>
        <v>0.42134314627414909</v>
      </c>
      <c r="BJ72" s="572">
        <f t="shared" si="39"/>
        <v>0.57865685372585085</v>
      </c>
      <c r="BK72" s="572">
        <f t="shared" si="40"/>
        <v>0</v>
      </c>
      <c r="BL72" s="572">
        <f t="shared" si="41"/>
        <v>0</v>
      </c>
      <c r="BM72" s="574" t="str">
        <f t="shared" si="29"/>
        <v>-</v>
      </c>
    </row>
    <row r="73" spans="9:65" x14ac:dyDescent="0.25">
      <c r="I73" s="474" t="s">
        <v>852</v>
      </c>
      <c r="J73" s="475" t="s">
        <v>851</v>
      </c>
      <c r="K73" s="473">
        <v>35</v>
      </c>
      <c r="L73" s="476"/>
      <c r="M73" s="476" t="str">
        <f t="shared" si="42"/>
        <v>Light Oil</v>
      </c>
      <c r="N73" s="478">
        <f t="shared" si="30"/>
        <v>4.3593517548323124</v>
      </c>
      <c r="O73" s="567">
        <f t="shared" si="47"/>
        <v>1.2759391450439788</v>
      </c>
      <c r="P73" s="584">
        <f t="shared" si="48"/>
        <v>0.29269011009024648</v>
      </c>
      <c r="Q73" s="584">
        <f t="shared" si="49"/>
        <v>0</v>
      </c>
      <c r="R73" s="477">
        <f t="shared" si="50"/>
        <v>0</v>
      </c>
      <c r="S73" s="477">
        <f t="shared" si="51"/>
        <v>1.2759391450439788</v>
      </c>
      <c r="T73" s="477">
        <f t="shared" si="52"/>
        <v>0</v>
      </c>
      <c r="U73" s="477">
        <f t="shared" si="53"/>
        <v>0</v>
      </c>
      <c r="V73" s="477">
        <f t="shared" si="54"/>
        <v>0</v>
      </c>
      <c r="W73" s="572">
        <f t="shared" si="55"/>
        <v>0</v>
      </c>
      <c r="X73" s="572">
        <f t="shared" si="56"/>
        <v>1</v>
      </c>
      <c r="Y73" s="572">
        <f t="shared" si="57"/>
        <v>0</v>
      </c>
      <c r="Z73" s="572">
        <f t="shared" si="58"/>
        <v>0</v>
      </c>
      <c r="AA73" s="574" t="str">
        <f t="shared" si="59"/>
        <v>-</v>
      </c>
      <c r="AC73" s="289"/>
      <c r="AU73" s="474" t="str">
        <f t="shared" si="43"/>
        <v>Putumayo</v>
      </c>
      <c r="AV73" s="475" t="str">
        <f t="shared" si="44"/>
        <v>Orito</v>
      </c>
      <c r="AW73" s="473">
        <f t="shared" si="45"/>
        <v>35</v>
      </c>
      <c r="AX73" s="476">
        <f t="shared" si="60"/>
        <v>0</v>
      </c>
      <c r="AY73" s="476" t="str">
        <f t="shared" si="46"/>
        <v>Light Oil</v>
      </c>
      <c r="AZ73" s="478">
        <f t="shared" si="31"/>
        <v>4.3593517548323124</v>
      </c>
      <c r="BA73" s="567">
        <f t="shared" si="32"/>
        <v>1.2759391450439788</v>
      </c>
      <c r="BB73" s="584">
        <f t="shared" si="33"/>
        <v>0.29269011009024648</v>
      </c>
      <c r="BC73" s="584">
        <f t="shared" si="34"/>
        <v>0</v>
      </c>
      <c r="BD73" s="477">
        <f t="shared" si="27"/>
        <v>0</v>
      </c>
      <c r="BE73" s="477">
        <f t="shared" si="35"/>
        <v>1.2759391450439788</v>
      </c>
      <c r="BF73" s="477">
        <f t="shared" si="36"/>
        <v>0</v>
      </c>
      <c r="BG73" s="477">
        <f t="shared" si="37"/>
        <v>0</v>
      </c>
      <c r="BH73" s="477">
        <f t="shared" si="38"/>
        <v>0</v>
      </c>
      <c r="BI73" s="572">
        <f t="shared" si="28"/>
        <v>0</v>
      </c>
      <c r="BJ73" s="572">
        <f t="shared" si="39"/>
        <v>1</v>
      </c>
      <c r="BK73" s="572">
        <f t="shared" si="40"/>
        <v>0</v>
      </c>
      <c r="BL73" s="572">
        <f t="shared" si="41"/>
        <v>0</v>
      </c>
      <c r="BM73" s="574" t="str">
        <f t="shared" si="29"/>
        <v>-</v>
      </c>
    </row>
    <row r="74" spans="9:65" x14ac:dyDescent="0.25">
      <c r="I74" s="474" t="s">
        <v>817</v>
      </c>
      <c r="J74" s="475" t="s">
        <v>818</v>
      </c>
      <c r="K74" s="473">
        <v>21</v>
      </c>
      <c r="L74" s="476"/>
      <c r="M74" s="476" t="str">
        <f t="shared" si="42"/>
        <v>Medium Oil</v>
      </c>
      <c r="N74" s="478">
        <f t="shared" si="30"/>
        <v>26.927100382560717</v>
      </c>
      <c r="O74" s="567">
        <f t="shared" si="47"/>
        <v>0.43827912983870243</v>
      </c>
      <c r="P74" s="584">
        <f t="shared" si="48"/>
        <v>1.6276506701870991E-2</v>
      </c>
      <c r="Q74" s="584">
        <f t="shared" si="49"/>
        <v>0</v>
      </c>
      <c r="R74" s="477">
        <f t="shared" si="50"/>
        <v>0.35206293264379496</v>
      </c>
      <c r="S74" s="477">
        <f t="shared" si="51"/>
        <v>8.621619719490746E-2</v>
      </c>
      <c r="T74" s="477">
        <f t="shared" si="52"/>
        <v>0</v>
      </c>
      <c r="U74" s="477">
        <f t="shared" si="53"/>
        <v>0</v>
      </c>
      <c r="V74" s="477">
        <f t="shared" si="54"/>
        <v>0</v>
      </c>
      <c r="W74" s="572">
        <f t="shared" si="55"/>
        <v>0.8032847303803009</v>
      </c>
      <c r="X74" s="572">
        <f t="shared" si="56"/>
        <v>0.1967152696196991</v>
      </c>
      <c r="Y74" s="572">
        <f t="shared" si="57"/>
        <v>0</v>
      </c>
      <c r="Z74" s="572">
        <f t="shared" si="58"/>
        <v>0</v>
      </c>
      <c r="AA74" s="574" t="str">
        <f t="shared" si="59"/>
        <v>-</v>
      </c>
      <c r="AC74" s="289"/>
      <c r="AU74" s="474" t="str">
        <f t="shared" si="43"/>
        <v>VMM</v>
      </c>
      <c r="AV74" s="475" t="str">
        <f t="shared" si="44"/>
        <v>Casabe</v>
      </c>
      <c r="AW74" s="473">
        <f t="shared" si="45"/>
        <v>21</v>
      </c>
      <c r="AX74" s="476">
        <f t="shared" si="60"/>
        <v>0</v>
      </c>
      <c r="AY74" s="476" t="str">
        <f t="shared" si="46"/>
        <v>Medium Oil</v>
      </c>
      <c r="AZ74" s="478">
        <f t="shared" si="31"/>
        <v>26.927100382560717</v>
      </c>
      <c r="BA74" s="567">
        <f t="shared" si="32"/>
        <v>0.43827912983870243</v>
      </c>
      <c r="BB74" s="584">
        <f t="shared" si="33"/>
        <v>1.6276506701870991E-2</v>
      </c>
      <c r="BC74" s="584">
        <f t="shared" si="34"/>
        <v>0</v>
      </c>
      <c r="BD74" s="477">
        <f t="shared" si="27"/>
        <v>0.35206293264379496</v>
      </c>
      <c r="BE74" s="477">
        <f t="shared" si="35"/>
        <v>8.621619719490746E-2</v>
      </c>
      <c r="BF74" s="477">
        <f t="shared" si="36"/>
        <v>0</v>
      </c>
      <c r="BG74" s="477">
        <f t="shared" si="37"/>
        <v>0</v>
      </c>
      <c r="BH74" s="477">
        <f t="shared" si="38"/>
        <v>0</v>
      </c>
      <c r="BI74" s="572">
        <f t="shared" si="28"/>
        <v>0.8032847303803009</v>
      </c>
      <c r="BJ74" s="572">
        <f t="shared" si="39"/>
        <v>0.1967152696196991</v>
      </c>
      <c r="BK74" s="572">
        <f t="shared" si="40"/>
        <v>0</v>
      </c>
      <c r="BL74" s="572">
        <f t="shared" si="41"/>
        <v>0</v>
      </c>
      <c r="BM74" s="574" t="str">
        <f t="shared" si="29"/>
        <v>-</v>
      </c>
    </row>
    <row r="75" spans="9:65" x14ac:dyDescent="0.25">
      <c r="I75" s="474" t="s">
        <v>817</v>
      </c>
      <c r="J75" s="475" t="s">
        <v>820</v>
      </c>
      <c r="K75" s="473">
        <v>12.5</v>
      </c>
      <c r="L75" s="476"/>
      <c r="M75" s="476" t="str">
        <f t="shared" si="42"/>
        <v>Heavy Oil</v>
      </c>
      <c r="N75" s="478">
        <f t="shared" si="30"/>
        <v>3.2805677744000978</v>
      </c>
      <c r="O75" s="567">
        <f t="shared" si="47"/>
        <v>8.7791106651863626E-2</v>
      </c>
      <c r="P75" s="584">
        <f t="shared" si="48"/>
        <v>2.6760948923823889E-2</v>
      </c>
      <c r="Q75" s="584">
        <f t="shared" si="49"/>
        <v>0</v>
      </c>
      <c r="R75" s="477">
        <f t="shared" si="50"/>
        <v>3.6990181091585597E-2</v>
      </c>
      <c r="S75" s="477">
        <f t="shared" si="51"/>
        <v>5.0800925560278022E-2</v>
      </c>
      <c r="T75" s="477">
        <f t="shared" si="52"/>
        <v>0</v>
      </c>
      <c r="U75" s="477">
        <f t="shared" si="53"/>
        <v>0</v>
      </c>
      <c r="V75" s="477">
        <f t="shared" si="54"/>
        <v>0</v>
      </c>
      <c r="W75" s="572">
        <f t="shared" si="55"/>
        <v>0.42134314627414909</v>
      </c>
      <c r="X75" s="572">
        <f t="shared" si="56"/>
        <v>0.57865685372585085</v>
      </c>
      <c r="Y75" s="572">
        <f t="shared" si="57"/>
        <v>0</v>
      </c>
      <c r="Z75" s="572">
        <f t="shared" si="58"/>
        <v>0</v>
      </c>
      <c r="AA75" s="574" t="str">
        <f t="shared" si="59"/>
        <v>-</v>
      </c>
      <c r="AC75" s="289"/>
      <c r="AU75" s="474" t="str">
        <f t="shared" si="43"/>
        <v>VMM</v>
      </c>
      <c r="AV75" s="475" t="str">
        <f t="shared" si="44"/>
        <v>Area Teca-Corcona</v>
      </c>
      <c r="AW75" s="473">
        <f t="shared" si="45"/>
        <v>12.5</v>
      </c>
      <c r="AX75" s="476">
        <f t="shared" si="60"/>
        <v>0</v>
      </c>
      <c r="AY75" s="476" t="str">
        <f t="shared" si="46"/>
        <v>Heavy Oil</v>
      </c>
      <c r="AZ75" s="478">
        <f t="shared" si="31"/>
        <v>3.2805677744000978</v>
      </c>
      <c r="BA75" s="567">
        <f t="shared" si="32"/>
        <v>8.7791106651863626E-2</v>
      </c>
      <c r="BB75" s="584">
        <f t="shared" si="33"/>
        <v>2.6760948923823889E-2</v>
      </c>
      <c r="BC75" s="584">
        <f t="shared" si="34"/>
        <v>0</v>
      </c>
      <c r="BD75" s="477">
        <f t="shared" si="27"/>
        <v>3.6990181091585597E-2</v>
      </c>
      <c r="BE75" s="477">
        <f t="shared" si="35"/>
        <v>5.0800925560278022E-2</v>
      </c>
      <c r="BF75" s="477">
        <f t="shared" si="36"/>
        <v>0</v>
      </c>
      <c r="BG75" s="477">
        <f t="shared" si="37"/>
        <v>0</v>
      </c>
      <c r="BH75" s="477">
        <f t="shared" si="38"/>
        <v>0</v>
      </c>
      <c r="BI75" s="572">
        <f t="shared" si="28"/>
        <v>0.42134314627414909</v>
      </c>
      <c r="BJ75" s="572">
        <f t="shared" si="39"/>
        <v>0.57865685372585085</v>
      </c>
      <c r="BK75" s="572">
        <f t="shared" si="40"/>
        <v>0</v>
      </c>
      <c r="BL75" s="572">
        <f t="shared" si="41"/>
        <v>0</v>
      </c>
      <c r="BM75" s="574" t="str">
        <f t="shared" si="29"/>
        <v>-</v>
      </c>
    </row>
    <row r="76" spans="9:65" x14ac:dyDescent="0.25">
      <c r="I76" s="474" t="s">
        <v>817</v>
      </c>
      <c r="J76" s="475" t="s">
        <v>854</v>
      </c>
      <c r="K76" s="473">
        <v>21</v>
      </c>
      <c r="L76" s="476"/>
      <c r="M76" s="476" t="str">
        <f t="shared" si="42"/>
        <v>Medium Oil</v>
      </c>
      <c r="N76" s="478">
        <f t="shared" si="30"/>
        <v>39.659458817161386</v>
      </c>
      <c r="O76" s="567">
        <f t="shared" si="47"/>
        <v>1.8634611370761611</v>
      </c>
      <c r="P76" s="584">
        <f t="shared" si="48"/>
        <v>4.6986549808133209E-2</v>
      </c>
      <c r="Q76" s="584">
        <f t="shared" si="49"/>
        <v>0.90025257054584151</v>
      </c>
      <c r="R76" s="477">
        <f t="shared" si="50"/>
        <v>0.8853716952922942</v>
      </c>
      <c r="S76" s="477">
        <f t="shared" si="51"/>
        <v>7.7836871238025379E-2</v>
      </c>
      <c r="T76" s="477">
        <f t="shared" si="52"/>
        <v>0</v>
      </c>
      <c r="U76" s="477">
        <f t="shared" si="53"/>
        <v>0</v>
      </c>
      <c r="V76" s="477">
        <f t="shared" si="54"/>
        <v>0.90025257054584151</v>
      </c>
      <c r="W76" s="572">
        <f t="shared" si="55"/>
        <v>0.47512216792536649</v>
      </c>
      <c r="X76" s="572">
        <f t="shared" si="56"/>
        <v>4.1770053417993079E-2</v>
      </c>
      <c r="Y76" s="572">
        <f t="shared" si="57"/>
        <v>0</v>
      </c>
      <c r="Z76" s="572">
        <f t="shared" si="58"/>
        <v>0.4831077786566404</v>
      </c>
      <c r="AA76" s="574" t="str">
        <f t="shared" si="59"/>
        <v>-</v>
      </c>
      <c r="AC76" s="289"/>
      <c r="AU76" s="474" t="str">
        <f t="shared" si="43"/>
        <v>VMM</v>
      </c>
      <c r="AV76" s="475" t="str">
        <f t="shared" si="44"/>
        <v>Yarigui-Cantagallo</v>
      </c>
      <c r="AW76" s="473">
        <f t="shared" si="45"/>
        <v>21</v>
      </c>
      <c r="AX76" s="476">
        <f t="shared" si="60"/>
        <v>0</v>
      </c>
      <c r="AY76" s="476" t="str">
        <f t="shared" si="46"/>
        <v>Medium Oil</v>
      </c>
      <c r="AZ76" s="478">
        <f t="shared" si="31"/>
        <v>39.659458817161386</v>
      </c>
      <c r="BA76" s="567">
        <f t="shared" si="32"/>
        <v>1.8634611370761611</v>
      </c>
      <c r="BB76" s="584">
        <f t="shared" si="33"/>
        <v>4.6986549808133209E-2</v>
      </c>
      <c r="BC76" s="584">
        <f t="shared" si="34"/>
        <v>0.90025257054584151</v>
      </c>
      <c r="BD76" s="477">
        <f t="shared" si="27"/>
        <v>0.8853716952922942</v>
      </c>
      <c r="BE76" s="477">
        <f t="shared" si="35"/>
        <v>7.7836871238025379E-2</v>
      </c>
      <c r="BF76" s="477">
        <f t="shared" si="36"/>
        <v>0</v>
      </c>
      <c r="BG76" s="477">
        <f t="shared" si="37"/>
        <v>0</v>
      </c>
      <c r="BH76" s="477">
        <f t="shared" si="38"/>
        <v>0.90025257054584151</v>
      </c>
      <c r="BI76" s="572">
        <f t="shared" si="28"/>
        <v>0.47512216792536649</v>
      </c>
      <c r="BJ76" s="572">
        <f t="shared" si="39"/>
        <v>4.1770053417993079E-2</v>
      </c>
      <c r="BK76" s="572">
        <f t="shared" si="40"/>
        <v>0</v>
      </c>
      <c r="BL76" s="572">
        <f t="shared" si="41"/>
        <v>0.4831077786566404</v>
      </c>
      <c r="BM76" s="574" t="str">
        <f t="shared" si="29"/>
        <v>-</v>
      </c>
    </row>
    <row r="77" spans="9:65" x14ac:dyDescent="0.25">
      <c r="I77" s="474" t="s">
        <v>817</v>
      </c>
      <c r="J77" s="475" t="s">
        <v>856</v>
      </c>
      <c r="K77" s="473">
        <f>20+(25-20)/2</f>
        <v>22.5</v>
      </c>
      <c r="L77" s="476"/>
      <c r="M77" s="476" t="str">
        <f t="shared" si="42"/>
        <v>Medium Oil</v>
      </c>
      <c r="N77" s="478">
        <f t="shared" si="30"/>
        <v>94.059349180277351</v>
      </c>
      <c r="O77" s="567">
        <f t="shared" si="47"/>
        <v>2.497140090885289</v>
      </c>
      <c r="P77" s="584">
        <f t="shared" si="48"/>
        <v>2.6548558039660525E-2</v>
      </c>
      <c r="Q77" s="584">
        <f t="shared" si="49"/>
        <v>1.3766222989813104</v>
      </c>
      <c r="R77" s="477">
        <f t="shared" si="50"/>
        <v>0.51468242964795996</v>
      </c>
      <c r="S77" s="477">
        <f t="shared" si="51"/>
        <v>0.60583536225601842</v>
      </c>
      <c r="T77" s="477">
        <f t="shared" si="52"/>
        <v>1.3766222989813104</v>
      </c>
      <c r="U77" s="477">
        <f t="shared" si="53"/>
        <v>0</v>
      </c>
      <c r="V77" s="477">
        <f t="shared" si="54"/>
        <v>0</v>
      </c>
      <c r="W77" s="572">
        <f t="shared" si="55"/>
        <v>0.20610875277946228</v>
      </c>
      <c r="X77" s="572">
        <f t="shared" si="56"/>
        <v>0.24261168384879719</v>
      </c>
      <c r="Y77" s="572">
        <f t="shared" si="57"/>
        <v>0.55127956337174044</v>
      </c>
      <c r="Z77" s="572">
        <f t="shared" si="58"/>
        <v>0</v>
      </c>
      <c r="AA77" s="574">
        <f t="shared" si="59"/>
        <v>0</v>
      </c>
      <c r="AC77" s="289"/>
      <c r="AU77" s="474" t="str">
        <f t="shared" si="43"/>
        <v>VMM</v>
      </c>
      <c r="AV77" s="475" t="str">
        <f t="shared" si="44"/>
        <v>La Cira</v>
      </c>
      <c r="AW77" s="473">
        <f t="shared" si="45"/>
        <v>22.5</v>
      </c>
      <c r="AX77" s="476">
        <f t="shared" si="60"/>
        <v>0</v>
      </c>
      <c r="AY77" s="476" t="str">
        <f t="shared" si="46"/>
        <v>Medium Oil</v>
      </c>
      <c r="AZ77" s="478">
        <f t="shared" si="31"/>
        <v>94.059349180277351</v>
      </c>
      <c r="BA77" s="567">
        <f t="shared" si="32"/>
        <v>2.497140090885289</v>
      </c>
      <c r="BB77" s="584">
        <f t="shared" si="33"/>
        <v>2.6548558039660525E-2</v>
      </c>
      <c r="BC77" s="584">
        <f t="shared" si="34"/>
        <v>1.3766222989813104</v>
      </c>
      <c r="BD77" s="477">
        <f t="shared" si="27"/>
        <v>0.51468242964795996</v>
      </c>
      <c r="BE77" s="477">
        <f t="shared" si="35"/>
        <v>0.60583536225601842</v>
      </c>
      <c r="BF77" s="477">
        <f t="shared" si="36"/>
        <v>1.3766222989813104</v>
      </c>
      <c r="BG77" s="477">
        <f t="shared" si="37"/>
        <v>0</v>
      </c>
      <c r="BH77" s="477">
        <f t="shared" si="38"/>
        <v>0</v>
      </c>
      <c r="BI77" s="572">
        <f t="shared" si="28"/>
        <v>0.20610875277946228</v>
      </c>
      <c r="BJ77" s="572">
        <f t="shared" si="39"/>
        <v>0.24261168384879719</v>
      </c>
      <c r="BK77" s="572">
        <f t="shared" si="40"/>
        <v>0.55127956337174044</v>
      </c>
      <c r="BL77" s="572">
        <f t="shared" si="41"/>
        <v>0</v>
      </c>
      <c r="BM77" s="574">
        <f t="shared" si="29"/>
        <v>0</v>
      </c>
    </row>
    <row r="78" spans="9:65" x14ac:dyDescent="0.25">
      <c r="I78" s="474" t="s">
        <v>830</v>
      </c>
      <c r="J78" s="475" t="s">
        <v>831</v>
      </c>
      <c r="K78" s="473">
        <v>23</v>
      </c>
      <c r="L78" s="476"/>
      <c r="M78" s="476" t="str">
        <f t="shared" si="42"/>
        <v>Medium Oil</v>
      </c>
      <c r="N78" s="478">
        <f t="shared" si="30"/>
        <v>10.408512554584734</v>
      </c>
      <c r="O78" s="567">
        <f t="shared" si="47"/>
        <v>0.71025387836690013</v>
      </c>
      <c r="P78" s="584">
        <f t="shared" si="48"/>
        <v>6.8237788506490107E-2</v>
      </c>
      <c r="Q78" s="584">
        <f t="shared" si="49"/>
        <v>0.38201649904628787</v>
      </c>
      <c r="R78" s="477">
        <f t="shared" si="50"/>
        <v>3.8100694170208539E-2</v>
      </c>
      <c r="S78" s="477">
        <f t="shared" si="51"/>
        <v>8.403555333142973E-2</v>
      </c>
      <c r="T78" s="477">
        <f t="shared" si="52"/>
        <v>0.58683549303812432</v>
      </c>
      <c r="U78" s="477">
        <f t="shared" si="53"/>
        <v>0.2061011318189738</v>
      </c>
      <c r="V78" s="477">
        <f t="shared" si="54"/>
        <v>1.2821378271373829E-3</v>
      </c>
      <c r="W78" s="572">
        <f t="shared" si="55"/>
        <v>5.3643767856381398E-2</v>
      </c>
      <c r="X78" s="572">
        <f t="shared" si="56"/>
        <v>0.11831762682472671</v>
      </c>
      <c r="Y78" s="572">
        <f t="shared" si="57"/>
        <v>0.82623342288175328</v>
      </c>
      <c r="Z78" s="572">
        <f t="shared" si="58"/>
        <v>1.8051824371384303E-3</v>
      </c>
      <c r="AA78" s="574">
        <f t="shared" si="59"/>
        <v>0.35120767960363336</v>
      </c>
      <c r="AC78" s="289"/>
      <c r="AU78" s="474" t="str">
        <f t="shared" si="43"/>
        <v>VSM</v>
      </c>
      <c r="AV78" s="475" t="str">
        <f t="shared" si="44"/>
        <v>Dina</v>
      </c>
      <c r="AW78" s="473">
        <f t="shared" si="45"/>
        <v>23</v>
      </c>
      <c r="AX78" s="476">
        <f t="shared" si="60"/>
        <v>0</v>
      </c>
      <c r="AY78" s="476" t="str">
        <f t="shared" si="46"/>
        <v>Medium Oil</v>
      </c>
      <c r="AZ78" s="478">
        <f t="shared" si="31"/>
        <v>10.408512554584734</v>
      </c>
      <c r="BA78" s="567">
        <f t="shared" si="32"/>
        <v>0.71025387836690013</v>
      </c>
      <c r="BB78" s="584">
        <f t="shared" si="33"/>
        <v>6.8237788506490107E-2</v>
      </c>
      <c r="BC78" s="584">
        <f t="shared" si="34"/>
        <v>0.38201649904628787</v>
      </c>
      <c r="BD78" s="477">
        <f t="shared" si="27"/>
        <v>3.8100694170208539E-2</v>
      </c>
      <c r="BE78" s="477">
        <f t="shared" si="35"/>
        <v>8.403555333142973E-2</v>
      </c>
      <c r="BF78" s="477">
        <f t="shared" si="36"/>
        <v>0.58683549303812432</v>
      </c>
      <c r="BG78" s="477">
        <f t="shared" si="37"/>
        <v>0.2061011318189738</v>
      </c>
      <c r="BH78" s="477">
        <f t="shared" si="38"/>
        <v>1.2821378271373829E-3</v>
      </c>
      <c r="BI78" s="572">
        <f t="shared" si="28"/>
        <v>5.3643767856381398E-2</v>
      </c>
      <c r="BJ78" s="572">
        <f t="shared" si="39"/>
        <v>0.11831762682472671</v>
      </c>
      <c r="BK78" s="572">
        <f t="shared" si="40"/>
        <v>0.82623342288175328</v>
      </c>
      <c r="BL78" s="572">
        <f t="shared" si="41"/>
        <v>1.8051824371384303E-3</v>
      </c>
      <c r="BM78" s="574">
        <f t="shared" si="29"/>
        <v>0.35120767960363336</v>
      </c>
    </row>
    <row r="79" spans="9:65" x14ac:dyDescent="0.25">
      <c r="I79" s="474" t="s">
        <v>830</v>
      </c>
      <c r="J79" s="475" t="s">
        <v>833</v>
      </c>
      <c r="K79" s="473">
        <v>25.5</v>
      </c>
      <c r="L79" s="476"/>
      <c r="M79" s="476" t="str">
        <f t="shared" si="42"/>
        <v>Medium Oil</v>
      </c>
      <c r="N79" s="478">
        <f t="shared" si="30"/>
        <v>9.2296903712167389</v>
      </c>
      <c r="O79" s="567">
        <f t="shared" si="47"/>
        <v>0.31949461271981699</v>
      </c>
      <c r="P79" s="584">
        <f t="shared" si="48"/>
        <v>3.4615962168804415E-2</v>
      </c>
      <c r="Q79" s="584">
        <f t="shared" si="49"/>
        <v>0</v>
      </c>
      <c r="R79" s="477">
        <f t="shared" si="50"/>
        <v>0.16765718815173636</v>
      </c>
      <c r="S79" s="477">
        <f t="shared" si="51"/>
        <v>0.15183742456808058</v>
      </c>
      <c r="T79" s="477">
        <f t="shared" si="52"/>
        <v>0</v>
      </c>
      <c r="U79" s="477">
        <f t="shared" si="53"/>
        <v>0</v>
      </c>
      <c r="V79" s="477">
        <f t="shared" si="54"/>
        <v>0</v>
      </c>
      <c r="W79" s="572">
        <f t="shared" si="55"/>
        <v>0.52475748096186048</v>
      </c>
      <c r="X79" s="572">
        <f t="shared" si="56"/>
        <v>0.47524251903813935</v>
      </c>
      <c r="Y79" s="572">
        <f t="shared" si="57"/>
        <v>0</v>
      </c>
      <c r="Z79" s="572">
        <f t="shared" si="58"/>
        <v>0</v>
      </c>
      <c r="AA79" s="574" t="str">
        <f t="shared" si="59"/>
        <v>-</v>
      </c>
      <c r="AC79" s="289"/>
      <c r="AU79" s="474" t="str">
        <f t="shared" si="43"/>
        <v>VSM</v>
      </c>
      <c r="AV79" s="475" t="str">
        <f t="shared" si="44"/>
        <v>San Francisco</v>
      </c>
      <c r="AW79" s="473">
        <f t="shared" si="45"/>
        <v>25.5</v>
      </c>
      <c r="AX79" s="476">
        <f t="shared" si="60"/>
        <v>0</v>
      </c>
      <c r="AY79" s="476" t="str">
        <f t="shared" si="46"/>
        <v>Medium Oil</v>
      </c>
      <c r="AZ79" s="478">
        <f t="shared" si="31"/>
        <v>9.2296903712167389</v>
      </c>
      <c r="BA79" s="567">
        <f t="shared" si="32"/>
        <v>0.31949461271981699</v>
      </c>
      <c r="BB79" s="584">
        <f t="shared" si="33"/>
        <v>3.4615962168804415E-2</v>
      </c>
      <c r="BC79" s="584">
        <f t="shared" si="34"/>
        <v>0</v>
      </c>
      <c r="BD79" s="477">
        <f t="shared" si="27"/>
        <v>0.16765718815173636</v>
      </c>
      <c r="BE79" s="477">
        <f t="shared" si="35"/>
        <v>0.15183742456808058</v>
      </c>
      <c r="BF79" s="477">
        <f t="shared" si="36"/>
        <v>0</v>
      </c>
      <c r="BG79" s="477">
        <f t="shared" si="37"/>
        <v>0</v>
      </c>
      <c r="BH79" s="477">
        <f t="shared" si="38"/>
        <v>0</v>
      </c>
      <c r="BI79" s="572">
        <f t="shared" si="28"/>
        <v>0.52475748096186048</v>
      </c>
      <c r="BJ79" s="572">
        <f t="shared" si="39"/>
        <v>0.47524251903813935</v>
      </c>
      <c r="BK79" s="572">
        <f t="shared" si="40"/>
        <v>0</v>
      </c>
      <c r="BL79" s="572">
        <f t="shared" si="41"/>
        <v>0</v>
      </c>
      <c r="BM79" s="574" t="str">
        <f t="shared" si="29"/>
        <v>-</v>
      </c>
    </row>
    <row r="80" spans="9:65" x14ac:dyDescent="0.25">
      <c r="I80" s="474" t="s">
        <v>830</v>
      </c>
      <c r="J80" s="475" t="s">
        <v>835</v>
      </c>
      <c r="K80" s="473">
        <v>21</v>
      </c>
      <c r="L80" s="476"/>
      <c r="M80" s="476" t="str">
        <f t="shared" si="42"/>
        <v>Medium Oil</v>
      </c>
      <c r="N80" s="478">
        <f t="shared" si="30"/>
        <v>8.7564836170076354</v>
      </c>
      <c r="O80" s="567">
        <f t="shared" si="47"/>
        <v>0.43874352621703561</v>
      </c>
      <c r="P80" s="584">
        <f t="shared" si="48"/>
        <v>5.0104990245726969E-2</v>
      </c>
      <c r="Q80" s="584">
        <f t="shared" si="49"/>
        <v>0.23786180586758954</v>
      </c>
      <c r="R80" s="477">
        <f t="shared" si="50"/>
        <v>0</v>
      </c>
      <c r="S80" s="477">
        <f t="shared" si="51"/>
        <v>5.7140945681870784E-3</v>
      </c>
      <c r="T80" s="477">
        <f t="shared" si="52"/>
        <v>0.4330294316488485</v>
      </c>
      <c r="U80" s="477">
        <f t="shared" si="53"/>
        <v>0.19516762578125896</v>
      </c>
      <c r="V80" s="477">
        <f t="shared" si="54"/>
        <v>0</v>
      </c>
      <c r="W80" s="572">
        <f t="shared" si="55"/>
        <v>0</v>
      </c>
      <c r="X80" s="572">
        <f t="shared" si="56"/>
        <v>1.302376952990175E-2</v>
      </c>
      <c r="Y80" s="572">
        <f t="shared" si="57"/>
        <v>0.98697623047009819</v>
      </c>
      <c r="Z80" s="572">
        <f t="shared" si="58"/>
        <v>0</v>
      </c>
      <c r="AA80" s="574">
        <f t="shared" si="59"/>
        <v>0.4507029118970462</v>
      </c>
      <c r="AC80" s="289"/>
      <c r="AU80" s="474" t="str">
        <f t="shared" si="43"/>
        <v>VSM</v>
      </c>
      <c r="AV80" s="475" t="str">
        <f t="shared" si="44"/>
        <v>Tello</v>
      </c>
      <c r="AW80" s="473">
        <f t="shared" si="45"/>
        <v>21</v>
      </c>
      <c r="AX80" s="476">
        <f t="shared" si="60"/>
        <v>0</v>
      </c>
      <c r="AY80" s="476" t="str">
        <f t="shared" si="46"/>
        <v>Medium Oil</v>
      </c>
      <c r="AZ80" s="478">
        <f t="shared" si="31"/>
        <v>8.7564836170076354</v>
      </c>
      <c r="BA80" s="567">
        <f t="shared" si="32"/>
        <v>0.43874352621703561</v>
      </c>
      <c r="BB80" s="584">
        <f t="shared" si="33"/>
        <v>5.0104990245726969E-2</v>
      </c>
      <c r="BC80" s="584">
        <f t="shared" si="34"/>
        <v>0.23786180586758954</v>
      </c>
      <c r="BD80" s="477">
        <f t="shared" si="27"/>
        <v>0</v>
      </c>
      <c r="BE80" s="477">
        <f t="shared" si="35"/>
        <v>5.7140945681870784E-3</v>
      </c>
      <c r="BF80" s="477">
        <f t="shared" si="36"/>
        <v>0.4330294316488485</v>
      </c>
      <c r="BG80" s="477">
        <f t="shared" si="37"/>
        <v>0.19516762578125896</v>
      </c>
      <c r="BH80" s="477">
        <f t="shared" si="38"/>
        <v>0</v>
      </c>
      <c r="BI80" s="572">
        <f t="shared" si="28"/>
        <v>0</v>
      </c>
      <c r="BJ80" s="572">
        <f t="shared" si="39"/>
        <v>1.302376952990175E-2</v>
      </c>
      <c r="BK80" s="572">
        <f t="shared" si="40"/>
        <v>0.98697623047009819</v>
      </c>
      <c r="BL80" s="572">
        <f t="shared" si="41"/>
        <v>0</v>
      </c>
      <c r="BM80" s="574">
        <f t="shared" si="29"/>
        <v>0.4507029118970462</v>
      </c>
    </row>
    <row r="81" spans="10:29" x14ac:dyDescent="0.25">
      <c r="J81" s="580"/>
      <c r="K81" s="577"/>
      <c r="L81" s="320"/>
      <c r="M81" s="320"/>
      <c r="N81" s="579"/>
      <c r="O81" s="581"/>
      <c r="P81" s="597"/>
      <c r="Q81" s="597"/>
      <c r="R81" s="578"/>
      <c r="S81" s="578"/>
      <c r="T81" s="578"/>
      <c r="U81" s="578"/>
      <c r="V81" s="578"/>
      <c r="W81" s="598"/>
      <c r="X81" s="598"/>
      <c r="Y81" s="598"/>
      <c r="Z81" s="598"/>
      <c r="AA81" s="599"/>
      <c r="AC81" s="289"/>
    </row>
    <row r="82" spans="10:29" x14ac:dyDescent="0.25">
      <c r="J82" s="580"/>
      <c r="K82" s="577"/>
      <c r="L82" s="320"/>
      <c r="M82" s="320"/>
      <c r="N82" s="579"/>
      <c r="O82" s="581"/>
      <c r="P82" s="597"/>
      <c r="Q82" s="597"/>
      <c r="R82" s="578"/>
      <c r="S82" s="578"/>
      <c r="T82" s="578"/>
      <c r="U82" s="578"/>
      <c r="V82" s="578"/>
      <c r="W82" s="598"/>
      <c r="X82" s="598"/>
      <c r="Y82" s="598"/>
      <c r="Z82" s="598"/>
      <c r="AA82" s="599"/>
      <c r="AC82" s="289"/>
    </row>
    <row r="83" spans="10:29" x14ac:dyDescent="0.25">
      <c r="J83" s="580"/>
      <c r="K83" s="577"/>
      <c r="L83" s="320"/>
      <c r="M83" s="320"/>
      <c r="N83" s="579"/>
      <c r="O83" s="581"/>
      <c r="P83" s="597"/>
      <c r="Q83" s="597"/>
      <c r="R83" s="578"/>
      <c r="S83" s="578"/>
      <c r="T83" s="578"/>
      <c r="U83" s="578"/>
      <c r="V83" s="578"/>
      <c r="W83" s="598"/>
      <c r="X83" s="598"/>
      <c r="Y83" s="598"/>
      <c r="Z83" s="598"/>
      <c r="AA83" s="599"/>
      <c r="AC83" s="289"/>
    </row>
    <row r="87" spans="10:29" x14ac:dyDescent="0.25">
      <c r="R87" s="653" t="s">
        <v>1035</v>
      </c>
      <c r="S87" s="653"/>
      <c r="T87" s="653"/>
      <c r="U87" s="653"/>
      <c r="V87" s="653"/>
      <c r="W87" s="652" t="s">
        <v>1032</v>
      </c>
      <c r="X87" s="652"/>
      <c r="Y87" s="652"/>
      <c r="Z87" s="652"/>
      <c r="AA87" s="575" t="s">
        <v>1033</v>
      </c>
    </row>
    <row r="88" spans="10:29" x14ac:dyDescent="0.25">
      <c r="N88" s="486" t="s">
        <v>9</v>
      </c>
      <c r="O88" s="486" t="s">
        <v>9</v>
      </c>
      <c r="P88" s="582" t="s">
        <v>9</v>
      </c>
      <c r="Q88" s="582" t="s">
        <v>9</v>
      </c>
      <c r="R88" s="568" t="s">
        <v>9</v>
      </c>
      <c r="S88" s="568" t="s">
        <v>9</v>
      </c>
      <c r="T88" s="568" t="s">
        <v>9</v>
      </c>
      <c r="U88" s="568" t="s">
        <v>9</v>
      </c>
      <c r="V88" s="568" t="s">
        <v>9</v>
      </c>
      <c r="W88" s="570" t="s">
        <v>930</v>
      </c>
      <c r="X88" s="570" t="s">
        <v>930</v>
      </c>
      <c r="Y88" s="570" t="s">
        <v>930</v>
      </c>
      <c r="Z88" s="570" t="s">
        <v>930</v>
      </c>
      <c r="AA88" s="270" t="s">
        <v>930</v>
      </c>
    </row>
    <row r="89" spans="10:29" ht="40.5" x14ac:dyDescent="0.25">
      <c r="J89" s="586" t="s">
        <v>798</v>
      </c>
      <c r="K89" s="586" t="s">
        <v>1036</v>
      </c>
      <c r="L89" s="586" t="s">
        <v>934</v>
      </c>
      <c r="M89" s="586" t="str">
        <f>+M61</f>
        <v>Doesn't Apply</v>
      </c>
      <c r="N89" s="586" t="s">
        <v>813</v>
      </c>
      <c r="O89" s="586" t="s">
        <v>814</v>
      </c>
      <c r="P89" s="587" t="s">
        <v>1034</v>
      </c>
      <c r="Q89" s="587" t="s">
        <v>804</v>
      </c>
      <c r="R89" s="588" t="s">
        <v>808</v>
      </c>
      <c r="S89" s="588" t="s">
        <v>809</v>
      </c>
      <c r="T89" s="588" t="s">
        <v>810</v>
      </c>
      <c r="U89" s="588" t="s">
        <v>811</v>
      </c>
      <c r="V89" s="588" t="s">
        <v>812</v>
      </c>
      <c r="W89" s="589" t="s">
        <v>808</v>
      </c>
      <c r="X89" s="589" t="s">
        <v>809</v>
      </c>
      <c r="Y89" s="589" t="s">
        <v>810</v>
      </c>
      <c r="Z89" s="589" t="s">
        <v>812</v>
      </c>
      <c r="AA89" s="590" t="s">
        <v>811</v>
      </c>
    </row>
    <row r="90" spans="10:29" ht="15.75" x14ac:dyDescent="0.25">
      <c r="J90" s="155" t="s">
        <v>837</v>
      </c>
      <c r="K90" s="155" t="s">
        <v>1029</v>
      </c>
      <c r="L90" s="591" t="s">
        <v>57</v>
      </c>
      <c r="M90" s="592" t="s">
        <v>1043</v>
      </c>
      <c r="N90" s="593">
        <f t="shared" ref="N90:V102" si="61">+SUMIFS(N$61:N$80,$I$61:$I$80,$J90,$M$61:$M$80,$K90)</f>
        <v>0</v>
      </c>
      <c r="O90" s="593">
        <f t="shared" si="61"/>
        <v>68.585731940983607</v>
      </c>
      <c r="P90" s="594">
        <f t="shared" si="61"/>
        <v>0</v>
      </c>
      <c r="Q90" s="594">
        <f t="shared" si="61"/>
        <v>66.042848806832495</v>
      </c>
      <c r="R90" s="595">
        <f t="shared" si="61"/>
        <v>2.4500442407782339</v>
      </c>
      <c r="S90" s="595">
        <f t="shared" si="61"/>
        <v>9.2838893372876957E-2</v>
      </c>
      <c r="T90" s="595">
        <f t="shared" si="61"/>
        <v>5.6186813035864835</v>
      </c>
      <c r="U90" s="595">
        <f t="shared" si="61"/>
        <v>0</v>
      </c>
      <c r="V90" s="595">
        <f t="shared" si="61"/>
        <v>60.424167503246018</v>
      </c>
      <c r="W90" s="572">
        <f t="shared" ref="W90:W102" si="62">+IF($O90=0,"-",R90/$O90)</f>
        <v>3.5722360488715625E-2</v>
      </c>
      <c r="X90" s="572">
        <f t="shared" ref="X90:X102" si="63">+IF($O90=0,"-",S90/$O90)</f>
        <v>1.3536181760480828E-3</v>
      </c>
      <c r="Y90" s="572">
        <f t="shared" ref="Y90:Y102" si="64">+IF($O90=0,"-",T90/$O90)</f>
        <v>8.1922014165004831E-2</v>
      </c>
      <c r="Z90" s="572">
        <f t="shared" ref="Z90:Z102" si="65">+IF($O90=0,"-",V90/$O90)</f>
        <v>0.88100200717023158</v>
      </c>
      <c r="AA90" s="574">
        <f t="shared" ref="AA90:AA102" si="66">+IF($T90=0,"-",U90/$T90)</f>
        <v>0</v>
      </c>
      <c r="AC90" s="289"/>
    </row>
    <row r="91" spans="10:29" ht="15.75" x14ac:dyDescent="0.25">
      <c r="J91" s="155" t="s">
        <v>822</v>
      </c>
      <c r="K91" s="155" t="s">
        <v>792</v>
      </c>
      <c r="L91" s="591" t="s">
        <v>58</v>
      </c>
      <c r="M91" s="596" t="s">
        <v>1038</v>
      </c>
      <c r="N91" s="593">
        <f t="shared" si="61"/>
        <v>99.996281480362455</v>
      </c>
      <c r="O91" s="593">
        <f t="shared" si="61"/>
        <v>255.52309290723198</v>
      </c>
      <c r="P91" s="594">
        <f t="shared" si="61"/>
        <v>17.33512763419089</v>
      </c>
      <c r="Q91" s="594">
        <f t="shared" si="61"/>
        <v>209.74608813235034</v>
      </c>
      <c r="R91" s="595">
        <f t="shared" si="61"/>
        <v>29.71351385718852</v>
      </c>
      <c r="S91" s="595">
        <f t="shared" si="61"/>
        <v>1.8340325404926534</v>
      </c>
      <c r="T91" s="595">
        <f t="shared" si="61"/>
        <v>69.637902700685089</v>
      </c>
      <c r="U91" s="595">
        <f t="shared" si="61"/>
        <v>14.229458377200496</v>
      </c>
      <c r="V91" s="595">
        <f t="shared" si="61"/>
        <v>154.33764380886575</v>
      </c>
      <c r="W91" s="572">
        <f t="shared" si="62"/>
        <v>0.11628504304296305</v>
      </c>
      <c r="X91" s="572">
        <f t="shared" si="63"/>
        <v>7.1775608209254946E-3</v>
      </c>
      <c r="Y91" s="572">
        <f t="shared" si="64"/>
        <v>0.27253075997310044</v>
      </c>
      <c r="Z91" s="572">
        <f t="shared" si="65"/>
        <v>0.60400663616301109</v>
      </c>
      <c r="AA91" s="574">
        <f t="shared" si="66"/>
        <v>0.20433496451438232</v>
      </c>
      <c r="AC91" s="289"/>
    </row>
    <row r="92" spans="10:29" ht="15.75" x14ac:dyDescent="0.25">
      <c r="J92" s="155" t="s">
        <v>822</v>
      </c>
      <c r="K92" s="155" t="s">
        <v>790</v>
      </c>
      <c r="L92" s="591" t="s">
        <v>59</v>
      </c>
      <c r="M92" s="156" t="s">
        <v>1039</v>
      </c>
      <c r="N92" s="593">
        <f t="shared" si="61"/>
        <v>719.17747734585953</v>
      </c>
      <c r="O92" s="593">
        <f t="shared" si="61"/>
        <v>1.70016523665138</v>
      </c>
      <c r="P92" s="594">
        <f t="shared" si="61"/>
        <v>4.0753471261945812E-2</v>
      </c>
      <c r="Q92" s="594">
        <f t="shared" si="61"/>
        <v>0</v>
      </c>
      <c r="R92" s="595">
        <f t="shared" si="61"/>
        <v>0.35808998998868485</v>
      </c>
      <c r="S92" s="595">
        <f t="shared" si="61"/>
        <v>1.3420752466626951</v>
      </c>
      <c r="T92" s="595">
        <f t="shared" si="61"/>
        <v>0</v>
      </c>
      <c r="U92" s="595">
        <f t="shared" si="61"/>
        <v>0</v>
      </c>
      <c r="V92" s="595">
        <f t="shared" si="61"/>
        <v>0</v>
      </c>
      <c r="W92" s="572">
        <f t="shared" si="62"/>
        <v>0.21062069866454483</v>
      </c>
      <c r="X92" s="572">
        <f t="shared" si="63"/>
        <v>0.78937930133545509</v>
      </c>
      <c r="Y92" s="572">
        <f t="shared" si="64"/>
        <v>0</v>
      </c>
      <c r="Z92" s="572">
        <f t="shared" si="65"/>
        <v>0</v>
      </c>
      <c r="AA92" s="574" t="str">
        <f t="shared" si="66"/>
        <v>-</v>
      </c>
      <c r="AC92" s="289"/>
    </row>
    <row r="93" spans="10:29" ht="15.75" x14ac:dyDescent="0.25">
      <c r="J93" s="155" t="s">
        <v>852</v>
      </c>
      <c r="K93" s="155" t="s">
        <v>792</v>
      </c>
      <c r="L93" s="591" t="s">
        <v>60</v>
      </c>
      <c r="M93" s="156" t="s">
        <v>1040</v>
      </c>
      <c r="N93" s="593">
        <f t="shared" si="61"/>
        <v>4.3593517548323124</v>
      </c>
      <c r="O93" s="593">
        <f t="shared" si="61"/>
        <v>1.2759391450439788</v>
      </c>
      <c r="P93" s="594">
        <f t="shared" si="61"/>
        <v>0.29269011009024648</v>
      </c>
      <c r="Q93" s="594">
        <f t="shared" si="61"/>
        <v>0</v>
      </c>
      <c r="R93" s="595">
        <f t="shared" si="61"/>
        <v>0</v>
      </c>
      <c r="S93" s="595">
        <f t="shared" si="61"/>
        <v>1.2759391450439788</v>
      </c>
      <c r="T93" s="595">
        <f t="shared" si="61"/>
        <v>0</v>
      </c>
      <c r="U93" s="595">
        <f t="shared" si="61"/>
        <v>0</v>
      </c>
      <c r="V93" s="595">
        <f t="shared" si="61"/>
        <v>0</v>
      </c>
      <c r="W93" s="572">
        <f t="shared" si="62"/>
        <v>0</v>
      </c>
      <c r="X93" s="572">
        <f t="shared" si="63"/>
        <v>1</v>
      </c>
      <c r="Y93" s="572">
        <f t="shared" si="64"/>
        <v>0</v>
      </c>
      <c r="Z93" s="572">
        <f t="shared" si="65"/>
        <v>0</v>
      </c>
      <c r="AA93" s="574" t="str">
        <f t="shared" si="66"/>
        <v>-</v>
      </c>
      <c r="AC93" s="289"/>
    </row>
    <row r="94" spans="10:29" ht="15.75" x14ac:dyDescent="0.25">
      <c r="J94" s="155" t="s">
        <v>817</v>
      </c>
      <c r="K94" s="155" t="s">
        <v>791</v>
      </c>
      <c r="L94" s="591" t="s">
        <v>61</v>
      </c>
      <c r="M94" s="156" t="s">
        <v>1041</v>
      </c>
      <c r="N94" s="593">
        <f t="shared" si="61"/>
        <v>160.64590837999947</v>
      </c>
      <c r="O94" s="593">
        <f t="shared" si="61"/>
        <v>4.7988803578001527</v>
      </c>
      <c r="P94" s="594">
        <f t="shared" si="61"/>
        <v>8.9811614549664728E-2</v>
      </c>
      <c r="Q94" s="594">
        <f t="shared" si="61"/>
        <v>2.2768748695271519</v>
      </c>
      <c r="R94" s="595">
        <f t="shared" si="61"/>
        <v>1.7521170575840492</v>
      </c>
      <c r="S94" s="595">
        <f t="shared" si="61"/>
        <v>0.7698884306889513</v>
      </c>
      <c r="T94" s="595">
        <f t="shared" si="61"/>
        <v>1.3766222989813104</v>
      </c>
      <c r="U94" s="595">
        <f t="shared" si="61"/>
        <v>0</v>
      </c>
      <c r="V94" s="595">
        <f t="shared" si="61"/>
        <v>0.90025257054584151</v>
      </c>
      <c r="W94" s="572">
        <f t="shared" si="62"/>
        <v>0.36510955200959305</v>
      </c>
      <c r="X94" s="572">
        <f t="shared" si="63"/>
        <v>0.16043084496523574</v>
      </c>
      <c r="Y94" s="572">
        <f t="shared" si="64"/>
        <v>0.28686322565715427</v>
      </c>
      <c r="Z94" s="572">
        <f t="shared" si="65"/>
        <v>0.18759637736801693</v>
      </c>
      <c r="AA94" s="574">
        <f t="shared" si="66"/>
        <v>0</v>
      </c>
      <c r="AC94" s="289"/>
    </row>
    <row r="95" spans="10:29" ht="15.75" x14ac:dyDescent="0.25">
      <c r="J95" s="155" t="s">
        <v>830</v>
      </c>
      <c r="K95" s="155" t="s">
        <v>791</v>
      </c>
      <c r="L95" s="591" t="s">
        <v>62</v>
      </c>
      <c r="M95" s="596" t="s">
        <v>1042</v>
      </c>
      <c r="N95" s="593">
        <f t="shared" si="61"/>
        <v>28.394686542809108</v>
      </c>
      <c r="O95" s="593">
        <f t="shared" si="61"/>
        <v>1.4684920173037528</v>
      </c>
      <c r="P95" s="594">
        <f t="shared" si="61"/>
        <v>0.15295874092102149</v>
      </c>
      <c r="Q95" s="594">
        <f t="shared" si="61"/>
        <v>0.61987830491387741</v>
      </c>
      <c r="R95" s="595">
        <f t="shared" si="61"/>
        <v>0.20575788232194489</v>
      </c>
      <c r="S95" s="595">
        <f t="shared" si="61"/>
        <v>0.24158707246769739</v>
      </c>
      <c r="T95" s="595">
        <f t="shared" si="61"/>
        <v>1.0198649246869729</v>
      </c>
      <c r="U95" s="595">
        <f t="shared" si="61"/>
        <v>0.40126875760023273</v>
      </c>
      <c r="V95" s="595">
        <f t="shared" si="61"/>
        <v>1.2821378271373829E-3</v>
      </c>
      <c r="W95" s="572">
        <f t="shared" si="62"/>
        <v>0.14011508397555322</v>
      </c>
      <c r="X95" s="572">
        <f t="shared" si="63"/>
        <v>0.16451371176757706</v>
      </c>
      <c r="Y95" s="572">
        <f t="shared" si="64"/>
        <v>0.69449810599550377</v>
      </c>
      <c r="Z95" s="572">
        <f t="shared" si="65"/>
        <v>8.7309826136574556E-4</v>
      </c>
      <c r="AA95" s="574">
        <f t="shared" si="66"/>
        <v>0.39345284643786937</v>
      </c>
      <c r="AC95" s="289"/>
    </row>
    <row r="96" spans="10:29" ht="15.75" x14ac:dyDescent="0.25">
      <c r="J96" s="155" t="s">
        <v>822</v>
      </c>
      <c r="K96" s="155" t="s">
        <v>791</v>
      </c>
      <c r="L96" s="591" t="s">
        <v>1037</v>
      </c>
      <c r="M96" s="155"/>
      <c r="N96" s="593">
        <f t="shared" si="61"/>
        <v>0</v>
      </c>
      <c r="O96" s="593">
        <f t="shared" si="61"/>
        <v>0</v>
      </c>
      <c r="P96" s="594">
        <f t="shared" si="61"/>
        <v>0</v>
      </c>
      <c r="Q96" s="594">
        <f t="shared" si="61"/>
        <v>0</v>
      </c>
      <c r="R96" s="595">
        <f t="shared" si="61"/>
        <v>0</v>
      </c>
      <c r="S96" s="595">
        <f t="shared" si="61"/>
        <v>0</v>
      </c>
      <c r="T96" s="595">
        <f t="shared" si="61"/>
        <v>0</v>
      </c>
      <c r="U96" s="595">
        <f t="shared" si="61"/>
        <v>0</v>
      </c>
      <c r="V96" s="595">
        <f t="shared" si="61"/>
        <v>0</v>
      </c>
      <c r="W96" s="572" t="str">
        <f t="shared" si="62"/>
        <v>-</v>
      </c>
      <c r="X96" s="572" t="str">
        <f t="shared" si="63"/>
        <v>-</v>
      </c>
      <c r="Y96" s="572" t="str">
        <f t="shared" si="64"/>
        <v>-</v>
      </c>
      <c r="Z96" s="572" t="str">
        <f t="shared" si="65"/>
        <v>-</v>
      </c>
      <c r="AA96" s="574" t="str">
        <f t="shared" si="66"/>
        <v>-</v>
      </c>
      <c r="AC96" s="289"/>
    </row>
    <row r="97" spans="10:29" ht="15.75" x14ac:dyDescent="0.25">
      <c r="J97" s="155" t="s">
        <v>852</v>
      </c>
      <c r="K97" s="155" t="s">
        <v>791</v>
      </c>
      <c r="L97" s="591" t="s">
        <v>1037</v>
      </c>
      <c r="M97" s="155"/>
      <c r="N97" s="593">
        <f t="shared" si="61"/>
        <v>0</v>
      </c>
      <c r="O97" s="593">
        <f t="shared" si="61"/>
        <v>0</v>
      </c>
      <c r="P97" s="594">
        <f t="shared" si="61"/>
        <v>0</v>
      </c>
      <c r="Q97" s="594">
        <f t="shared" si="61"/>
        <v>0</v>
      </c>
      <c r="R97" s="595">
        <f t="shared" si="61"/>
        <v>0</v>
      </c>
      <c r="S97" s="595">
        <f t="shared" si="61"/>
        <v>0</v>
      </c>
      <c r="T97" s="595">
        <f t="shared" si="61"/>
        <v>0</v>
      </c>
      <c r="U97" s="595">
        <f t="shared" si="61"/>
        <v>0</v>
      </c>
      <c r="V97" s="595">
        <f t="shared" si="61"/>
        <v>0</v>
      </c>
      <c r="W97" s="572" t="str">
        <f t="shared" si="62"/>
        <v>-</v>
      </c>
      <c r="X97" s="572" t="str">
        <f t="shared" si="63"/>
        <v>-</v>
      </c>
      <c r="Y97" s="572" t="str">
        <f t="shared" si="64"/>
        <v>-</v>
      </c>
      <c r="Z97" s="572" t="str">
        <f t="shared" si="65"/>
        <v>-</v>
      </c>
      <c r="AA97" s="574" t="str">
        <f t="shared" si="66"/>
        <v>-</v>
      </c>
      <c r="AC97" s="289"/>
    </row>
    <row r="98" spans="10:29" ht="15.75" x14ac:dyDescent="0.25">
      <c r="J98" s="155" t="s">
        <v>852</v>
      </c>
      <c r="K98" s="155" t="s">
        <v>790</v>
      </c>
      <c r="L98" s="591" t="s">
        <v>1037</v>
      </c>
      <c r="M98" s="155"/>
      <c r="N98" s="593">
        <f t="shared" si="61"/>
        <v>0</v>
      </c>
      <c r="O98" s="593">
        <f t="shared" si="61"/>
        <v>0</v>
      </c>
      <c r="P98" s="594">
        <f t="shared" si="61"/>
        <v>0</v>
      </c>
      <c r="Q98" s="594">
        <f t="shared" si="61"/>
        <v>0</v>
      </c>
      <c r="R98" s="595">
        <f t="shared" si="61"/>
        <v>0</v>
      </c>
      <c r="S98" s="595">
        <f t="shared" si="61"/>
        <v>0</v>
      </c>
      <c r="T98" s="595">
        <f t="shared" si="61"/>
        <v>0</v>
      </c>
      <c r="U98" s="595">
        <f t="shared" si="61"/>
        <v>0</v>
      </c>
      <c r="V98" s="595">
        <f t="shared" si="61"/>
        <v>0</v>
      </c>
      <c r="W98" s="572" t="str">
        <f t="shared" si="62"/>
        <v>-</v>
      </c>
      <c r="X98" s="572" t="str">
        <f t="shared" si="63"/>
        <v>-</v>
      </c>
      <c r="Y98" s="572" t="str">
        <f t="shared" si="64"/>
        <v>-</v>
      </c>
      <c r="Z98" s="572" t="str">
        <f t="shared" si="65"/>
        <v>-</v>
      </c>
      <c r="AA98" s="574" t="str">
        <f t="shared" si="66"/>
        <v>-</v>
      </c>
      <c r="AC98" s="289"/>
    </row>
    <row r="99" spans="10:29" ht="15.75" x14ac:dyDescent="0.25">
      <c r="J99" s="155" t="s">
        <v>817</v>
      </c>
      <c r="K99" s="155" t="s">
        <v>792</v>
      </c>
      <c r="L99" s="591" t="s">
        <v>1037</v>
      </c>
      <c r="M99" s="155"/>
      <c r="N99" s="593">
        <f t="shared" si="61"/>
        <v>0</v>
      </c>
      <c r="O99" s="593">
        <f t="shared" si="61"/>
        <v>0</v>
      </c>
      <c r="P99" s="594">
        <f t="shared" si="61"/>
        <v>0</v>
      </c>
      <c r="Q99" s="594">
        <f t="shared" si="61"/>
        <v>0</v>
      </c>
      <c r="R99" s="595">
        <f t="shared" si="61"/>
        <v>0</v>
      </c>
      <c r="S99" s="595">
        <f t="shared" si="61"/>
        <v>0</v>
      </c>
      <c r="T99" s="595">
        <f t="shared" si="61"/>
        <v>0</v>
      </c>
      <c r="U99" s="595">
        <f t="shared" si="61"/>
        <v>0</v>
      </c>
      <c r="V99" s="595">
        <f t="shared" si="61"/>
        <v>0</v>
      </c>
      <c r="W99" s="572" t="str">
        <f t="shared" si="62"/>
        <v>-</v>
      </c>
      <c r="X99" s="572" t="str">
        <f t="shared" si="63"/>
        <v>-</v>
      </c>
      <c r="Y99" s="572" t="str">
        <f t="shared" si="64"/>
        <v>-</v>
      </c>
      <c r="Z99" s="572" t="str">
        <f t="shared" si="65"/>
        <v>-</v>
      </c>
      <c r="AA99" s="574" t="str">
        <f t="shared" si="66"/>
        <v>-</v>
      </c>
      <c r="AC99" s="289"/>
    </row>
    <row r="100" spans="10:29" ht="15.75" x14ac:dyDescent="0.25">
      <c r="J100" s="155" t="s">
        <v>817</v>
      </c>
      <c r="K100" s="155" t="s">
        <v>790</v>
      </c>
      <c r="L100" s="591" t="s">
        <v>1037</v>
      </c>
      <c r="M100" s="155"/>
      <c r="N100" s="593">
        <f t="shared" si="61"/>
        <v>3.2805677744000978</v>
      </c>
      <c r="O100" s="593">
        <f t="shared" si="61"/>
        <v>8.7791106651863626E-2</v>
      </c>
      <c r="P100" s="594">
        <f t="shared" si="61"/>
        <v>2.6760948923823889E-2</v>
      </c>
      <c r="Q100" s="594">
        <f t="shared" si="61"/>
        <v>0</v>
      </c>
      <c r="R100" s="595">
        <f t="shared" si="61"/>
        <v>3.6990181091585597E-2</v>
      </c>
      <c r="S100" s="595">
        <f t="shared" si="61"/>
        <v>5.0800925560278022E-2</v>
      </c>
      <c r="T100" s="595">
        <f t="shared" si="61"/>
        <v>0</v>
      </c>
      <c r="U100" s="595">
        <f t="shared" si="61"/>
        <v>0</v>
      </c>
      <c r="V100" s="595">
        <f t="shared" si="61"/>
        <v>0</v>
      </c>
      <c r="W100" s="572">
        <f t="shared" si="62"/>
        <v>0.42134314627414909</v>
      </c>
      <c r="X100" s="572">
        <f t="shared" si="63"/>
        <v>0.57865685372585085</v>
      </c>
      <c r="Y100" s="572">
        <f t="shared" si="64"/>
        <v>0</v>
      </c>
      <c r="Z100" s="572">
        <f t="shared" si="65"/>
        <v>0</v>
      </c>
      <c r="AA100" s="574" t="str">
        <f t="shared" si="66"/>
        <v>-</v>
      </c>
      <c r="AC100" s="289"/>
    </row>
    <row r="101" spans="10:29" ht="15.75" x14ac:dyDescent="0.25">
      <c r="J101" s="155" t="s">
        <v>830</v>
      </c>
      <c r="K101" s="155" t="s">
        <v>792</v>
      </c>
      <c r="L101" s="591" t="s">
        <v>1037</v>
      </c>
      <c r="M101" s="155"/>
      <c r="N101" s="593">
        <f t="shared" si="61"/>
        <v>0</v>
      </c>
      <c r="O101" s="593">
        <f t="shared" si="61"/>
        <v>0</v>
      </c>
      <c r="P101" s="594">
        <f t="shared" si="61"/>
        <v>0</v>
      </c>
      <c r="Q101" s="594">
        <f t="shared" si="61"/>
        <v>0</v>
      </c>
      <c r="R101" s="595">
        <f t="shared" si="61"/>
        <v>0</v>
      </c>
      <c r="S101" s="595">
        <f t="shared" si="61"/>
        <v>0</v>
      </c>
      <c r="T101" s="595">
        <f t="shared" si="61"/>
        <v>0</v>
      </c>
      <c r="U101" s="595">
        <f t="shared" si="61"/>
        <v>0</v>
      </c>
      <c r="V101" s="595">
        <f t="shared" si="61"/>
        <v>0</v>
      </c>
      <c r="W101" s="572" t="str">
        <f t="shared" si="62"/>
        <v>-</v>
      </c>
      <c r="X101" s="572" t="str">
        <f t="shared" si="63"/>
        <v>-</v>
      </c>
      <c r="Y101" s="572" t="str">
        <f t="shared" si="64"/>
        <v>-</v>
      </c>
      <c r="Z101" s="572" t="str">
        <f t="shared" si="65"/>
        <v>-</v>
      </c>
      <c r="AA101" s="574" t="str">
        <f t="shared" si="66"/>
        <v>-</v>
      </c>
      <c r="AC101" s="289"/>
    </row>
    <row r="102" spans="10:29" ht="15.75" x14ac:dyDescent="0.25">
      <c r="J102" s="155" t="s">
        <v>830</v>
      </c>
      <c r="K102" s="155" t="s">
        <v>790</v>
      </c>
      <c r="L102" s="591" t="s">
        <v>1037</v>
      </c>
      <c r="M102" s="155"/>
      <c r="N102" s="593">
        <f t="shared" si="61"/>
        <v>0</v>
      </c>
      <c r="O102" s="593">
        <f t="shared" si="61"/>
        <v>0</v>
      </c>
      <c r="P102" s="594">
        <f t="shared" si="61"/>
        <v>0</v>
      </c>
      <c r="Q102" s="594">
        <f t="shared" si="61"/>
        <v>0</v>
      </c>
      <c r="R102" s="595">
        <f t="shared" si="61"/>
        <v>0</v>
      </c>
      <c r="S102" s="595">
        <f t="shared" si="61"/>
        <v>0</v>
      </c>
      <c r="T102" s="595">
        <f t="shared" si="61"/>
        <v>0</v>
      </c>
      <c r="U102" s="595">
        <f t="shared" si="61"/>
        <v>0</v>
      </c>
      <c r="V102" s="595">
        <f t="shared" si="61"/>
        <v>0</v>
      </c>
      <c r="W102" s="572" t="str">
        <f t="shared" si="62"/>
        <v>-</v>
      </c>
      <c r="X102" s="572" t="str">
        <f t="shared" si="63"/>
        <v>-</v>
      </c>
      <c r="Y102" s="572" t="str">
        <f t="shared" si="64"/>
        <v>-</v>
      </c>
      <c r="Z102" s="572" t="str">
        <f t="shared" si="65"/>
        <v>-</v>
      </c>
      <c r="AA102" s="574" t="str">
        <f t="shared" si="66"/>
        <v>-</v>
      </c>
      <c r="AC102" s="289"/>
    </row>
  </sheetData>
  <autoFilter ref="J89:AA89" xr:uid="{BEFD9108-B7A7-4B47-A26B-A6F5A2B2A550}">
    <sortState xmlns:xlrd2="http://schemas.microsoft.com/office/spreadsheetml/2017/richdata2" ref="J90:AA102">
      <sortCondition ref="L89"/>
    </sortState>
  </autoFilter>
  <mergeCells count="6">
    <mergeCell ref="BI58:BL58"/>
    <mergeCell ref="R58:V58"/>
    <mergeCell ref="W58:Z58"/>
    <mergeCell ref="R87:V87"/>
    <mergeCell ref="W87:Z87"/>
    <mergeCell ref="BD58:BH58"/>
  </mergeCells>
  <conditionalFormatting sqref="I5:I24">
    <cfRule type="containsBlanks" dxfId="74" priority="80">
      <formula>LEN(TRIM(I5))=0</formula>
    </cfRule>
  </conditionalFormatting>
  <conditionalFormatting sqref="K5:L16">
    <cfRule type="containsText" dxfId="73" priority="77" operator="containsText" text="Oil and Gas">
      <formula>NOT(ISERROR(SEARCH("Oil and Gas",K5)))</formula>
    </cfRule>
    <cfRule type="containsText" dxfId="72" priority="78" operator="containsText" text="Gas">
      <formula>NOT(ISERROR(SEARCH("Gas",K5)))</formula>
    </cfRule>
    <cfRule type="containsText" dxfId="71" priority="79" operator="containsText" text="Oil">
      <formula>NOT(ISERROR(SEARCH("Oil",K5)))</formula>
    </cfRule>
  </conditionalFormatting>
  <conditionalFormatting sqref="K17:L24">
    <cfRule type="containsText" dxfId="70" priority="70" operator="containsText" text="Oil and Gas">
      <formula>NOT(ISERROR(SEARCH("Oil and Gas",K17)))</formula>
    </cfRule>
    <cfRule type="containsText" dxfId="69" priority="71" operator="containsText" text="Gas">
      <formula>NOT(ISERROR(SEARCH("Gas",K17)))</formula>
    </cfRule>
    <cfRule type="containsText" dxfId="68" priority="72" operator="containsText" text="Oil">
      <formula>NOT(ISERROR(SEARCH("Oil",K17)))</formula>
    </cfRule>
  </conditionalFormatting>
  <conditionalFormatting sqref="Q5:Y24 W61:AA83">
    <cfRule type="cellIs" dxfId="67" priority="65" operator="equal">
      <formula>0</formula>
    </cfRule>
  </conditionalFormatting>
  <conditionalFormatting sqref="I32:I54">
    <cfRule type="containsBlanks" dxfId="66" priority="64">
      <formula>LEN(TRIM(I32))=0</formula>
    </cfRule>
  </conditionalFormatting>
  <conditionalFormatting sqref="K32:L43">
    <cfRule type="containsText" dxfId="65" priority="61" operator="containsText" text="Oil and Gas">
      <formula>NOT(ISERROR(SEARCH("Oil and Gas",K32)))</formula>
    </cfRule>
    <cfRule type="containsText" dxfId="64" priority="62" operator="containsText" text="Gas">
      <formula>NOT(ISERROR(SEARCH("Gas",K32)))</formula>
    </cfRule>
    <cfRule type="containsText" dxfId="63" priority="63" operator="containsText" text="Oil">
      <formula>NOT(ISERROR(SEARCH("Oil",K32)))</formula>
    </cfRule>
  </conditionalFormatting>
  <conditionalFormatting sqref="K44:L54">
    <cfRule type="containsText" dxfId="62" priority="58" operator="containsText" text="Oil and Gas">
      <formula>NOT(ISERROR(SEARCH("Oil and Gas",K44)))</formula>
    </cfRule>
    <cfRule type="containsText" dxfId="61" priority="59" operator="containsText" text="Gas">
      <formula>NOT(ISERROR(SEARCH("Gas",K44)))</formula>
    </cfRule>
    <cfRule type="containsText" dxfId="60" priority="60" operator="containsText" text="Oil">
      <formula>NOT(ISERROR(SEARCH("Oil",K44)))</formula>
    </cfRule>
  </conditionalFormatting>
  <conditionalFormatting sqref="Q32:Y54">
    <cfRule type="cellIs" dxfId="59" priority="53" operator="equal">
      <formula>0</formula>
    </cfRule>
  </conditionalFormatting>
  <conditionalFormatting sqref="I61:I80">
    <cfRule type="containsBlanks" dxfId="58" priority="52">
      <formula>LEN(TRIM(I61))=0</formula>
    </cfRule>
  </conditionalFormatting>
  <conditionalFormatting sqref="K61:L72">
    <cfRule type="containsText" dxfId="57" priority="49" operator="containsText" text="Oil and Gas">
      <formula>NOT(ISERROR(SEARCH("Oil and Gas",K61)))</formula>
    </cfRule>
    <cfRule type="containsText" dxfId="56" priority="50" operator="containsText" text="Gas">
      <formula>NOT(ISERROR(SEARCH("Gas",K61)))</formula>
    </cfRule>
    <cfRule type="containsText" dxfId="55" priority="51" operator="containsText" text="Oil">
      <formula>NOT(ISERROR(SEARCH("Oil",K61)))</formula>
    </cfRule>
  </conditionalFormatting>
  <conditionalFormatting sqref="K73:L83">
    <cfRule type="containsText" dxfId="54" priority="46" operator="containsText" text="Oil and Gas">
      <formula>NOT(ISERROR(SEARCH("Oil and Gas",K73)))</formula>
    </cfRule>
    <cfRule type="containsText" dxfId="53" priority="47" operator="containsText" text="Gas">
      <formula>NOT(ISERROR(SEARCH("Gas",K73)))</formula>
    </cfRule>
    <cfRule type="containsText" dxfId="52" priority="48" operator="containsText" text="Oil">
      <formula>NOT(ISERROR(SEARCH("Oil",K73)))</formula>
    </cfRule>
  </conditionalFormatting>
  <conditionalFormatting sqref="N61:N83">
    <cfRule type="cellIs" dxfId="51" priority="41" operator="equal">
      <formula>0</formula>
    </cfRule>
  </conditionalFormatting>
  <conditionalFormatting sqref="R61:V83">
    <cfRule type="cellIs" dxfId="50" priority="40" operator="equal">
      <formula>0</formula>
    </cfRule>
  </conditionalFormatting>
  <conditionalFormatting sqref="P61:P83">
    <cfRule type="cellIs" dxfId="49" priority="38" operator="equal">
      <formula>0</formula>
    </cfRule>
  </conditionalFormatting>
  <conditionalFormatting sqref="Q61:Q83">
    <cfRule type="cellIs" dxfId="48" priority="37" operator="equal">
      <formula>0</formula>
    </cfRule>
  </conditionalFormatting>
  <conditionalFormatting sqref="M90">
    <cfRule type="containsBlanks" dxfId="47" priority="36">
      <formula>LEN(TRIM(M90))=0</formula>
    </cfRule>
  </conditionalFormatting>
  <conditionalFormatting sqref="N90:V102">
    <cfRule type="cellIs" dxfId="46" priority="35" operator="equal">
      <formula>0</formula>
    </cfRule>
  </conditionalFormatting>
  <conditionalFormatting sqref="W90:Z102">
    <cfRule type="cellIs" dxfId="45" priority="34" operator="equal">
      <formula>0</formula>
    </cfRule>
  </conditionalFormatting>
  <conditionalFormatting sqref="AA90:AA102">
    <cfRule type="cellIs" dxfId="44" priority="33" operator="equal">
      <formula>0</formula>
    </cfRule>
  </conditionalFormatting>
  <conditionalFormatting sqref="BI61:BM80">
    <cfRule type="cellIs" dxfId="43" priority="16" operator="equal">
      <formula>0</formula>
    </cfRule>
  </conditionalFormatting>
  <conditionalFormatting sqref="AU61:AU80">
    <cfRule type="containsBlanks" dxfId="42" priority="15">
      <formula>LEN(TRIM(AU61))=0</formula>
    </cfRule>
  </conditionalFormatting>
  <conditionalFormatting sqref="AW61:AX72">
    <cfRule type="containsText" dxfId="41" priority="12" operator="containsText" text="Oil and Gas">
      <formula>NOT(ISERROR(SEARCH("Oil and Gas",AW61)))</formula>
    </cfRule>
    <cfRule type="containsText" dxfId="40" priority="13" operator="containsText" text="Gas">
      <formula>NOT(ISERROR(SEARCH("Gas",AW61)))</formula>
    </cfRule>
    <cfRule type="containsText" dxfId="39" priority="14" operator="containsText" text="Oil">
      <formula>NOT(ISERROR(SEARCH("Oil",AW61)))</formula>
    </cfRule>
  </conditionalFormatting>
  <conditionalFormatting sqref="AW73:AX80">
    <cfRule type="containsText" dxfId="38" priority="9" operator="containsText" text="Oil and Gas">
      <formula>NOT(ISERROR(SEARCH("Oil and Gas",AW73)))</formula>
    </cfRule>
    <cfRule type="containsText" dxfId="37" priority="10" operator="containsText" text="Gas">
      <formula>NOT(ISERROR(SEARCH("Gas",AW73)))</formula>
    </cfRule>
    <cfRule type="containsText" dxfId="36" priority="11" operator="containsText" text="Oil">
      <formula>NOT(ISERROR(SEARCH("Oil",AW73)))</formula>
    </cfRule>
  </conditionalFormatting>
  <conditionalFormatting sqref="AZ61:AZ80">
    <cfRule type="cellIs" dxfId="35" priority="4" operator="equal">
      <formula>0</formula>
    </cfRule>
  </conditionalFormatting>
  <conditionalFormatting sqref="BD61:BH80">
    <cfRule type="cellIs" dxfId="34" priority="3" operator="equal">
      <formula>0</formula>
    </cfRule>
  </conditionalFormatting>
  <conditionalFormatting sqref="BB61:BB80">
    <cfRule type="cellIs" dxfId="33" priority="2" operator="equal">
      <formula>0</formula>
    </cfRule>
  </conditionalFormatting>
  <conditionalFormatting sqref="BC61:BC80">
    <cfRule type="cellIs" dxfId="32"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66" operator="containsText" id="{E426D479-C00D-4D12-87DA-A5CC5D2C967F}">
            <xm:f>NOT(ISERROR(SEARCH($I$8,M5)))</xm:f>
            <xm:f>$I$8</xm:f>
            <x14:dxf>
              <fill>
                <patternFill>
                  <bgColor theme="7" tint="0.79998168889431442"/>
                </patternFill>
              </fill>
            </x14:dxf>
          </x14:cfRule>
          <x14:cfRule type="containsText" priority="67" operator="containsText" id="{EFC91A7F-DF34-40D0-9009-60D5ED70E3E1}">
            <xm:f>NOT(ISERROR(SEARCH($I$7,M5)))</xm:f>
            <xm:f>$I$7</xm:f>
            <x14:dxf>
              <fill>
                <patternFill>
                  <bgColor theme="5" tint="0.79998168889431442"/>
                </patternFill>
              </fill>
            </x14:dxf>
          </x14:cfRule>
          <x14:cfRule type="containsText" priority="68" operator="containsText" id="{90D23800-7152-4BA1-ACEB-1A926D949FC1}">
            <xm:f>NOT(ISERROR(SEARCH($I$6,M5)))</xm:f>
            <xm:f>$I$6</xm:f>
            <x14:dxf>
              <fill>
                <patternFill>
                  <bgColor theme="0" tint="-0.24994659260841701"/>
                </patternFill>
              </fill>
            </x14:dxf>
          </x14:cfRule>
          <x14:cfRule type="containsText" priority="69" operator="containsText" id="{36B538CF-C6E3-43C6-AB52-EC03B24B3533}">
            <xm:f>NOT(ISERROR(SEARCH($I$5,M5)))</xm:f>
            <xm:f>$I$5</xm:f>
            <x14:dxf>
              <fill>
                <patternFill>
                  <bgColor theme="0" tint="-0.34998626667073579"/>
                </patternFill>
              </fill>
            </x14:dxf>
          </x14:cfRule>
          <xm:sqref>M5:M24</xm:sqref>
        </x14:conditionalFormatting>
        <x14:conditionalFormatting xmlns:xm="http://schemas.microsoft.com/office/excel/2006/main">
          <x14:cfRule type="containsText" priority="54" operator="containsText" id="{1E6AAD92-B6E8-4AA7-8E0B-9D57CFDC9D19}">
            <xm:f>NOT(ISERROR(SEARCH($I$8,M32)))</xm:f>
            <xm:f>$I$8</xm:f>
            <x14:dxf>
              <fill>
                <patternFill>
                  <bgColor theme="7" tint="0.79998168889431442"/>
                </patternFill>
              </fill>
            </x14:dxf>
          </x14:cfRule>
          <x14:cfRule type="containsText" priority="55" operator="containsText" id="{95BACFEB-B2A0-443D-95E3-E05996ADD04C}">
            <xm:f>NOT(ISERROR(SEARCH($I$7,M32)))</xm:f>
            <xm:f>$I$7</xm:f>
            <x14:dxf>
              <fill>
                <patternFill>
                  <bgColor theme="5" tint="0.79998168889431442"/>
                </patternFill>
              </fill>
            </x14:dxf>
          </x14:cfRule>
          <x14:cfRule type="containsText" priority="56" operator="containsText" id="{572D0E88-D465-48B6-B56C-418B3A0A929D}">
            <xm:f>NOT(ISERROR(SEARCH($I$6,M32)))</xm:f>
            <xm:f>$I$6</xm:f>
            <x14:dxf>
              <fill>
                <patternFill>
                  <bgColor theme="0" tint="-0.24994659260841701"/>
                </patternFill>
              </fill>
            </x14:dxf>
          </x14:cfRule>
          <x14:cfRule type="containsText" priority="57" operator="containsText" id="{40A88DC0-1E1C-47E1-AAFF-63191854C578}">
            <xm:f>NOT(ISERROR(SEARCH($I$5,M32)))</xm:f>
            <xm:f>$I$5</xm:f>
            <x14:dxf>
              <fill>
                <patternFill>
                  <bgColor theme="0" tint="-0.34998626667073579"/>
                </patternFill>
              </fill>
            </x14:dxf>
          </x14:cfRule>
          <xm:sqref>M32:M54</xm:sqref>
        </x14:conditionalFormatting>
        <x14:conditionalFormatting xmlns:xm="http://schemas.microsoft.com/office/excel/2006/main">
          <x14:cfRule type="containsText" priority="42" operator="containsText" id="{62577020-D74B-4F35-9D69-757A87854296}">
            <xm:f>NOT(ISERROR(SEARCH($I$8,M61)))</xm:f>
            <xm:f>$I$8</xm:f>
            <x14:dxf>
              <fill>
                <patternFill>
                  <bgColor theme="7" tint="0.79998168889431442"/>
                </patternFill>
              </fill>
            </x14:dxf>
          </x14:cfRule>
          <x14:cfRule type="containsText" priority="43" operator="containsText" id="{0C16BAD8-4E3B-4670-950D-1387350256FE}">
            <xm:f>NOT(ISERROR(SEARCH($I$7,M61)))</xm:f>
            <xm:f>$I$7</xm:f>
            <x14:dxf>
              <fill>
                <patternFill>
                  <bgColor theme="5" tint="0.79998168889431442"/>
                </patternFill>
              </fill>
            </x14:dxf>
          </x14:cfRule>
          <x14:cfRule type="containsText" priority="44" operator="containsText" id="{48F41C66-E341-490C-873D-0DD8481DE0F0}">
            <xm:f>NOT(ISERROR(SEARCH($I$6,M61)))</xm:f>
            <xm:f>$I$6</xm:f>
            <x14:dxf>
              <fill>
                <patternFill>
                  <bgColor theme="0" tint="-0.24994659260841701"/>
                </patternFill>
              </fill>
            </x14:dxf>
          </x14:cfRule>
          <x14:cfRule type="containsText" priority="45" operator="containsText" id="{D318C199-8EB7-45DA-9D11-A5DD7836B794}">
            <xm:f>NOT(ISERROR(SEARCH($I$5,M61)))</xm:f>
            <xm:f>$I$5</xm:f>
            <x14:dxf>
              <fill>
                <patternFill>
                  <bgColor theme="0" tint="-0.34998626667073579"/>
                </patternFill>
              </fill>
            </x14:dxf>
          </x14:cfRule>
          <xm:sqref>M61:M83</xm:sqref>
        </x14:conditionalFormatting>
        <x14:conditionalFormatting xmlns:xm="http://schemas.microsoft.com/office/excel/2006/main">
          <x14:cfRule type="containsText" priority="5" operator="containsText" id="{812B0EAC-02E2-4623-9BB1-5DCEB8797CEF}">
            <xm:f>NOT(ISERROR(SEARCH($I$8,AY61)))</xm:f>
            <xm:f>$I$8</xm:f>
            <x14:dxf>
              <fill>
                <patternFill>
                  <bgColor theme="7" tint="0.79998168889431442"/>
                </patternFill>
              </fill>
            </x14:dxf>
          </x14:cfRule>
          <x14:cfRule type="containsText" priority="6" operator="containsText" id="{145CD0CF-D24A-4A66-B056-3E4B41263839}">
            <xm:f>NOT(ISERROR(SEARCH($I$7,AY61)))</xm:f>
            <xm:f>$I$7</xm:f>
            <x14:dxf>
              <fill>
                <patternFill>
                  <bgColor theme="5" tint="0.79998168889431442"/>
                </patternFill>
              </fill>
            </x14:dxf>
          </x14:cfRule>
          <x14:cfRule type="containsText" priority="7" operator="containsText" id="{8D1B8649-9A46-4492-80C5-51BCB48E184B}">
            <xm:f>NOT(ISERROR(SEARCH($I$6,AY61)))</xm:f>
            <xm:f>$I$6</xm:f>
            <x14:dxf>
              <fill>
                <patternFill>
                  <bgColor theme="0" tint="-0.24994659260841701"/>
                </patternFill>
              </fill>
            </x14:dxf>
          </x14:cfRule>
          <x14:cfRule type="containsText" priority="8" operator="containsText" id="{2A7324C7-DF73-41C5-9EB9-EEC02ECE8EDB}">
            <xm:f>NOT(ISERROR(SEARCH($I$5,AY61)))</xm:f>
            <xm:f>$I$5</xm:f>
            <x14:dxf>
              <fill>
                <patternFill>
                  <bgColor theme="0" tint="-0.34998626667073579"/>
                </patternFill>
              </fill>
            </x14:dxf>
          </x14:cfRule>
          <xm:sqref>AY61:AY80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abSelected="1" topLeftCell="L1" zoomScale="85" zoomScaleNormal="85" workbookViewId="0">
      <selection activeCell="N29" sqref="N29:Q36"/>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919</v>
      </c>
      <c r="U4" s="20" t="s">
        <v>919</v>
      </c>
      <c r="V4" s="486" t="s">
        <v>556</v>
      </c>
    </row>
    <row r="5" spans="3:28" ht="30" x14ac:dyDescent="0.25">
      <c r="E5" s="19"/>
      <c r="F5" s="19" t="str">
        <f>'Bases de Cálculo'!G4</f>
        <v>kt/PJ</v>
      </c>
      <c r="L5" s="470" t="str">
        <f>'5. 2019 O&amp;G'!C12</f>
        <v>Deparment</v>
      </c>
      <c r="M5" s="470" t="str">
        <f>'5. 2019 O&amp;G'!D12</f>
        <v>Company</v>
      </c>
      <c r="N5" s="470" t="str">
        <f>'5. 2019 O&amp;G'!E12</f>
        <v>City-town-location</v>
      </c>
      <c r="O5" s="470" t="str">
        <f>'5. 2019 O&amp;G'!F12</f>
        <v>Basin</v>
      </c>
      <c r="P5" s="470" t="str">
        <f>'5. 2019 O&amp;G'!G12</f>
        <v>Oilfield</v>
      </c>
      <c r="Q5" s="471" t="str">
        <f>'5. 2019 O&amp;G'!H12</f>
        <v>API Gravity</v>
      </c>
      <c r="R5" s="471">
        <f>'5. 2019 O&amp;G'!I12</f>
        <v>0</v>
      </c>
      <c r="S5" s="471" t="str">
        <f>'5. 2019 O&amp;G'!J12</f>
        <v>Type of Oil producing</v>
      </c>
      <c r="T5" s="472" t="str">
        <f>'5. 2019 O&amp;G'!K12</f>
        <v>GFISCA</v>
      </c>
      <c r="U5" s="472" t="str">
        <f>'5. 2019 O&amp;G'!W12</f>
        <v>GFISC - GREI</v>
      </c>
      <c r="V5" s="470" t="s">
        <v>920</v>
      </c>
      <c r="W5" s="470" t="s">
        <v>809</v>
      </c>
      <c r="Y5" s="470" t="s">
        <v>808</v>
      </c>
      <c r="Z5" s="470" t="s">
        <v>810</v>
      </c>
      <c r="AA5" s="470" t="s">
        <v>811</v>
      </c>
      <c r="AB5" s="470" t="s">
        <v>812</v>
      </c>
    </row>
    <row r="6" spans="3:28" x14ac:dyDescent="0.25">
      <c r="D6" t="str">
        <f>'Bases de Cálculo'!B5</f>
        <v>Energético</v>
      </c>
      <c r="E6" s="19" t="str">
        <f>'Bases de Cálculo'!F5</f>
        <v>TJ/kbl*</v>
      </c>
      <c r="F6" s="19" t="str">
        <f>'Bases de Cálculo'!G5</f>
        <v>t/TJ</v>
      </c>
      <c r="L6" s="473" t="e" vm="1">
        <f>'5. 2019 O&amp;G'!C13</f>
        <v>#VALUE!</v>
      </c>
      <c r="M6" s="474" t="str">
        <f>'5. 2019 O&amp;G'!D13</f>
        <v>ECP</v>
      </c>
      <c r="N6" s="474" t="str">
        <f>'5. 2019 O&amp;G'!E13</f>
        <v>Manaure</v>
      </c>
      <c r="O6" s="474" t="str">
        <f>'5. 2019 O&amp;G'!F13</f>
        <v>Guajira</v>
      </c>
      <c r="P6" s="475" t="str">
        <f>'5. 2019 O&amp;G'!G13</f>
        <v>Chuchupa</v>
      </c>
      <c r="Q6" s="473" t="str">
        <f>'5. 2019 O&amp;G'!H13</f>
        <v>-</v>
      </c>
      <c r="R6" s="476" t="str">
        <f>'5. 2019 O&amp;G'!I13</f>
        <v>GAS</v>
      </c>
      <c r="S6" s="476" t="str">
        <f>'5. 2019 O&amp;G'!J13</f>
        <v>Doesn't Apply</v>
      </c>
      <c r="T6" s="477">
        <f>'5. 2019 O&amp;G'!K13</f>
        <v>162.95282191780822</v>
      </c>
      <c r="U6" s="479">
        <f>'5. 2019 O&amp;G'!W13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2019 O&amp;G'!C14</f>
        <v>#VALUE!</v>
      </c>
      <c r="M7" s="474" t="str">
        <f>'5. 2019 O&amp;G'!D14</f>
        <v>ECP</v>
      </c>
      <c r="N7" s="474" t="str">
        <f>'5. 2019 O&amp;G'!E14</f>
        <v>Manaure</v>
      </c>
      <c r="O7" s="474" t="str">
        <f>'5. 2019 O&amp;G'!F14</f>
        <v>Guajira</v>
      </c>
      <c r="P7" s="475" t="str">
        <f>'5. 2019 O&amp;G'!G14</f>
        <v>Ballena</v>
      </c>
      <c r="Q7" s="473" t="str">
        <f>'5. 2019 O&amp;G'!H14</f>
        <v>-</v>
      </c>
      <c r="R7" s="476" t="str">
        <f>'5. 2019 O&amp;G'!I14</f>
        <v>GAS</v>
      </c>
      <c r="S7" s="476" t="str">
        <f>'5. 2019 O&amp;G'!J14</f>
        <v>Doesn't Apply</v>
      </c>
      <c r="T7" s="477">
        <f>'5. 2019 O&amp;G'!K14</f>
        <v>23.174410958904112</v>
      </c>
      <c r="U7" s="479">
        <f>'5. 2019 O&amp;G'!W14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2019 O&amp;G'!C15</f>
        <v>#VALUE!</v>
      </c>
      <c r="M8" s="474" t="str">
        <f>'5. 2019 O&amp;G'!D15</f>
        <v>ECP</v>
      </c>
      <c r="N8" s="474" t="str">
        <f>'5. 2019 O&amp;G'!E15</f>
        <v>Toledo</v>
      </c>
      <c r="O8" s="474" t="str">
        <f>'5. 2019 O&amp;G'!F15</f>
        <v>Llanos Orientales</v>
      </c>
      <c r="P8" s="475" t="str">
        <f>'5. 2019 O&amp;G'!G15</f>
        <v>Gibraltar</v>
      </c>
      <c r="Q8" s="473" t="str">
        <f>'5. 2019 O&amp;G'!H15</f>
        <v>-</v>
      </c>
      <c r="R8" s="476" t="str">
        <f>'5. 2019 O&amp;G'!I15</f>
        <v>GAS</v>
      </c>
      <c r="S8" s="476" t="str">
        <f>'5. 2019 O&amp;G'!J15</f>
        <v>Doesn't Apply</v>
      </c>
      <c r="T8" s="477">
        <f>'5. 2019 O&amp;G'!K15</f>
        <v>35.569315068493154</v>
      </c>
      <c r="U8" s="479">
        <f>'5. 2019 O&amp;G'!W15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2019 O&amp;G'!C16</f>
        <v>#VALUE!</v>
      </c>
      <c r="M9" s="474" t="str">
        <f>'5. 2019 O&amp;G'!D16</f>
        <v>ECP</v>
      </c>
      <c r="N9" s="474" t="str">
        <f>'5. 2019 O&amp;G'!E16</f>
        <v>Aguazul</v>
      </c>
      <c r="O9" s="474" t="str">
        <f>'5. 2019 O&amp;G'!F16</f>
        <v>Llanos Orientales</v>
      </c>
      <c r="P9" s="475" t="str">
        <f>'5. 2019 O&amp;G'!G16</f>
        <v>Cupiagua (Cupiagua + Liria + Sur)</v>
      </c>
      <c r="Q9" s="473">
        <f>'5. 2019 O&amp;G'!H16</f>
        <v>48</v>
      </c>
      <c r="R9" s="476"/>
      <c r="S9" s="476" t="str">
        <f>'5. 2019 O&amp;G'!J16</f>
        <v>Light Oil</v>
      </c>
      <c r="T9" s="477">
        <f>'5. 2019 O&amp;G'!K16</f>
        <v>649.48632876712327</v>
      </c>
      <c r="U9" s="479">
        <f>'5. 2019 O&amp;G'!W16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2019 O&amp;G'!C17</f>
        <v>#VALUE!</v>
      </c>
      <c r="M10" s="474" t="str">
        <f>'5. 2019 O&amp;G'!D17</f>
        <v>ECP</v>
      </c>
      <c r="N10" s="474" t="str">
        <f>'5. 2019 O&amp;G'!E17</f>
        <v>Tauramena</v>
      </c>
      <c r="O10" s="474" t="str">
        <f>'5. 2019 O&amp;G'!F17</f>
        <v>Llanos Orientales</v>
      </c>
      <c r="P10" s="475" t="str">
        <f>'5. 2019 O&amp;G'!G17</f>
        <v>Cusiana (Cusiana + Norte)</v>
      </c>
      <c r="Q10" s="473">
        <f>'5. 2019 O&amp;G'!H17</f>
        <v>52</v>
      </c>
      <c r="R10" s="476"/>
      <c r="S10" s="476" t="str">
        <f>'5. 2019 O&amp;G'!J17</f>
        <v>Light Oil</v>
      </c>
      <c r="T10" s="477">
        <f>'5. 2019 O&amp;G'!K17</f>
        <v>277.3735890410959</v>
      </c>
      <c r="U10" s="479">
        <f>'5. 2019 O&amp;G'!W17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2019 O&amp;G'!C18</f>
        <v>#VALUE!</v>
      </c>
      <c r="M11" s="474" t="str">
        <f>'5. 2019 O&amp;G'!D18</f>
        <v>ECP</v>
      </c>
      <c r="N11" s="474" t="str">
        <f>'5. 2019 O&amp;G'!E18</f>
        <v>Yopal</v>
      </c>
      <c r="O11" s="474" t="str">
        <f>'5. 2019 O&amp;G'!F18</f>
        <v>Llanos Orientales</v>
      </c>
      <c r="P11" s="475" t="str">
        <f>'5. 2019 O&amp;G'!G18</f>
        <v>Pauto Sur (Sur + Recetor)</v>
      </c>
      <c r="Q11" s="473">
        <f>'5. 2019 O&amp;G'!H18</f>
        <v>46</v>
      </c>
      <c r="R11" s="476"/>
      <c r="S11" s="476" t="str">
        <f>'5. 2019 O&amp;G'!J18</f>
        <v>Light Oil</v>
      </c>
      <c r="T11" s="477">
        <f>'5. 2019 O&amp;G'!K18</f>
        <v>435.40112328767128</v>
      </c>
      <c r="U11" s="479">
        <f>'5. 2019 O&amp;G'!W18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2019 O&amp;G'!C19</f>
        <v>#VALUE!</v>
      </c>
      <c r="M12" s="474" t="str">
        <f>'5. 2019 O&amp;G'!D19</f>
        <v>ECP</v>
      </c>
      <c r="N12" s="474" t="str">
        <f>'5. 2019 O&amp;G'!E19</f>
        <v>Yopal</v>
      </c>
      <c r="O12" s="474" t="str">
        <f>'5. 2019 O&amp;G'!F19</f>
        <v>Llanos Orientales</v>
      </c>
      <c r="P12" s="475" t="str">
        <f>'5. 2019 O&amp;G'!G19</f>
        <v>Floreña (Floreña + Mirador)</v>
      </c>
      <c r="Q12" s="473">
        <f>'5. 2019 O&amp;G'!H19</f>
        <v>45.5</v>
      </c>
      <c r="R12" s="476"/>
      <c r="S12" s="476" t="str">
        <f>'5. 2019 O&amp;G'!J19</f>
        <v>Light Oil</v>
      </c>
      <c r="T12" s="477">
        <f>'5. 2019 O&amp;G'!K19</f>
        <v>114.48408219178081</v>
      </c>
      <c r="U12" s="479">
        <f>'5. 2019 O&amp;G'!W19</f>
        <v>3.3001369863013679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2019 O&amp;G'!C20</f>
        <v>#VALUE!</v>
      </c>
      <c r="M13" s="474" t="str">
        <f>'5. 2019 O&amp;G'!D20</f>
        <v>ECP</v>
      </c>
      <c r="N13" s="474" t="str">
        <f>'5. 2019 O&amp;G'!E20</f>
        <v>Puerto Gaitan</v>
      </c>
      <c r="O13" s="474" t="str">
        <f>'5. 2019 O&amp;G'!F20</f>
        <v>Llanos Orientales</v>
      </c>
      <c r="P13" s="475" t="str">
        <f>'5. 2019 O&amp;G'!G20</f>
        <v>Rubiales</v>
      </c>
      <c r="Q13" s="473">
        <f>'5. 2019 O&amp;G'!H20</f>
        <v>12.850000000000001</v>
      </c>
      <c r="R13" s="476"/>
      <c r="S13" s="476" t="str">
        <f>'5. 2019 O&amp;G'!J20</f>
        <v>Heavy Oil</v>
      </c>
      <c r="T13" s="477">
        <f>'5. 2019 O&amp;G'!K20</f>
        <v>0</v>
      </c>
      <c r="U13" s="479">
        <f>'5. 2019 O&amp;G'!W20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2019 O&amp;G'!C21</f>
        <v>#VALUE!</v>
      </c>
      <c r="M14" s="474" t="str">
        <f>'5. 2019 O&amp;G'!D21</f>
        <v>ECP</v>
      </c>
      <c r="N14" s="474" t="str">
        <f>'5. 2019 O&amp;G'!E21</f>
        <v>Acacias/Castilla Nueva</v>
      </c>
      <c r="O14" s="474" t="str">
        <f>'5. 2019 O&amp;G'!F21</f>
        <v>Llanos Orientales</v>
      </c>
      <c r="P14" s="475" t="str">
        <f>'5. 2019 O&amp;G'!G21</f>
        <v>Castilla (c, e, n, n)</v>
      </c>
      <c r="Q14" s="473">
        <f>'5. 2019 O&amp;G'!H21</f>
        <v>13.7</v>
      </c>
      <c r="R14" s="476"/>
      <c r="S14" s="476" t="str">
        <f>'5. 2019 O&amp;G'!J21</f>
        <v>Heavy Oil</v>
      </c>
      <c r="T14" s="477">
        <f>'5. 2019 O&amp;G'!K21</f>
        <v>0</v>
      </c>
      <c r="U14" s="479">
        <f>'5. 2019 O&amp;G'!W21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2019 O&amp;G'!C22</f>
        <v>#VALUE!</v>
      </c>
      <c r="M15" s="474" t="str">
        <f>'5. 2019 O&amp;G'!D22</f>
        <v>ECP</v>
      </c>
      <c r="N15" s="474" t="str">
        <f>'5. 2019 O&amp;G'!E22</f>
        <v>Acacias/Guamal</v>
      </c>
      <c r="O15" s="474" t="str">
        <f>'5. 2019 O&amp;G'!F22</f>
        <v>Llanos Orientales</v>
      </c>
      <c r="P15" s="475" t="str">
        <f>'5. 2019 O&amp;G'!G22</f>
        <v>Chichimene</v>
      </c>
      <c r="Q15" s="473">
        <f>'5. 2019 O&amp;G'!H22</f>
        <v>13.5</v>
      </c>
      <c r="R15" s="476"/>
      <c r="S15" s="476" t="str">
        <f>'5. 2019 O&amp;G'!J22</f>
        <v>Heavy Oil</v>
      </c>
      <c r="T15" s="477">
        <f>'5. 2019 O&amp;G'!K22</f>
        <v>3.793589041095891</v>
      </c>
      <c r="U15" s="479">
        <f>'5. 2019 O&amp;G'!W22</f>
        <v>3.793589041095891</v>
      </c>
      <c r="V15" s="478">
        <v>69090.784575342463</v>
      </c>
      <c r="W15" s="478">
        <v>2.9221917808219184</v>
      </c>
      <c r="Y15" s="478">
        <v>0.87139726027397268</v>
      </c>
      <c r="Z15" s="478">
        <v>0</v>
      </c>
      <c r="AA15" s="478">
        <v>0</v>
      </c>
      <c r="AB15" s="478">
        <v>0</v>
      </c>
    </row>
    <row r="16" spans="3:28" x14ac:dyDescent="0.25">
      <c r="C16" s="19" t="s">
        <v>518</v>
      </c>
      <c r="D16" s="148" t="str">
        <f>'Bases de Cálculo'!B24</f>
        <v>Gasolina de aviación</v>
      </c>
      <c r="E16" s="122">
        <f>'Bases de Cálculo'!F24</f>
        <v>4.7615165047769556</v>
      </c>
      <c r="F16" s="313">
        <f>'Bases de Cálculo'!G24</f>
        <v>56.337812381502502</v>
      </c>
      <c r="L16" s="473" t="e" vm="4">
        <f>'5. 2019 O&amp;G'!C23</f>
        <v>#VALUE!</v>
      </c>
      <c r="M16" s="474" t="str">
        <f>'5. 2019 O&amp;G'!D23</f>
        <v>ECP</v>
      </c>
      <c r="N16" s="474" t="str">
        <f>'5. 2019 O&amp;G'!E23</f>
        <v>Acacias/Guamal</v>
      </c>
      <c r="O16" s="474" t="str">
        <f>'5. 2019 O&amp;G'!F23</f>
        <v>Llanos Orientales</v>
      </c>
      <c r="P16" s="475" t="str">
        <f>'5. 2019 O&amp;G'!G23</f>
        <v>Akacias</v>
      </c>
      <c r="Q16" s="473">
        <f>'5. 2019 O&amp;G'!H23</f>
        <v>8</v>
      </c>
      <c r="R16" s="476"/>
      <c r="S16" s="476" t="str">
        <f>'5. 2019 O&amp;G'!J23</f>
        <v>Heavy Oil</v>
      </c>
      <c r="T16" s="477">
        <f>'5. 2019 O&amp;G'!K23</f>
        <v>0.58205479452054798</v>
      </c>
      <c r="U16" s="479">
        <f>'5. 2019 O&amp;G'!W23</f>
        <v>0.58205479452054798</v>
      </c>
      <c r="V16" s="478">
        <v>19756.607616438356</v>
      </c>
      <c r="W16" s="478">
        <v>0.58205479452054798</v>
      </c>
      <c r="Y16" s="478">
        <v>0</v>
      </c>
      <c r="Z16" s="478">
        <v>0</v>
      </c>
      <c r="AA16" s="478">
        <v>0</v>
      </c>
      <c r="AB16" s="478">
        <v>0</v>
      </c>
    </row>
    <row r="17" spans="3:28" x14ac:dyDescent="0.25">
      <c r="C17" s="19" t="s">
        <v>515</v>
      </c>
      <c r="D17" s="151" t="str">
        <f>'Bases de Cálculo'!B25</f>
        <v>Refinery Gas</v>
      </c>
      <c r="E17" s="314">
        <f>'Bases de Cálculo'!F25</f>
        <v>4.1867999999999999</v>
      </c>
      <c r="F17" s="315">
        <f>'Bases de Cálculo'!G25</f>
        <v>40.784041574326501</v>
      </c>
      <c r="L17" s="473" t="e" vm="4">
        <f>'5. 2019 O&amp;G'!C24</f>
        <v>#VALUE!</v>
      </c>
      <c r="M17" s="474" t="str">
        <f>'5. 2019 O&amp;G'!D24</f>
        <v>ECP</v>
      </c>
      <c r="N17" s="474" t="str">
        <f>'5. 2019 O&amp;G'!E24</f>
        <v>Villavicencio</v>
      </c>
      <c r="O17" s="474" t="str">
        <f>'5. 2019 O&amp;G'!F24</f>
        <v>Llanos Orientales</v>
      </c>
      <c r="P17" s="475" t="str">
        <f>'5. 2019 O&amp;G'!G24</f>
        <v>Apiay</v>
      </c>
      <c r="Q17" s="473">
        <f>'5. 2019 O&amp;G'!H24</f>
        <v>13.5</v>
      </c>
      <c r="R17" s="476"/>
      <c r="S17" s="476" t="str">
        <f>'5. 2019 O&amp;G'!J24</f>
        <v>Heavy Oil</v>
      </c>
      <c r="T17" s="477">
        <f>'5. 2019 O&amp;G'!K24</f>
        <v>0.23824657534246574</v>
      </c>
      <c r="U17" s="479">
        <f>'5. 2019 O&amp;G'!W24</f>
        <v>0.23824657534246574</v>
      </c>
      <c r="V17" s="478">
        <v>1476.5236986301368</v>
      </c>
      <c r="W17" s="478">
        <v>0.1378630136986301</v>
      </c>
      <c r="Y17" s="478">
        <v>0.10038356164383562</v>
      </c>
      <c r="Z17" s="478">
        <v>0</v>
      </c>
      <c r="AA17" s="478">
        <v>0</v>
      </c>
      <c r="AB17" s="478">
        <v>0</v>
      </c>
    </row>
    <row r="18" spans="3:28" x14ac:dyDescent="0.25">
      <c r="C18" s="142" t="s">
        <v>481</v>
      </c>
      <c r="L18" s="473" t="e" vm="5">
        <f>'5. 2019 O&amp;G'!C25</f>
        <v>#VALUE!</v>
      </c>
      <c r="M18" s="474" t="str">
        <f>'5. 2019 O&amp;G'!D25</f>
        <v>ECP</v>
      </c>
      <c r="N18" s="474" t="str">
        <f>'5. 2019 O&amp;G'!E25</f>
        <v>Orito</v>
      </c>
      <c r="O18" s="474" t="str">
        <f>'5. 2019 O&amp;G'!F25</f>
        <v>Putumayo</v>
      </c>
      <c r="P18" s="475" t="str">
        <f>'5. 2019 O&amp;G'!G25</f>
        <v>Orito</v>
      </c>
      <c r="Q18" s="473">
        <f>'5. 2019 O&amp;G'!H25</f>
        <v>35</v>
      </c>
      <c r="R18" s="476"/>
      <c r="S18" s="476" t="str">
        <f>'5. 2019 O&amp;G'!J25</f>
        <v>Light Oil</v>
      </c>
      <c r="T18" s="477">
        <f>'5. 2019 O&amp;G'!K25</f>
        <v>3.4626301369863017</v>
      </c>
      <c r="U18" s="477">
        <f>'5. 2019 O&amp;G'!W25</f>
        <v>3.4626301369863017</v>
      </c>
      <c r="V18" s="478">
        <v>1962.0646849315069</v>
      </c>
      <c r="W18" s="478">
        <v>3.4626301369863017</v>
      </c>
      <c r="Y18" s="478">
        <v>0</v>
      </c>
      <c r="Z18" s="478">
        <v>0</v>
      </c>
      <c r="AA18" s="478">
        <v>0</v>
      </c>
      <c r="AB18" s="478">
        <v>0</v>
      </c>
    </row>
    <row r="19" spans="3:28" x14ac:dyDescent="0.25">
      <c r="L19" s="473" t="e" vm="6">
        <f>'5. 2019 O&amp;G'!C26</f>
        <v>#VALUE!</v>
      </c>
      <c r="M19" s="474" t="str">
        <f>'5. 2019 O&amp;G'!D26</f>
        <v>ECP</v>
      </c>
      <c r="N19" s="474" t="str">
        <f>'5. 2019 O&amp;G'!E26</f>
        <v>Yondo</v>
      </c>
      <c r="O19" s="474" t="str">
        <f>'5. 2019 O&amp;G'!F26</f>
        <v>VMM</v>
      </c>
      <c r="P19" s="475" t="str">
        <f>'5. 2019 O&amp;G'!G26</f>
        <v>Casabe</v>
      </c>
      <c r="Q19" s="473">
        <f>'5. 2019 O&amp;G'!H26</f>
        <v>21</v>
      </c>
      <c r="R19" s="476"/>
      <c r="S19" s="476" t="str">
        <f>'5. 2019 O&amp;G'!J26</f>
        <v>Medium Oil</v>
      </c>
      <c r="T19" s="477">
        <f>'5. 2019 O&amp;G'!K26</f>
        <v>1.1893972602739726</v>
      </c>
      <c r="U19" s="479">
        <f>'5. 2019 O&amp;G'!W26</f>
        <v>1.1893972602739726</v>
      </c>
      <c r="V19" s="478">
        <v>12119.3965753425</v>
      </c>
      <c r="W19" s="478">
        <v>0.23397260273972598</v>
      </c>
      <c r="Y19" s="478">
        <v>0.95542465753424666</v>
      </c>
      <c r="Z19" s="478">
        <v>0</v>
      </c>
      <c r="AA19" s="478">
        <v>0</v>
      </c>
      <c r="AB19" s="478">
        <v>0</v>
      </c>
    </row>
    <row r="20" spans="3:28" x14ac:dyDescent="0.25">
      <c r="L20" s="473" t="e" vm="6">
        <f>'5. 2019 O&amp;G'!C27</f>
        <v>#VALUE!</v>
      </c>
      <c r="M20" s="474" t="str">
        <f>'5. 2019 O&amp;G'!D27</f>
        <v>ECP</v>
      </c>
      <c r="N20" s="474" t="str">
        <f>'5. 2019 O&amp;G'!E27</f>
        <v>Puerto Nare</v>
      </c>
      <c r="O20" s="474" t="str">
        <f>'5. 2019 O&amp;G'!F27</f>
        <v>VMM</v>
      </c>
      <c r="P20" s="475" t="str">
        <f>'5. 2019 O&amp;G'!G27</f>
        <v>Area Teca-Corcona</v>
      </c>
      <c r="Q20" s="473">
        <f>'5. 2019 O&amp;G'!H27</f>
        <v>12.5</v>
      </c>
      <c r="R20" s="476"/>
      <c r="S20" s="476" t="str">
        <f>'5. 2019 O&amp;G'!J27</f>
        <v>Heavy Oil</v>
      </c>
      <c r="T20" s="477">
        <f>'5. 2019 O&amp;G'!K27</f>
        <v>0.23824657534246574</v>
      </c>
      <c r="U20" s="479">
        <f>'5. 2019 O&amp;G'!W27</f>
        <v>0.23824657534246574</v>
      </c>
      <c r="V20" s="478">
        <v>1476.5236986301368</v>
      </c>
      <c r="W20" s="478">
        <v>0.1378630136986301</v>
      </c>
      <c r="Y20" s="478">
        <v>0.10038356164383562</v>
      </c>
      <c r="Z20" s="478">
        <v>0</v>
      </c>
      <c r="AA20" s="478">
        <v>0</v>
      </c>
      <c r="AB20" s="478">
        <v>0</v>
      </c>
    </row>
    <row r="21" spans="3:28" x14ac:dyDescent="0.25">
      <c r="L21" s="473" t="e" vm="7">
        <f>'5. 2019 O&amp;G'!C28</f>
        <v>#VALUE!</v>
      </c>
      <c r="M21" s="474" t="str">
        <f>'5. 2019 O&amp;G'!D28</f>
        <v>ECP</v>
      </c>
      <c r="N21" s="474" t="str">
        <f>'5. 2019 O&amp;G'!E28</f>
        <v>Puerto Wilches</v>
      </c>
      <c r="O21" s="474" t="str">
        <f>'5. 2019 O&amp;G'!F28</f>
        <v>VMM</v>
      </c>
      <c r="P21" s="475" t="str">
        <f>'5. 2019 O&amp;G'!G28</f>
        <v>Yarigui-Cantagallo</v>
      </c>
      <c r="Q21" s="473">
        <f>'5. 2019 O&amp;G'!H28</f>
        <v>21</v>
      </c>
      <c r="R21" s="476"/>
      <c r="S21" s="476" t="str">
        <f>'5. 2019 O&amp;G'!J28</f>
        <v>Medium Oil</v>
      </c>
      <c r="T21" s="477">
        <f>'5. 2019 O&amp;G'!K28</f>
        <v>5.057041095890412</v>
      </c>
      <c r="U21" s="479">
        <f>'5. 2019 O&amp;G'!W28</f>
        <v>5.057041095890412</v>
      </c>
      <c r="V21" s="478">
        <v>17849.99879452055</v>
      </c>
      <c r="W21" s="478">
        <v>0.21123287671232879</v>
      </c>
      <c r="Y21" s="478">
        <v>2.4027123287671235</v>
      </c>
      <c r="Z21" s="478">
        <v>0</v>
      </c>
      <c r="AA21" s="478">
        <v>0</v>
      </c>
      <c r="AB21" s="478">
        <v>2.4430958904109596</v>
      </c>
    </row>
    <row r="22" spans="3:28" x14ac:dyDescent="0.25">
      <c r="L22" s="473" t="e" vm="7">
        <f>'5. 2019 O&amp;G'!C29</f>
        <v>#VALUE!</v>
      </c>
      <c r="M22" s="474" t="str">
        <f>'5. 2019 O&amp;G'!D29</f>
        <v>ECP</v>
      </c>
      <c r="N22" s="474" t="str">
        <f>'5. 2019 O&amp;G'!E29</f>
        <v>Barrancabermeja</v>
      </c>
      <c r="O22" s="474" t="str">
        <f>'5. 2019 O&amp;G'!F29</f>
        <v>VMM</v>
      </c>
      <c r="P22" s="475" t="str">
        <f>'5. 2019 O&amp;G'!G29</f>
        <v>La Cira</v>
      </c>
      <c r="Q22" s="473">
        <f>'5. 2019 O&amp;G'!H29</f>
        <v>22.5</v>
      </c>
      <c r="R22" s="476"/>
      <c r="S22" s="476" t="str">
        <f>'5. 2019 O&amp;G'!J29</f>
        <v>Medium Oil</v>
      </c>
      <c r="T22" s="477">
        <f>'5. 2019 O&amp;G'!K29</f>
        <v>6.7767123287671236</v>
      </c>
      <c r="U22" s="479">
        <f>'5. 2019 O&amp;G'!W29</f>
        <v>6.7767123287671236</v>
      </c>
      <c r="V22" s="478">
        <v>42334.39687671233</v>
      </c>
      <c r="W22" s="478">
        <v>1.6441095890410957</v>
      </c>
      <c r="Y22" s="478">
        <v>1.396739726027397</v>
      </c>
      <c r="Z22" s="478">
        <v>3.7358630136986304</v>
      </c>
      <c r="AA22" s="478">
        <v>0</v>
      </c>
      <c r="AB22" s="478">
        <v>0</v>
      </c>
    </row>
    <row r="23" spans="3:28" x14ac:dyDescent="0.25">
      <c r="L23" s="473" t="e" vm="8">
        <f>'5. 2019 O&amp;G'!C30</f>
        <v>#VALUE!</v>
      </c>
      <c r="M23" s="474" t="str">
        <f>'5. 2019 O&amp;G'!D30</f>
        <v>ECP</v>
      </c>
      <c r="N23" s="474" t="str">
        <f>'5. 2019 O&amp;G'!E30</f>
        <v>Aipe</v>
      </c>
      <c r="O23" s="474" t="str">
        <f>'5. 2019 O&amp;G'!F30</f>
        <v>VSM</v>
      </c>
      <c r="P23" s="475" t="str">
        <f>'5. 2019 O&amp;G'!G30</f>
        <v>Dina</v>
      </c>
      <c r="Q23" s="473">
        <f>'5. 2019 O&amp;G'!H30</f>
        <v>23</v>
      </c>
      <c r="R23" s="476"/>
      <c r="S23" s="476" t="str">
        <f>'5. 2019 O&amp;G'!J30</f>
        <v>Medium Oil</v>
      </c>
      <c r="T23" s="477">
        <f>'5. 2019 O&amp;G'!K30</f>
        <v>1.9274794520547947</v>
      </c>
      <c r="U23" s="479">
        <f>'5. 2019 O&amp;G'!W30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2019 O&amp;G'!C31</f>
        <v>#VALUE!</v>
      </c>
      <c r="M24" s="474" t="str">
        <f>'5. 2019 O&amp;G'!D31</f>
        <v>ECP</v>
      </c>
      <c r="N24" s="474" t="str">
        <f>'5. 2019 O&amp;G'!E31</f>
        <v>Neiva/Palermo</v>
      </c>
      <c r="O24" s="474" t="str">
        <f>'5. 2019 O&amp;G'!F31</f>
        <v>VSM</v>
      </c>
      <c r="P24" s="475" t="str">
        <f>'5. 2019 O&amp;G'!G31</f>
        <v>San Francisco</v>
      </c>
      <c r="Q24" s="473">
        <f>'5. 2019 O&amp;G'!H31</f>
        <v>25.5</v>
      </c>
      <c r="R24" s="476"/>
      <c r="S24" s="476" t="str">
        <f>'5. 2019 O&amp;G'!J31</f>
        <v>Medium Oil</v>
      </c>
      <c r="T24" s="477">
        <f>'5. 2019 O&amp;G'!K31</f>
        <v>0.8670410958904109</v>
      </c>
      <c r="U24" s="479">
        <f>'5. 2019 O&amp;G'!W31</f>
        <v>0.8670410958904109</v>
      </c>
      <c r="V24" s="478">
        <v>4154.1152328767121</v>
      </c>
      <c r="W24" s="478">
        <v>0.41205479452054788</v>
      </c>
      <c r="Y24" s="478">
        <v>0.45498630136986301</v>
      </c>
      <c r="Z24" s="478">
        <v>0</v>
      </c>
      <c r="AA24" s="478">
        <v>0</v>
      </c>
      <c r="AB24" s="478">
        <v>0</v>
      </c>
    </row>
    <row r="25" spans="3:28" x14ac:dyDescent="0.25">
      <c r="L25" s="473" t="e" vm="8">
        <f>'5. 2019 O&amp;G'!C32</f>
        <v>#VALUE!</v>
      </c>
      <c r="M25" s="474" t="str">
        <f>'5. 2019 O&amp;G'!D32</f>
        <v>ECP</v>
      </c>
      <c r="N25" s="474" t="str">
        <f>'5. 2019 O&amp;G'!E32</f>
        <v>Neiva</v>
      </c>
      <c r="O25" s="474" t="str">
        <f>'5. 2019 O&amp;G'!F32</f>
        <v>VSM</v>
      </c>
      <c r="P25" s="480" t="str">
        <f>'5. 2019 O&amp;G'!G32</f>
        <v>Tello</v>
      </c>
      <c r="Q25" s="473">
        <f>'5. 2019 O&amp;G'!H32</f>
        <v>21</v>
      </c>
      <c r="R25" s="476"/>
      <c r="S25" s="476" t="str">
        <f>'5. 2019 O&amp;G'!J32</f>
        <v>Medium Oil</v>
      </c>
      <c r="T25" s="477">
        <f>'5. 2019 O&amp;G'!K32</f>
        <v>1.1906575342465753</v>
      </c>
      <c r="U25" s="479">
        <f>'5. 2019 O&amp;G'!W32</f>
        <v>1.1906575342465753</v>
      </c>
      <c r="V25" s="478">
        <v>3941.1335068493149</v>
      </c>
      <c r="W25" s="478">
        <v>1.5506849315068495E-2</v>
      </c>
      <c r="Y25" s="478">
        <v>0</v>
      </c>
      <c r="Z25" s="478">
        <v>1.1751506849315068</v>
      </c>
      <c r="AA25" s="478">
        <v>0.52964383561643835</v>
      </c>
      <c r="AB25" s="478">
        <v>0</v>
      </c>
    </row>
    <row r="29" spans="3:28" x14ac:dyDescent="0.25">
      <c r="P29" s="486" t="s">
        <v>922</v>
      </c>
      <c r="Q29" s="486" t="s">
        <v>922</v>
      </c>
      <c r="S29" s="486" t="s">
        <v>922</v>
      </c>
      <c r="T29" s="486" t="s">
        <v>922</v>
      </c>
      <c r="U29" s="486" t="s">
        <v>930</v>
      </c>
      <c r="V29" s="20" t="s">
        <v>930</v>
      </c>
    </row>
    <row r="30" spans="3:28" ht="15.75" x14ac:dyDescent="0.25">
      <c r="I30" t="s">
        <v>975</v>
      </c>
      <c r="J30" t="s">
        <v>968</v>
      </c>
      <c r="K30" s="121" t="s">
        <v>961</v>
      </c>
      <c r="L30" s="520" t="s">
        <v>565</v>
      </c>
      <c r="N30" s="526" t="s">
        <v>934</v>
      </c>
      <c r="O30" s="520" t="str">
        <f>+O5</f>
        <v>Basin</v>
      </c>
      <c r="P30" s="521" t="s">
        <v>921</v>
      </c>
      <c r="Q30" s="521" t="s">
        <v>923</v>
      </c>
      <c r="S30" s="521" t="s">
        <v>575</v>
      </c>
      <c r="T30" s="521" t="s">
        <v>661</v>
      </c>
      <c r="U30" s="521" t="s">
        <v>931</v>
      </c>
      <c r="V30" s="521" t="s">
        <v>932</v>
      </c>
      <c r="W30" s="527" t="s">
        <v>936</v>
      </c>
      <c r="Y30" s="525" t="s">
        <v>911</v>
      </c>
      <c r="AB30" t="s">
        <v>933</v>
      </c>
    </row>
    <row r="31" spans="3:28" ht="15.75" x14ac:dyDescent="0.25">
      <c r="I31" s="523">
        <f>+(Y6+Y7)*365*$E$7/1000</f>
        <v>2.4500442407782339</v>
      </c>
      <c r="J31" s="523">
        <f>+(Z6+Z7)*365*$E$7/1000</f>
        <v>5.6186813035864827</v>
      </c>
      <c r="K31" s="523">
        <f>+(AA6+AA7)*365*$E$7/1000</f>
        <v>0</v>
      </c>
      <c r="L31" s="523">
        <f>+(W6+W7)*365*$E$7/1000</f>
        <v>9.2838893372876957E-2</v>
      </c>
      <c r="N31" s="507" t="s">
        <v>57</v>
      </c>
      <c r="O31" s="522" t="s">
        <v>925</v>
      </c>
      <c r="P31" s="523">
        <f>+(U6+U7)*365*$E$7/1000</f>
        <v>68.585731940983621</v>
      </c>
      <c r="Q31" s="523">
        <f>+SUM(V6:V7)*365*(1/1000)*$E$8/1000</f>
        <v>0</v>
      </c>
      <c r="S31" s="122">
        <f>+Q31+P31</f>
        <v>68.585731940983621</v>
      </c>
      <c r="T31" s="122">
        <f>+S31-L31</f>
        <v>68.49289304761075</v>
      </c>
      <c r="U31" s="553">
        <f>+T31/S31</f>
        <v>0.99864638182395205</v>
      </c>
      <c r="V31" s="552">
        <f t="shared" ref="V31:V36" si="0">+Q31/T31</f>
        <v>0</v>
      </c>
      <c r="W31" s="72">
        <f>'5. Potencial O&amp;G'!BE6</f>
        <v>-2.6851115732294639</v>
      </c>
      <c r="Y31" s="57">
        <f>+'5. Potencial O&amp;G'!AY5</f>
        <v>2037</v>
      </c>
      <c r="AB31" s="63">
        <f t="shared" ref="AB31:AB36" si="1">+Q31/S31</f>
        <v>0</v>
      </c>
    </row>
    <row r="32" spans="3:28" ht="15.75" x14ac:dyDescent="0.25">
      <c r="I32" s="523">
        <f>+SUM(Y9:Y12)*365*$E$7/1000</f>
        <v>29.713513857188524</v>
      </c>
      <c r="J32" s="523">
        <f>+SUM(Z9:Z12)*365*$E$7/1000</f>
        <v>69.637902700685089</v>
      </c>
      <c r="K32" s="523">
        <f>+SUM(AA9:AA12)*365*$E$7/1000</f>
        <v>14.229458377200496</v>
      </c>
      <c r="L32" s="523">
        <f>+SUM(W9:W12)*365*$E$7/1000</f>
        <v>1.8340325404926532</v>
      </c>
      <c r="N32" s="507" t="s">
        <v>58</v>
      </c>
      <c r="O32" s="524" t="s">
        <v>924</v>
      </c>
      <c r="P32" s="523">
        <f>+SUM(U8:U12)*365*$E$7/1000</f>
        <v>268.62997399554627</v>
      </c>
      <c r="Q32" s="523">
        <f>+SUM(V8:V12)*365*(1/1000)*$E$8/1000</f>
        <v>99.99628148036247</v>
      </c>
      <c r="S32" s="122">
        <f>+P32+Q32</f>
        <v>368.62625547590875</v>
      </c>
      <c r="T32" s="122">
        <f t="shared" ref="T32:T36" si="2">+S32-L32</f>
        <v>366.79222293541608</v>
      </c>
      <c r="U32" s="553">
        <f t="shared" ref="U32:U36" si="3">+T32/S32</f>
        <v>0.99502468282373191</v>
      </c>
      <c r="V32" s="552">
        <f t="shared" si="0"/>
        <v>0.27262377778922969</v>
      </c>
      <c r="W32" s="72">
        <f>'5. Potencial O&amp;G'!BE7</f>
        <v>-9.382008134021282</v>
      </c>
      <c r="Y32" s="57">
        <f>+'5. Potencial O&amp;G'!BD5</f>
        <v>2050</v>
      </c>
      <c r="AB32" s="63">
        <f t="shared" si="1"/>
        <v>0.27126738802493583</v>
      </c>
    </row>
    <row r="33" spans="3:28" ht="15.75" x14ac:dyDescent="0.25">
      <c r="I33" s="523">
        <f>+SUM(Y13:Y17)*365*$E$7/1000</f>
        <v>0.35808998998868485</v>
      </c>
      <c r="J33" s="523">
        <f>+SUM(Z13:Z17)*365*$E$7/1000</f>
        <v>0</v>
      </c>
      <c r="K33" s="523">
        <f>+SUM(AA13:AA17)*365*$E$7/1000</f>
        <v>0</v>
      </c>
      <c r="L33" s="523">
        <f>+SUM(W13:W17)*365*$E$7/1000</f>
        <v>1.3420752466626953</v>
      </c>
      <c r="N33" s="507" t="s">
        <v>59</v>
      </c>
      <c r="O33" s="19" t="s">
        <v>926</v>
      </c>
      <c r="P33" s="523">
        <f>+SUM(U13:U17)*365*$E$7/1000</f>
        <v>1.7001652366513802</v>
      </c>
      <c r="Q33" s="523">
        <f>+SUM(V13:V17)*365*(1/1000)*$E$8/1000</f>
        <v>719.17747734585976</v>
      </c>
      <c r="S33" s="122">
        <f>+Q33+P33</f>
        <v>720.87764258251116</v>
      </c>
      <c r="T33" s="122">
        <f t="shared" si="2"/>
        <v>719.53556733584844</v>
      </c>
      <c r="U33" s="553">
        <f t="shared" si="3"/>
        <v>0.99813827594672688</v>
      </c>
      <c r="V33" s="552">
        <f t="shared" si="0"/>
        <v>0.99950233177309833</v>
      </c>
      <c r="W33" s="72">
        <f>'5. Potencial O&amp;G'!BE8</f>
        <v>-19.949111557879402</v>
      </c>
      <c r="Y33" s="57">
        <f>+'5. Potencial O&amp;G'!BD5</f>
        <v>2050</v>
      </c>
      <c r="AB33" s="63">
        <f t="shared" si="1"/>
        <v>0.99764153424073376</v>
      </c>
    </row>
    <row r="34" spans="3:28" ht="15.75" x14ac:dyDescent="0.25">
      <c r="I34" s="523">
        <f>+(Y18)*365*$AA$7/1000</f>
        <v>0</v>
      </c>
      <c r="J34" s="523">
        <f>+(Z18)*365*$AA$7/1000</f>
        <v>0</v>
      </c>
      <c r="K34" s="523">
        <f>+(AA18)*365*$AA$7/1000</f>
        <v>0</v>
      </c>
      <c r="L34" s="523">
        <f>+(W18)*365*$E$7/1000</f>
        <v>1.2759391450439788</v>
      </c>
      <c r="N34" s="507" t="s">
        <v>60</v>
      </c>
      <c r="O34" s="19" t="s">
        <v>927</v>
      </c>
      <c r="P34" s="523">
        <f>+(U18)*365*$E$7/1000</f>
        <v>1.2759391450439788</v>
      </c>
      <c r="Q34" s="523">
        <f>+SUM(V18)*365*(1/1000)*$E$8/1000</f>
        <v>4.3593517548323124</v>
      </c>
      <c r="S34" s="122">
        <f>+Q34+P34</f>
        <v>5.6352908998762912</v>
      </c>
      <c r="T34" s="122">
        <f t="shared" si="2"/>
        <v>4.3593517548323124</v>
      </c>
      <c r="U34" s="553">
        <f t="shared" si="3"/>
        <v>0.7735806069794926</v>
      </c>
      <c r="V34" s="552">
        <f t="shared" si="0"/>
        <v>1</v>
      </c>
      <c r="W34" s="72">
        <f>'5. Potencial O&amp;G'!BE9</f>
        <v>-0.15021157762588969</v>
      </c>
      <c r="Y34" s="57">
        <v>2043</v>
      </c>
      <c r="AB34" s="63">
        <f t="shared" si="1"/>
        <v>0.7735806069794926</v>
      </c>
    </row>
    <row r="35" spans="3:28" ht="15.75" x14ac:dyDescent="0.25">
      <c r="I35" s="523">
        <f>+(Y19+Y21+Y22)*365*$E$7/1000</f>
        <v>1.7521170575840492</v>
      </c>
      <c r="J35" s="523">
        <f>+(Z19+Z21+Z22)*365*$E$7/1000</f>
        <v>1.3766222989813104</v>
      </c>
      <c r="K35" s="523">
        <f>+(AA19+AA21+AA22)*365*$E$7/1000</f>
        <v>0</v>
      </c>
      <c r="L35" s="523">
        <f>+(W19+W21+W22)*365*$E$7/1000</f>
        <v>0.76988843068895141</v>
      </c>
      <c r="N35" s="507" t="s">
        <v>61</v>
      </c>
      <c r="O35" s="19" t="s">
        <v>929</v>
      </c>
      <c r="P35" s="523">
        <f>+(U19++U21+U22)*365*$E$7/1000</f>
        <v>4.7988803578001527</v>
      </c>
      <c r="Q35" s="523">
        <f>+(SUM(V19:V22)-V20)*365*(1/1000)*$E$8/1000</f>
        <v>160.64590837999941</v>
      </c>
      <c r="S35" s="122">
        <f>+Q35+P35</f>
        <v>165.44478873779957</v>
      </c>
      <c r="T35" s="122">
        <f t="shared" si="2"/>
        <v>164.67490030711062</v>
      </c>
      <c r="U35" s="553">
        <f t="shared" si="3"/>
        <v>0.99534655375631631</v>
      </c>
      <c r="V35" s="552">
        <f t="shared" si="0"/>
        <v>0.9755336610521862</v>
      </c>
      <c r="W35" s="72">
        <f>'5. Potencial O&amp;G'!BE10</f>
        <v>-4.4565773241322679</v>
      </c>
      <c r="Y35" s="57">
        <v>2047</v>
      </c>
      <c r="AB35" s="63">
        <f t="shared" si="1"/>
        <v>0.97099406760157603</v>
      </c>
    </row>
    <row r="36" spans="3:28" ht="15.75" x14ac:dyDescent="0.25">
      <c r="I36" s="554">
        <f>+(Y23+Y24+Y25)*365*$E$7/1000</f>
        <v>0.20575788232194489</v>
      </c>
      <c r="J36" s="554">
        <f>+(Z23+Z24+Z25)*365*$E$7/1000</f>
        <v>1.0198649246869729</v>
      </c>
      <c r="K36" s="554">
        <f>+(AA23+AA24+AA25)*365*$E$7/1000</f>
        <v>0.40126875760023278</v>
      </c>
      <c r="L36" s="554">
        <f>+(W23+W24+W25)*365*$E$7/1000</f>
        <v>0.24158707246769742</v>
      </c>
      <c r="N36" s="507" t="s">
        <v>62</v>
      </c>
      <c r="O36" s="524" t="s">
        <v>928</v>
      </c>
      <c r="P36" s="523">
        <f>+(U23+U24+U25)*365*$E$7/1000</f>
        <v>1.4684920173037526</v>
      </c>
      <c r="Q36" s="523">
        <f>+SUM(V23:V25)*365*(1/1000)*$E$8/1000</f>
        <v>28.394686542809104</v>
      </c>
      <c r="S36" s="122">
        <f>+Q36+P36</f>
        <v>29.863178560112857</v>
      </c>
      <c r="T36" s="122">
        <f t="shared" si="2"/>
        <v>29.621591487645158</v>
      </c>
      <c r="U36" s="553">
        <f t="shared" si="3"/>
        <v>0.99191020232553617</v>
      </c>
      <c r="V36" s="552">
        <f t="shared" si="0"/>
        <v>0.95858072158790719</v>
      </c>
      <c r="W36" s="72">
        <f>'5. Potencial O&amp;G'!BE11</f>
        <v>-0.72707065395261417</v>
      </c>
      <c r="Y36" s="57">
        <f>+'5. Potencial O&amp;G'!BD5</f>
        <v>2050</v>
      </c>
      <c r="AB36" s="63">
        <f t="shared" si="1"/>
        <v>0.95082599749561947</v>
      </c>
    </row>
    <row r="37" spans="3:28" ht="15.75" x14ac:dyDescent="0.25">
      <c r="O37" s="524"/>
      <c r="P37" s="523"/>
      <c r="Q37" s="523"/>
    </row>
    <row r="38" spans="3:28" ht="15.75" x14ac:dyDescent="0.25">
      <c r="D38" t="s">
        <v>976</v>
      </c>
      <c r="I38" s="57">
        <f>+SUM(I31:I36)</f>
        <v>34.47952302786144</v>
      </c>
      <c r="J38" t="s">
        <v>9</v>
      </c>
      <c r="O38" s="524"/>
      <c r="P38" s="523"/>
      <c r="Q38" s="523"/>
      <c r="R38" s="523"/>
      <c r="S38" s="523"/>
    </row>
    <row r="39" spans="3:28" x14ac:dyDescent="0.25">
      <c r="C39" t="s">
        <v>977</v>
      </c>
      <c r="D39" s="75">
        <v>3031</v>
      </c>
      <c r="E39" t="s">
        <v>559</v>
      </c>
      <c r="I39">
        <f>+I38/0.0036</f>
        <v>9577.6452855170664</v>
      </c>
      <c r="J39" t="s">
        <v>252</v>
      </c>
    </row>
    <row r="40" spans="3:28" x14ac:dyDescent="0.25">
      <c r="C40" t="s">
        <v>978</v>
      </c>
      <c r="D40" s="75">
        <v>1646</v>
      </c>
      <c r="E40" t="s">
        <v>559</v>
      </c>
    </row>
    <row r="41" spans="3:28" x14ac:dyDescent="0.25">
      <c r="C41" t="s">
        <v>977</v>
      </c>
      <c r="D41" s="75">
        <f>++D39*0.0036</f>
        <v>10.9116</v>
      </c>
      <c r="E41" t="s">
        <v>9</v>
      </c>
      <c r="I41">
        <f>+I38*0.35</f>
        <v>12.067833059751504</v>
      </c>
      <c r="N41" s="316" t="s">
        <v>0</v>
      </c>
      <c r="O41" s="1"/>
      <c r="P41" s="1"/>
      <c r="Q41" s="19" t="s">
        <v>9</v>
      </c>
      <c r="R41" t="s">
        <v>19</v>
      </c>
    </row>
    <row r="42" spans="3:28" x14ac:dyDescent="0.25">
      <c r="C42" t="s">
        <v>978</v>
      </c>
      <c r="D42" s="75">
        <f>++D40*0.0036</f>
        <v>5.9256000000000002</v>
      </c>
      <c r="E42" t="s">
        <v>9</v>
      </c>
      <c r="I42">
        <f>+I39*0.35</f>
        <v>3352.1758499309731</v>
      </c>
      <c r="N42" s="317" t="s">
        <v>11</v>
      </c>
      <c r="O42" s="318" t="s">
        <v>13</v>
      </c>
      <c r="P42" s="318" t="s">
        <v>14</v>
      </c>
      <c r="Q42" s="318" t="s">
        <v>937</v>
      </c>
      <c r="R42" s="318" t="s">
        <v>938</v>
      </c>
      <c r="S42" s="318" t="s">
        <v>31</v>
      </c>
    </row>
    <row r="43" spans="3:28" x14ac:dyDescent="0.25">
      <c r="D43" s="75">
        <f>+D42+D41</f>
        <v>16.837199999999999</v>
      </c>
      <c r="E43" t="s">
        <v>9</v>
      </c>
      <c r="N43" t="str" cm="1">
        <f t="array" ref="N43:N48">+PROCESS!D24:D29</f>
        <v>MIN-CAM1</v>
      </c>
      <c r="O43" t="str" cm="1">
        <f t="array" ref="O43:O48">+COMM!D20:D25</f>
        <v>R-CAM1</v>
      </c>
      <c r="P43" t="s">
        <v>552</v>
      </c>
      <c r="Q43" s="436">
        <f>'5. Potencial O&amp;G'!AQ6*1000*E8/1000</f>
        <v>265.40079370777568</v>
      </c>
      <c r="R43" s="529">
        <v>1E-4</v>
      </c>
      <c r="S43" s="289">
        <v>1</v>
      </c>
    </row>
    <row r="44" spans="3:28" x14ac:dyDescent="0.25">
      <c r="N44" t="str">
        <v>MIN-CAM2</v>
      </c>
      <c r="O44" t="str">
        <v>R-CAM2</v>
      </c>
      <c r="P44" t="s">
        <v>552</v>
      </c>
      <c r="Q44" s="436">
        <f>'5. Potencial O&amp;G'!AQ7*1000*E9/1000</f>
        <v>2194.6697743899408</v>
      </c>
      <c r="R44" s="529">
        <v>1E-4</v>
      </c>
      <c r="S44" s="289">
        <v>1</v>
      </c>
    </row>
    <row r="45" spans="3:28" x14ac:dyDescent="0.25">
      <c r="C45" t="s">
        <v>979</v>
      </c>
      <c r="D45" s="57">
        <f>+SUM(S31:S36)</f>
        <v>1359.0328881971923</v>
      </c>
      <c r="E45" t="s">
        <v>9</v>
      </c>
      <c r="N45" t="str">
        <v>MIN-CAM3</v>
      </c>
      <c r="O45" t="str">
        <v>R-CAM3</v>
      </c>
      <c r="P45" t="s">
        <v>552</v>
      </c>
      <c r="Q45" s="436">
        <f>'5. Potencial O&amp;G'!AQ8*1000*E10/1000</f>
        <v>7918.439644193184</v>
      </c>
      <c r="R45" s="529">
        <v>1E-4</v>
      </c>
      <c r="S45" s="289">
        <v>1</v>
      </c>
    </row>
    <row r="46" spans="3:28" x14ac:dyDescent="0.25">
      <c r="D46">
        <f>+D43/D45</f>
        <v>1.2389104153568477E-2</v>
      </c>
      <c r="N46" t="str">
        <v>MIN-CAM4</v>
      </c>
      <c r="O46" t="str">
        <v>R-CAM4</v>
      </c>
      <c r="P46" t="s">
        <v>552</v>
      </c>
      <c r="Q46" s="436">
        <f>'5. Potencial O&amp;G'!AQ9*1000*E11/1000</f>
        <v>38.915560761631227</v>
      </c>
      <c r="R46" s="529">
        <v>1E-4</v>
      </c>
      <c r="S46" s="289">
        <v>1</v>
      </c>
    </row>
    <row r="47" spans="3:28" x14ac:dyDescent="0.25">
      <c r="N47" t="str">
        <v>MIN-CAM5</v>
      </c>
      <c r="O47" t="str">
        <v>R-CAM5</v>
      </c>
      <c r="P47" t="s">
        <v>552</v>
      </c>
      <c r="Q47" s="436">
        <f>'5. Potencial O&amp;G'!AQ10*1000*E12/1000</f>
        <v>1019.7889267382204</v>
      </c>
      <c r="R47" s="529">
        <v>1E-4</v>
      </c>
      <c r="S47" s="289">
        <v>1</v>
      </c>
    </row>
    <row r="48" spans="3:28" x14ac:dyDescent="0.25">
      <c r="N48" t="str">
        <v>MIN-CAM6</v>
      </c>
      <c r="O48" t="str">
        <v>R-CAM6</v>
      </c>
      <c r="P48" t="s">
        <v>552</v>
      </c>
      <c r="Q48" s="436">
        <f>'5. Potencial O&amp;G'!AQ11*1000*E13/1000</f>
        <v>244.3536781595391</v>
      </c>
      <c r="R48" s="529">
        <v>1E-4</v>
      </c>
      <c r="S48" s="289">
        <v>1</v>
      </c>
    </row>
    <row r="53" spans="8:24" x14ac:dyDescent="0.25">
      <c r="I53" t="s">
        <v>980</v>
      </c>
      <c r="N53" s="316" t="s">
        <v>0</v>
      </c>
      <c r="O53" s="1"/>
      <c r="S53" s="550" t="s">
        <v>0</v>
      </c>
      <c r="T53" s="19"/>
      <c r="U53" s="19"/>
    </row>
    <row r="54" spans="8:24" x14ac:dyDescent="0.25">
      <c r="H54" t="s">
        <v>981</v>
      </c>
      <c r="I54">
        <v>1.0581999999999999E-2</v>
      </c>
      <c r="J54" t="s">
        <v>982</v>
      </c>
      <c r="N54" s="317" t="s">
        <v>11</v>
      </c>
      <c r="O54" s="318" t="s">
        <v>13</v>
      </c>
      <c r="P54" s="318" t="s">
        <v>31</v>
      </c>
      <c r="S54" s="317" t="s">
        <v>11</v>
      </c>
      <c r="T54" s="327" t="s">
        <v>1</v>
      </c>
      <c r="U54" s="327" t="s">
        <v>625</v>
      </c>
      <c r="V54" s="327" t="s">
        <v>552</v>
      </c>
      <c r="W54" s="563"/>
    </row>
    <row r="55" spans="8:24" x14ac:dyDescent="0.25">
      <c r="I55" s="564">
        <f>+I54/(1+I54)</f>
        <v>1.0471193826923493E-2</v>
      </c>
      <c r="K55" t="s">
        <v>995</v>
      </c>
      <c r="L55" t="s">
        <v>989</v>
      </c>
      <c r="N55" t="str" cm="1">
        <f t="array" ref="N55:N60">+PROCESS!N24:N29</f>
        <v>PROF-CAM1</v>
      </c>
      <c r="O55" t="str" cm="1">
        <f t="array" ref="O55:O60">+_xlfn.ANCHORARRAY(COMM!D80)</f>
        <v>FLU-CAM1</v>
      </c>
      <c r="P55" s="442">
        <f>+T31/(S31+T31*P85)</f>
        <v>0.98831158795187002</v>
      </c>
      <c r="S55" s="19" t="str" cm="1">
        <f t="array" ref="S55:S60">+_xlfn.ANCHORARRAY(N55)</f>
        <v>PROF-CAM1</v>
      </c>
      <c r="T55" s="19" t="s">
        <v>626</v>
      </c>
      <c r="U55">
        <v>2019</v>
      </c>
      <c r="V55" s="367">
        <f>+T31</f>
        <v>68.49289304761075</v>
      </c>
    </row>
    <row r="56" spans="8:24" x14ac:dyDescent="0.25">
      <c r="K56" t="s">
        <v>996</v>
      </c>
      <c r="L56" t="s">
        <v>990</v>
      </c>
      <c r="N56" t="str">
        <v>PROF-CAM2</v>
      </c>
      <c r="O56" t="str">
        <v>FLU-CAM2</v>
      </c>
      <c r="P56" s="442">
        <f>+T32/(S32+T32*P87)</f>
        <v>0.98476432843677408</v>
      </c>
      <c r="S56" s="19" t="str">
        <v>PROF-CAM2</v>
      </c>
      <c r="T56" s="19" t="s">
        <v>626</v>
      </c>
      <c r="U56">
        <v>2019</v>
      </c>
      <c r="V56" s="367">
        <f>+T32</f>
        <v>366.79222293541608</v>
      </c>
      <c r="W56" s="19"/>
    </row>
    <row r="57" spans="8:24" x14ac:dyDescent="0.25">
      <c r="K57" t="s">
        <v>997</v>
      </c>
      <c r="L57" t="s">
        <v>991</v>
      </c>
      <c r="N57" t="str">
        <v>PROF-CAM3</v>
      </c>
      <c r="O57" t="str">
        <v>FLU-CAM3</v>
      </c>
      <c r="P57" s="442">
        <f>+T33/(S33+T33*P89)</f>
        <v>0.98781394161179525</v>
      </c>
      <c r="S57" s="19" t="str">
        <v>PROF-CAM3</v>
      </c>
      <c r="T57" s="19" t="s">
        <v>626</v>
      </c>
      <c r="U57">
        <v>2019</v>
      </c>
      <c r="V57" s="367">
        <f t="shared" ref="V57:V60" si="4">+T33</f>
        <v>719.53556733584844</v>
      </c>
      <c r="W57" s="19"/>
    </row>
    <row r="58" spans="8:24" x14ac:dyDescent="0.25">
      <c r="K58" t="s">
        <v>998</v>
      </c>
      <c r="L58" t="s">
        <v>992</v>
      </c>
      <c r="N58" t="str">
        <v>PROF-CAM4</v>
      </c>
      <c r="O58" t="str">
        <v>FLU-CAM4</v>
      </c>
      <c r="P58" s="442">
        <f>+T34/(S34+T34*P91)</f>
        <v>0.76736471302063824</v>
      </c>
      <c r="S58" s="19" t="str">
        <v>PROF-CAM4</v>
      </c>
      <c r="T58" s="19" t="s">
        <v>626</v>
      </c>
      <c r="U58">
        <v>2019</v>
      </c>
      <c r="V58" s="367">
        <f t="shared" si="4"/>
        <v>4.3593517548323124</v>
      </c>
      <c r="W58" s="19"/>
    </row>
    <row r="59" spans="8:24" x14ac:dyDescent="0.25">
      <c r="I59" s="122">
        <f>1/I55</f>
        <v>95.500094500094519</v>
      </c>
      <c r="K59" t="s">
        <v>999</v>
      </c>
      <c r="L59" t="s">
        <v>993</v>
      </c>
      <c r="N59" t="str">
        <v>PROF-CAM5</v>
      </c>
      <c r="O59" t="str">
        <v>FLU-CAM5</v>
      </c>
      <c r="P59" s="442">
        <f>+T35/(S35+T35*P93)</f>
        <v>0.98507959449632709</v>
      </c>
      <c r="S59" s="19" t="str">
        <v>PROF-CAM5</v>
      </c>
      <c r="T59" s="19" t="s">
        <v>626</v>
      </c>
      <c r="U59">
        <v>2019</v>
      </c>
      <c r="V59" s="367">
        <f t="shared" si="4"/>
        <v>164.67490030711062</v>
      </c>
      <c r="W59" s="19"/>
    </row>
    <row r="60" spans="8:24" x14ac:dyDescent="0.25">
      <c r="K60" t="s">
        <v>1000</v>
      </c>
      <c r="L60" t="s">
        <v>994</v>
      </c>
      <c r="N60" t="str">
        <v>PROF-CAM6</v>
      </c>
      <c r="O60" t="str">
        <v>FLU-CAM6</v>
      </c>
      <c r="P60" s="442">
        <f>+T36/(S36+T36*P95)</f>
        <v>0.98171364922756943</v>
      </c>
      <c r="S60" s="19" t="str">
        <v>PROF-CAM6</v>
      </c>
      <c r="T60" s="19" t="s">
        <v>626</v>
      </c>
      <c r="U60">
        <v>2019</v>
      </c>
      <c r="V60" s="367">
        <f t="shared" si="4"/>
        <v>29.621591487645158</v>
      </c>
      <c r="W60" s="19"/>
    </row>
    <row r="61" spans="8:24" x14ac:dyDescent="0.25">
      <c r="Q61" s="547"/>
      <c r="R61" s="57"/>
    </row>
    <row r="62" spans="8:24" x14ac:dyDescent="0.25">
      <c r="Q62" s="547"/>
      <c r="R62" s="57"/>
    </row>
    <row r="63" spans="8:24" x14ac:dyDescent="0.25">
      <c r="J63">
        <f t="shared" ref="J63:J68" si="5">+V55*I55</f>
        <v>0.71720235886827277</v>
      </c>
      <c r="Q63" s="547"/>
      <c r="R63" s="57"/>
    </row>
    <row r="64" spans="8:24" x14ac:dyDescent="0.25">
      <c r="J64">
        <f t="shared" si="5"/>
        <v>0</v>
      </c>
      <c r="N64" s="550" t="s">
        <v>0</v>
      </c>
      <c r="O64" s="16"/>
      <c r="P64" s="16"/>
      <c r="Q64" s="551"/>
      <c r="R64" s="16"/>
      <c r="T64" s="550" t="s">
        <v>0</v>
      </c>
      <c r="U64" s="16"/>
      <c r="V64" s="16"/>
      <c r="W64" s="551"/>
      <c r="X64" s="16"/>
    </row>
    <row r="65" spans="10:24" x14ac:dyDescent="0.25">
      <c r="J65">
        <f t="shared" si="5"/>
        <v>0</v>
      </c>
      <c r="N65" s="327" t="s">
        <v>11</v>
      </c>
      <c r="O65" s="327" t="s">
        <v>1</v>
      </c>
      <c r="P65" s="327" t="s">
        <v>625</v>
      </c>
      <c r="Q65" s="327" t="s">
        <v>552</v>
      </c>
      <c r="R65" s="393" t="s">
        <v>175</v>
      </c>
      <c r="T65" s="327" t="s">
        <v>11</v>
      </c>
      <c r="U65" s="327" t="s">
        <v>1</v>
      </c>
      <c r="V65" s="327" t="s">
        <v>625</v>
      </c>
      <c r="W65" s="327" t="s">
        <v>552</v>
      </c>
      <c r="X65" s="393" t="s">
        <v>175</v>
      </c>
    </row>
    <row r="66" spans="10:24" x14ac:dyDescent="0.25">
      <c r="J66">
        <f t="shared" si="5"/>
        <v>0</v>
      </c>
      <c r="N66" t="str" cm="1">
        <f t="array" ref="N66:N71">+T66:T71</f>
        <v>PROF-CAM1</v>
      </c>
      <c r="O66" s="19" t="s">
        <v>626</v>
      </c>
      <c r="P66" s="57">
        <v>2025</v>
      </c>
      <c r="Q66" s="122">
        <f>+V55+(P66-2020)*W31</f>
        <v>55.067335181463434</v>
      </c>
      <c r="T66" t="str" cm="1">
        <f t="array" ref="T66:T71">+_xlfn.ANCHORARRAY(N55)</f>
        <v>PROF-CAM1</v>
      </c>
      <c r="U66" s="19" t="s">
        <v>626</v>
      </c>
      <c r="V66" s="57">
        <f t="shared" ref="V66:V71" si="6">+Y31</f>
        <v>2037</v>
      </c>
      <c r="W66" s="122">
        <f t="shared" ref="W66:W71" si="7">+V55+(V66-2020)*W31</f>
        <v>22.845996302709864</v>
      </c>
    </row>
    <row r="67" spans="10:24" x14ac:dyDescent="0.25">
      <c r="J67">
        <f t="shared" si="5"/>
        <v>15726.468541122707</v>
      </c>
      <c r="N67" t="str">
        <v>PROF-CAM2</v>
      </c>
      <c r="O67" s="19" t="s">
        <v>626</v>
      </c>
      <c r="P67" s="57">
        <v>2025</v>
      </c>
      <c r="Q67" s="122">
        <f t="shared" ref="Q67:Q71" si="8">+V56+(P67-2020)*W32</f>
        <v>319.88218226530967</v>
      </c>
      <c r="T67" t="str">
        <v>PROF-CAM2</v>
      </c>
      <c r="U67" s="19" t="s">
        <v>626</v>
      </c>
      <c r="V67" s="57">
        <f t="shared" si="6"/>
        <v>2050</v>
      </c>
      <c r="W67" s="122">
        <f t="shared" si="7"/>
        <v>85.331978914777608</v>
      </c>
    </row>
    <row r="68" spans="10:24" x14ac:dyDescent="0.25">
      <c r="J68">
        <f t="shared" si="5"/>
        <v>0</v>
      </c>
      <c r="N68" t="str">
        <v>PROF-CAM3</v>
      </c>
      <c r="O68" s="19" t="s">
        <v>626</v>
      </c>
      <c r="P68" s="57">
        <v>2025</v>
      </c>
      <c r="Q68" s="122">
        <f t="shared" si="8"/>
        <v>619.79000954645142</v>
      </c>
      <c r="T68" t="str">
        <v>PROF-CAM3</v>
      </c>
      <c r="U68" s="19" t="s">
        <v>626</v>
      </c>
      <c r="V68" s="57">
        <f t="shared" si="6"/>
        <v>2050</v>
      </c>
      <c r="W68" s="122">
        <f t="shared" si="7"/>
        <v>121.0622205994664</v>
      </c>
    </row>
    <row r="69" spans="10:24" x14ac:dyDescent="0.25">
      <c r="J69">
        <f t="shared" ref="J69:J70" si="9">+Q61*I61</f>
        <v>0</v>
      </c>
      <c r="N69" t="str">
        <v>PROF-CAM4</v>
      </c>
      <c r="O69" s="19" t="s">
        <v>626</v>
      </c>
      <c r="P69" s="57">
        <v>2025</v>
      </c>
      <c r="Q69" s="122">
        <f t="shared" si="8"/>
        <v>3.6082938667028639</v>
      </c>
      <c r="T69" t="str">
        <v>PROF-CAM4</v>
      </c>
      <c r="U69" s="19" t="s">
        <v>626</v>
      </c>
      <c r="V69" s="57">
        <f t="shared" si="6"/>
        <v>2043</v>
      </c>
      <c r="W69" s="122">
        <f t="shared" si="7"/>
        <v>0.9044854694368496</v>
      </c>
    </row>
    <row r="70" spans="10:24" x14ac:dyDescent="0.25">
      <c r="J70">
        <f t="shared" si="9"/>
        <v>0</v>
      </c>
      <c r="N70" t="str">
        <v>PROF-CAM5</v>
      </c>
      <c r="O70" s="19" t="s">
        <v>626</v>
      </c>
      <c r="P70" s="57">
        <v>2025</v>
      </c>
      <c r="Q70" s="122">
        <f t="shared" si="8"/>
        <v>142.39201368644927</v>
      </c>
      <c r="T70" t="str">
        <v>PROF-CAM5</v>
      </c>
      <c r="U70" s="19" t="s">
        <v>626</v>
      </c>
      <c r="V70" s="57">
        <f t="shared" si="6"/>
        <v>2047</v>
      </c>
      <c r="W70" s="122">
        <f t="shared" si="7"/>
        <v>44.347312555539389</v>
      </c>
    </row>
    <row r="71" spans="10:24" x14ac:dyDescent="0.25">
      <c r="N71" t="str">
        <v>PROF-CAM6</v>
      </c>
      <c r="O71" s="19" t="s">
        <v>626</v>
      </c>
      <c r="P71" s="57">
        <v>2025</v>
      </c>
      <c r="Q71" s="122">
        <f t="shared" si="8"/>
        <v>25.986238217882089</v>
      </c>
      <c r="T71" t="str">
        <v>PROF-CAM6</v>
      </c>
      <c r="U71" s="19" t="s">
        <v>626</v>
      </c>
      <c r="V71" s="57">
        <f t="shared" si="6"/>
        <v>2050</v>
      </c>
      <c r="W71" s="122">
        <f t="shared" si="7"/>
        <v>7.8094718690667335</v>
      </c>
    </row>
    <row r="72" spans="10:24" x14ac:dyDescent="0.25">
      <c r="R72" s="57"/>
      <c r="T72" s="485"/>
    </row>
    <row r="73" spans="10:24" x14ac:dyDescent="0.25">
      <c r="R73" s="57"/>
      <c r="T73" s="485"/>
    </row>
    <row r="74" spans="10:24" x14ac:dyDescent="0.25">
      <c r="R74" s="57"/>
      <c r="T74" s="485"/>
    </row>
    <row r="75" spans="10:24" x14ac:dyDescent="0.25">
      <c r="N75" s="550" t="s">
        <v>0</v>
      </c>
      <c r="O75" s="16"/>
      <c r="P75" s="16"/>
      <c r="Q75" s="551"/>
      <c r="R75" s="16"/>
      <c r="T75" s="485"/>
    </row>
    <row r="76" spans="10:24" x14ac:dyDescent="0.25">
      <c r="N76" s="327" t="s">
        <v>11</v>
      </c>
      <c r="O76" s="327" t="s">
        <v>1</v>
      </c>
      <c r="P76" s="327" t="s">
        <v>625</v>
      </c>
      <c r="Q76" s="327" t="s">
        <v>552</v>
      </c>
      <c r="R76" s="393" t="s">
        <v>175</v>
      </c>
    </row>
    <row r="77" spans="10:24" x14ac:dyDescent="0.25">
      <c r="N77" s="19" t="str">
        <f>+N55</f>
        <v>PROF-CAM1</v>
      </c>
      <c r="O77" s="19" t="s">
        <v>626</v>
      </c>
      <c r="P77" s="436">
        <f>+Y31+3</f>
        <v>2040</v>
      </c>
      <c r="Q77" s="19"/>
      <c r="R77" s="19">
        <v>0</v>
      </c>
    </row>
    <row r="78" spans="10:24" x14ac:dyDescent="0.25">
      <c r="N78" s="19" t="str">
        <f>+N58</f>
        <v>PROF-CAM4</v>
      </c>
      <c r="O78" s="19" t="s">
        <v>626</v>
      </c>
      <c r="P78" s="436">
        <f>+Y34+3</f>
        <v>2046</v>
      </c>
      <c r="Q78" s="19"/>
      <c r="R78" s="19">
        <v>0</v>
      </c>
    </row>
    <row r="79" spans="10:24" x14ac:dyDescent="0.25">
      <c r="N79" s="19" t="str">
        <f>+N59</f>
        <v>PROF-CAM5</v>
      </c>
      <c r="O79" s="19" t="s">
        <v>626</v>
      </c>
      <c r="P79" s="436">
        <f>+Y35+3</f>
        <v>2050</v>
      </c>
      <c r="Q79" s="19"/>
      <c r="R79" s="19">
        <v>0</v>
      </c>
    </row>
    <row r="82" spans="14:16" x14ac:dyDescent="0.25">
      <c r="N82" s="316" t="s">
        <v>0</v>
      </c>
    </row>
    <row r="83" spans="14:16" x14ac:dyDescent="0.25">
      <c r="N83" s="317" t="s">
        <v>11</v>
      </c>
      <c r="O83" s="318" t="s">
        <v>12</v>
      </c>
      <c r="P83" s="318" t="s">
        <v>153</v>
      </c>
    </row>
    <row r="84" spans="14:16" x14ac:dyDescent="0.25">
      <c r="N84" t="s">
        <v>989</v>
      </c>
      <c r="O84" t="str">
        <f>+O43</f>
        <v>R-CAM1</v>
      </c>
      <c r="P84" s="265">
        <f>100%-P85</f>
        <v>0.98952880617307648</v>
      </c>
    </row>
    <row r="85" spans="14:16" x14ac:dyDescent="0.25">
      <c r="O85" t="str">
        <f>+COMM!D86</f>
        <v>ELC-CAM1</v>
      </c>
      <c r="P85" s="265">
        <f>+$I$55</f>
        <v>1.0471193826923493E-2</v>
      </c>
    </row>
    <row r="86" spans="14:16" x14ac:dyDescent="0.25">
      <c r="N86" t="s">
        <v>990</v>
      </c>
      <c r="O86" t="str">
        <f>+O44</f>
        <v>R-CAM2</v>
      </c>
      <c r="P86" s="265">
        <f>100%-P87</f>
        <v>0.98952880617307648</v>
      </c>
    </row>
    <row r="87" spans="14:16" x14ac:dyDescent="0.25">
      <c r="O87" t="str">
        <f>+COMM!D87</f>
        <v>ELC-CAM2</v>
      </c>
      <c r="P87" s="265">
        <f>+$I$55</f>
        <v>1.0471193826923493E-2</v>
      </c>
    </row>
    <row r="88" spans="14:16" x14ac:dyDescent="0.25">
      <c r="N88" t="s">
        <v>991</v>
      </c>
      <c r="O88" t="str">
        <f>+O45</f>
        <v>R-CAM3</v>
      </c>
      <c r="P88" s="265">
        <f>100%-P89</f>
        <v>0.98952880617307648</v>
      </c>
    </row>
    <row r="89" spans="14:16" x14ac:dyDescent="0.25">
      <c r="O89" t="str">
        <f>+COMM!D88</f>
        <v>ELC-CAM3</v>
      </c>
      <c r="P89" s="265">
        <f>+$I$55</f>
        <v>1.0471193826923493E-2</v>
      </c>
    </row>
    <row r="90" spans="14:16" x14ac:dyDescent="0.25">
      <c r="N90" t="s">
        <v>992</v>
      </c>
      <c r="O90" t="str">
        <f>+O46</f>
        <v>R-CAM4</v>
      </c>
      <c r="P90" s="265">
        <f>100%-P91</f>
        <v>0.98952880617307648</v>
      </c>
    </row>
    <row r="91" spans="14:16" x14ac:dyDescent="0.25">
      <c r="O91" t="str">
        <f>+COMM!D89</f>
        <v>ELC-CAM4</v>
      </c>
      <c r="P91" s="265">
        <f>+$I$55</f>
        <v>1.0471193826923493E-2</v>
      </c>
    </row>
    <row r="92" spans="14:16" x14ac:dyDescent="0.25">
      <c r="N92" t="s">
        <v>993</v>
      </c>
      <c r="O92" t="str">
        <f>+O47</f>
        <v>R-CAM5</v>
      </c>
      <c r="P92" s="265">
        <f>100%-P93</f>
        <v>0.98952880617307648</v>
      </c>
    </row>
    <row r="93" spans="14:16" x14ac:dyDescent="0.25">
      <c r="O93" t="str">
        <f>+COMM!D90</f>
        <v>ELC-CAM5</v>
      </c>
      <c r="P93" s="265">
        <f>+$I$55</f>
        <v>1.0471193826923493E-2</v>
      </c>
    </row>
    <row r="94" spans="14:16" x14ac:dyDescent="0.25">
      <c r="N94" t="s">
        <v>994</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t="s">
        <v>0</v>
      </c>
      <c r="O99" s="1"/>
      <c r="P99" s="1"/>
      <c r="R99" s="338" t="s">
        <v>776</v>
      </c>
      <c r="S99" s="2"/>
      <c r="T99" s="2"/>
      <c r="U99" s="1"/>
      <c r="V99" s="1"/>
      <c r="W99" s="1"/>
      <c r="X99" s="1"/>
    </row>
    <row r="100" spans="14:24" x14ac:dyDescent="0.25">
      <c r="N100" s="317" t="s">
        <v>11</v>
      </c>
      <c r="O100" s="318" t="s">
        <v>12</v>
      </c>
      <c r="P100" s="318" t="s">
        <v>13</v>
      </c>
      <c r="R100" s="461" t="s">
        <v>11</v>
      </c>
      <c r="S100" s="461" t="s">
        <v>13</v>
      </c>
      <c r="T100" s="461" t="s">
        <v>777</v>
      </c>
      <c r="U100" s="417"/>
      <c r="V100" s="417"/>
      <c r="W100" s="417"/>
      <c r="X100" s="1"/>
    </row>
    <row r="101" spans="14:24" x14ac:dyDescent="0.25">
      <c r="N101" s="320" t="str">
        <f>+PROCESS!N91</f>
        <v>COMPRA-ELC-CAM2</v>
      </c>
      <c r="O101" s="22" t="str">
        <f>+'1. EXP_IMP'!$J$51</f>
        <v>ELC-SIN</v>
      </c>
      <c r="P101" s="431" t="str">
        <f>+O87</f>
        <v>ELC-CAM2</v>
      </c>
      <c r="R101" s="558" t="str">
        <f>+N101</f>
        <v>COMPRA-ELC-CAM2</v>
      </c>
      <c r="S101" s="460" t="str">
        <f>+O113</f>
        <v>CO2e-CAM2</v>
      </c>
      <c r="T101" s="462">
        <f>+'4.2 Ref_Barranca'!$P$170</f>
        <v>46.111111111111114</v>
      </c>
      <c r="U101" s="560"/>
      <c r="V101" s="560"/>
      <c r="W101" s="560"/>
      <c r="X101" s="1"/>
    </row>
    <row r="102" spans="14:24" x14ac:dyDescent="0.25">
      <c r="N102" s="320" t="str">
        <f>+PROCESS!N92</f>
        <v>COMPRA-ELC-CAM3</v>
      </c>
      <c r="O102" s="22" t="str">
        <f>+'1. EXP_IMP'!$J$51</f>
        <v>ELC-SIN</v>
      </c>
      <c r="P102" s="431" t="str">
        <f>+O89</f>
        <v>ELC-CAM3</v>
      </c>
      <c r="R102" s="558" t="str">
        <f>+N102</f>
        <v>COMPRA-ELC-CAM3</v>
      </c>
      <c r="S102" s="460" t="str">
        <f>+O114</f>
        <v>CO2e-CAM3</v>
      </c>
      <c r="T102" s="462">
        <f>+'4.2 Ref_Barranca'!$P$170</f>
        <v>46.111111111111114</v>
      </c>
      <c r="U102" s="417"/>
      <c r="V102" s="417"/>
      <c r="W102" s="417"/>
      <c r="X102" s="1"/>
    </row>
    <row r="103" spans="14:24" x14ac:dyDescent="0.25">
      <c r="N103" s="320" t="str">
        <f>+PROCESS!N93</f>
        <v>COMPRA-ELC-CAM4</v>
      </c>
      <c r="O103" s="22" t="str">
        <f>+'1. EXP_IMP'!$J$51</f>
        <v>ELC-SIN</v>
      </c>
      <c r="P103" s="431" t="str">
        <f>+O91</f>
        <v>ELC-CAM4</v>
      </c>
      <c r="R103" s="558" t="str">
        <f>+N103</f>
        <v>COMPRA-ELC-CAM4</v>
      </c>
      <c r="S103" s="460" t="str">
        <f>+O115</f>
        <v>CO2e-CAM4</v>
      </c>
      <c r="T103" s="462">
        <f>+'4.2 Ref_Barranca'!$P$170</f>
        <v>46.111111111111114</v>
      </c>
      <c r="U103" s="417"/>
      <c r="V103" s="417"/>
      <c r="W103" s="417"/>
      <c r="X103" s="1"/>
    </row>
    <row r="104" spans="14:24" x14ac:dyDescent="0.25">
      <c r="N104" s="320" t="str">
        <f>+PROCESS!N94</f>
        <v>COMPRA-ELC-CAM5</v>
      </c>
      <c r="O104" s="22" t="str">
        <f>+'1. EXP_IMP'!$J$51</f>
        <v>ELC-SIN</v>
      </c>
      <c r="P104" s="431" t="str">
        <f>+O93</f>
        <v>ELC-CAM5</v>
      </c>
      <c r="R104" s="558" t="str">
        <f>+N104</f>
        <v>COMPRA-ELC-CAM5</v>
      </c>
      <c r="S104" s="460" t="str">
        <f>+O116</f>
        <v>CO2e-CAM5</v>
      </c>
      <c r="T104" s="462">
        <f>+'4.2 Ref_Barranca'!$P$170</f>
        <v>46.111111111111114</v>
      </c>
      <c r="U104" s="417"/>
      <c r="V104" s="417"/>
      <c r="W104" s="417"/>
      <c r="X104" s="1"/>
    </row>
    <row r="105" spans="14:24" x14ac:dyDescent="0.25">
      <c r="N105" s="320" t="str">
        <f>+PROCESS!N95</f>
        <v>COMPRA-ELC-CAM6</v>
      </c>
      <c r="O105" s="22" t="str">
        <f>+'1. EXP_IMP'!$J$51</f>
        <v>ELC-SIN</v>
      </c>
      <c r="P105" s="431" t="str">
        <f>+O95</f>
        <v>ELC-CAM6</v>
      </c>
      <c r="R105" s="55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t="s">
        <v>776</v>
      </c>
      <c r="P110" t="s">
        <v>281</v>
      </c>
    </row>
    <row r="111" spans="14:24" x14ac:dyDescent="0.25">
      <c r="N111" s="327" t="s">
        <v>11</v>
      </c>
      <c r="O111" s="327" t="s">
        <v>13</v>
      </c>
      <c r="P111" s="327" t="s">
        <v>777</v>
      </c>
    </row>
    <row r="112" spans="14:24" x14ac:dyDescent="0.25">
      <c r="N112" s="459" t="str" cm="1">
        <f t="array" ref="N112:N117">+_xlfn.ANCHORARRAY(N55)</f>
        <v>PROF-CAM1</v>
      </c>
      <c r="O112" s="548" t="str" cm="1">
        <f t="array" ref="O112:O117">+COMM!AK20:AK25</f>
        <v>CO2e-CAM1</v>
      </c>
      <c r="P112" s="549">
        <f t="shared" ref="P112:P117" si="10">+F7*(100%-U31)</f>
        <v>7.5178755487394514E-2</v>
      </c>
    </row>
    <row r="113" spans="14:16" x14ac:dyDescent="0.25">
      <c r="N113" s="19" t="str">
        <v>PROF-CAM2</v>
      </c>
      <c r="O113" s="19" t="str">
        <v>CO2e-CAM2</v>
      </c>
      <c r="P113" s="122">
        <f t="shared" si="10"/>
        <v>0.38728753356716034</v>
      </c>
    </row>
    <row r="114" spans="14:16" x14ac:dyDescent="0.25">
      <c r="N114" s="19" t="str">
        <v>PROF-CAM3</v>
      </c>
      <c r="O114" s="19" t="str">
        <v>CO2e-CAM3</v>
      </c>
      <c r="P114" s="122">
        <f t="shared" si="10"/>
        <v>0.14491990987308878</v>
      </c>
    </row>
    <row r="115" spans="14:16" x14ac:dyDescent="0.25">
      <c r="N115" s="19" t="str">
        <v>PROF-CAM4</v>
      </c>
      <c r="O115" s="19" t="str">
        <v>CO2e-CAM4</v>
      </c>
      <c r="P115" s="122">
        <f t="shared" si="10"/>
        <v>17.624888055973212</v>
      </c>
    </row>
    <row r="116" spans="14:16" x14ac:dyDescent="0.25">
      <c r="N116" s="19" t="str">
        <v>PROF-CAM5</v>
      </c>
      <c r="O116" s="19" t="str">
        <v>CO2e-CAM5</v>
      </c>
      <c r="P116" s="122">
        <f t="shared" si="10"/>
        <v>0.32198975499228449</v>
      </c>
    </row>
    <row r="117" spans="14:16" x14ac:dyDescent="0.25">
      <c r="N117" s="19" t="str">
        <v>PROF-CAM6</v>
      </c>
      <c r="O117" s="19" t="str">
        <v>CO2e-CAM6</v>
      </c>
      <c r="P117" s="122">
        <f t="shared" si="10"/>
        <v>0.60808077140581573</v>
      </c>
    </row>
    <row r="124" spans="14:16" x14ac:dyDescent="0.25">
      <c r="N124" s="316" t="s">
        <v>0</v>
      </c>
      <c r="O124" s="1"/>
    </row>
    <row r="125" spans="14:16" x14ac:dyDescent="0.25">
      <c r="N125" s="317" t="s">
        <v>11</v>
      </c>
      <c r="O125" s="318" t="s">
        <v>12</v>
      </c>
      <c r="P125" s="318" t="s">
        <v>31</v>
      </c>
    </row>
    <row r="126" spans="14:16" x14ac:dyDescent="0.25">
      <c r="N126" t="str" cm="1">
        <f t="array" ref="N126:N131">+_xlfn.ANCHORARRAY(PROCESS!N74)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t="s">
        <v>0</v>
      </c>
      <c r="O135" s="1"/>
    </row>
    <row r="136" spans="12:16" x14ac:dyDescent="0.25">
      <c r="N136" s="317" t="s">
        <v>11</v>
      </c>
      <c r="O136" s="318" t="s">
        <v>13</v>
      </c>
      <c r="P136" s="327" t="s">
        <v>951</v>
      </c>
    </row>
    <row r="137" spans="12:16" x14ac:dyDescent="0.25">
      <c r="L137" t="s">
        <v>51</v>
      </c>
      <c r="N137" t="str">
        <f>+N126</f>
        <v>SEP-CAM1</v>
      </c>
      <c r="O137" t="str">
        <f>+COMM!D30</f>
        <v>GAS-CAM1</v>
      </c>
      <c r="P137" s="555">
        <f>100%-V31</f>
        <v>1</v>
      </c>
    </row>
    <row r="138" spans="12:16" x14ac:dyDescent="0.25">
      <c r="L138" t="s">
        <v>51</v>
      </c>
      <c r="N138" t="str">
        <f>+N127</f>
        <v>SEP-CAM2</v>
      </c>
      <c r="O138" t="str">
        <f>+COMM!D31</f>
        <v>GAS-CAM2</v>
      </c>
      <c r="P138" s="555">
        <f>100%-P139</f>
        <v>0.72737622221077025</v>
      </c>
    </row>
    <row r="139" spans="12:16" x14ac:dyDescent="0.25">
      <c r="L139" t="s">
        <v>52</v>
      </c>
      <c r="O139" t="str">
        <f>+COMM!D41</f>
        <v>LOIL-CAM2</v>
      </c>
      <c r="P139" s="555">
        <f>+V32</f>
        <v>0.27262377778922969</v>
      </c>
    </row>
    <row r="140" spans="12:16" x14ac:dyDescent="0.25">
      <c r="L140" t="s">
        <v>51</v>
      </c>
      <c r="N140" t="str">
        <f>+N128</f>
        <v>SEP-CAM3</v>
      </c>
      <c r="O140" t="str">
        <f>+COMM!D32</f>
        <v>GAS-CAM3</v>
      </c>
      <c r="P140" s="555">
        <f>100%-P141</f>
        <v>4.9766822690167078E-4</v>
      </c>
    </row>
    <row r="141" spans="12:16" x14ac:dyDescent="0.25">
      <c r="L141" t="s">
        <v>53</v>
      </c>
      <c r="O141" t="str">
        <f>+COMM!D62</f>
        <v>HOIL-CAM3</v>
      </c>
      <c r="P141" s="555">
        <f>+V33</f>
        <v>0.99950233177309833</v>
      </c>
    </row>
    <row r="142" spans="12:16" x14ac:dyDescent="0.25">
      <c r="L142" t="s">
        <v>52</v>
      </c>
      <c r="N142" t="str">
        <f>+N129</f>
        <v>SEP-CAM4</v>
      </c>
      <c r="O142" t="str">
        <f>+COMM!D43</f>
        <v>LOIL-CAM4</v>
      </c>
      <c r="P142" s="555">
        <f>+V34</f>
        <v>1</v>
      </c>
    </row>
    <row r="143" spans="12:16" x14ac:dyDescent="0.25">
      <c r="L143" t="s">
        <v>51</v>
      </c>
      <c r="N143" t="str">
        <f>+N130</f>
        <v>SEP-CAM5</v>
      </c>
      <c r="O143" t="str">
        <f>+COMM!D34</f>
        <v>GAS-CAM5</v>
      </c>
      <c r="P143" s="555">
        <f>100%-P144</f>
        <v>4.6534462436836899E-3</v>
      </c>
    </row>
    <row r="144" spans="12:16" x14ac:dyDescent="0.25">
      <c r="L144" t="s">
        <v>67</v>
      </c>
      <c r="O144" t="str">
        <f>+COMM!D54</f>
        <v>MOIL-CAM5</v>
      </c>
      <c r="P144" s="555">
        <f>+U35</f>
        <v>0.99534655375631631</v>
      </c>
    </row>
    <row r="145" spans="12:16" x14ac:dyDescent="0.25">
      <c r="L145" t="s">
        <v>51</v>
      </c>
      <c r="N145" t="str">
        <f>+N131</f>
        <v>SEP-CAM6</v>
      </c>
      <c r="O145" t="str">
        <f>+COMM!D35</f>
        <v>GAS-CAM6</v>
      </c>
      <c r="P145" s="555">
        <f>100%-P146</f>
        <v>4.1419278412092808E-2</v>
      </c>
    </row>
    <row r="146" spans="12:16" x14ac:dyDescent="0.25">
      <c r="L146" t="s">
        <v>67</v>
      </c>
      <c r="O146" t="str">
        <f>+COMM!D55</f>
        <v>MOIL-CAM6</v>
      </c>
      <c r="P146" s="555">
        <f>+V36</f>
        <v>0.95858072158790719</v>
      </c>
    </row>
    <row r="151" spans="12:16" x14ac:dyDescent="0.25">
      <c r="N151" s="316" t="s">
        <v>0</v>
      </c>
      <c r="O151" s="1"/>
    </row>
    <row r="152" spans="12:16" x14ac:dyDescent="0.25">
      <c r="N152" s="317" t="s">
        <v>11</v>
      </c>
      <c r="O152" s="318" t="s">
        <v>626</v>
      </c>
      <c r="P152" s="327" t="s">
        <v>31</v>
      </c>
    </row>
    <row r="153" spans="12:16" x14ac:dyDescent="0.25">
      <c r="N153" t="str" cm="1">
        <f t="array" ref="N153:N158">+_xlfn.ANCHORARRAY(PROCESS!N84)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t="s">
        <v>0</v>
      </c>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969</v>
      </c>
    </row>
    <row r="166" spans="14:16" x14ac:dyDescent="0.25">
      <c r="N166" t="str">
        <v>PLT-CAM5</v>
      </c>
      <c r="O166" t="str">
        <f>+O143</f>
        <v>GAS-CAM5</v>
      </c>
    </row>
    <row r="167" spans="14:16" x14ac:dyDescent="0.25">
      <c r="N167" t="str">
        <v>PLT-CAM6</v>
      </c>
      <c r="O167" t="str">
        <f>+O145</f>
        <v>GAS-CAM6</v>
      </c>
    </row>
    <row r="170" spans="14:16" x14ac:dyDescent="0.25">
      <c r="N170" s="316" t="s">
        <v>0</v>
      </c>
      <c r="O170" s="1"/>
    </row>
    <row r="171" spans="14:16" x14ac:dyDescent="0.25">
      <c r="N171" s="317" t="s">
        <v>11</v>
      </c>
      <c r="O171" s="318" t="s">
        <v>13</v>
      </c>
      <c r="P171" s="327" t="s">
        <v>951</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970</v>
      </c>
      <c r="O174" t="s">
        <v>49</v>
      </c>
      <c r="P174" s="63">
        <f>+K32/J32</f>
        <v>0.20433496451438232</v>
      </c>
    </row>
    <row r="175" spans="14:16" x14ac:dyDescent="0.25">
      <c r="O175" t="str">
        <f>+COMM!D71</f>
        <v>GAS-plt-CAM2</v>
      </c>
      <c r="P175" s="63">
        <f>100%-P174</f>
        <v>0.79566503548561762</v>
      </c>
    </row>
    <row r="176" spans="14:16" x14ac:dyDescent="0.25">
      <c r="N176" t="s">
        <v>971</v>
      </c>
      <c r="O176" t="s">
        <v>49</v>
      </c>
      <c r="P176" s="63">
        <v>0</v>
      </c>
    </row>
    <row r="177" spans="14:19" x14ac:dyDescent="0.25">
      <c r="O177" t="str">
        <f>+COMM!D72</f>
        <v>GAS-plt-CAM3</v>
      </c>
      <c r="P177" s="63">
        <f>100%-P176</f>
        <v>1</v>
      </c>
    </row>
    <row r="178" spans="14:19" x14ac:dyDescent="0.25">
      <c r="N178" t="s">
        <v>972</v>
      </c>
      <c r="O178" t="s">
        <v>49</v>
      </c>
      <c r="P178" s="63">
        <v>0</v>
      </c>
    </row>
    <row r="179" spans="14:19" x14ac:dyDescent="0.25">
      <c r="O179" t="str">
        <f>+COMM!D73</f>
        <v>GAS-plt-CAM4</v>
      </c>
      <c r="P179" s="63">
        <f>100%-P178</f>
        <v>1</v>
      </c>
    </row>
    <row r="180" spans="14:19" x14ac:dyDescent="0.25">
      <c r="N180" t="s">
        <v>973</v>
      </c>
      <c r="O180" t="s">
        <v>49</v>
      </c>
      <c r="P180" s="63">
        <f>+K35/J35</f>
        <v>0</v>
      </c>
    </row>
    <row r="181" spans="14:19" x14ac:dyDescent="0.25">
      <c r="O181" t="str">
        <f>+COMM!D74</f>
        <v>GAS-plt-CAM5</v>
      </c>
      <c r="P181" s="63">
        <f>100%-P180</f>
        <v>1</v>
      </c>
    </row>
    <row r="182" spans="14:19" x14ac:dyDescent="0.25">
      <c r="N182" t="s">
        <v>974</v>
      </c>
      <c r="O182" t="s">
        <v>49</v>
      </c>
      <c r="P182" s="63">
        <f>+K36/J36</f>
        <v>0.39345284643786943</v>
      </c>
    </row>
    <row r="183" spans="14:19" x14ac:dyDescent="0.25">
      <c r="O183" t="str">
        <f>+COMM!D75</f>
        <v>GAS-plt-CAM6</v>
      </c>
      <c r="P183" s="63">
        <f>100%-P182</f>
        <v>0.60654715356213051</v>
      </c>
    </row>
    <row r="192" spans="14:19" x14ac:dyDescent="0.25">
      <c r="N192" s="316" t="s">
        <v>0</v>
      </c>
      <c r="O192" s="1"/>
      <c r="S192" s="316" t="s">
        <v>0</v>
      </c>
    </row>
    <row r="193" spans="14:20" x14ac:dyDescent="0.25">
      <c r="N193" s="317" t="s">
        <v>11</v>
      </c>
      <c r="O193" s="318" t="s">
        <v>12</v>
      </c>
      <c r="P193" s="318" t="s">
        <v>13</v>
      </c>
      <c r="Q193" s="318"/>
      <c r="S193" s="317" t="s">
        <v>11</v>
      </c>
      <c r="T193" s="556" t="s">
        <v>31</v>
      </c>
    </row>
    <row r="194" spans="14:20" x14ac:dyDescent="0.25">
      <c r="N194" t="s">
        <v>952</v>
      </c>
      <c r="O194" t="str" cm="1">
        <f t="array" ref="O194:O199">+COMM!D30:D35</f>
        <v>GAS-CAM1</v>
      </c>
      <c r="P194" t="s">
        <v>51</v>
      </c>
      <c r="Q194" s="289"/>
      <c r="S194" t="s">
        <v>952</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953</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954</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955</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t="s">
        <v>0</v>
      </c>
      <c r="O228" s="1"/>
      <c r="P228" s="1"/>
    </row>
    <row r="229" spans="14:18" x14ac:dyDescent="0.25">
      <c r="N229" s="317" t="s">
        <v>11</v>
      </c>
      <c r="O229" s="561" t="s">
        <v>12</v>
      </c>
      <c r="P229" s="561" t="s">
        <v>13</v>
      </c>
      <c r="Q229" s="561" t="s">
        <v>31</v>
      </c>
      <c r="R229" s="562" t="s">
        <v>626</v>
      </c>
    </row>
    <row r="230" spans="14:18" x14ac:dyDescent="0.25">
      <c r="N230" s="320" t="str">
        <f>+PROCESS!N54</f>
        <v>AUTO-G-CAM1</v>
      </c>
      <c r="O230" s="19" t="str">
        <f>+O137</f>
        <v>GAS-CAM1</v>
      </c>
      <c r="P230" s="22" t="str">
        <f>+O85</f>
        <v>ELC-CAM1</v>
      </c>
      <c r="Q230">
        <v>0.35</v>
      </c>
      <c r="R230" s="57">
        <f>+I31</f>
        <v>2.4500442407782339</v>
      </c>
    </row>
    <row r="231" spans="14:18" x14ac:dyDescent="0.25">
      <c r="N231" s="320" t="str">
        <f>+PROCESS!N55</f>
        <v>AUTO-G-CAM2</v>
      </c>
      <c r="O231" s="22" t="s">
        <v>1007</v>
      </c>
      <c r="P231" s="559" t="str">
        <f>+P101</f>
        <v>ELC-CAM2</v>
      </c>
      <c r="Q231">
        <v>0.35</v>
      </c>
      <c r="R231" s="57">
        <f t="shared" ref="R231:R234" si="11">+I32</f>
        <v>29.713513857188524</v>
      </c>
    </row>
    <row r="232" spans="14:18" x14ac:dyDescent="0.25">
      <c r="N232" s="320" t="str">
        <f>+PROCESS!N56</f>
        <v>AUTO-G-CAM3</v>
      </c>
      <c r="O232" s="22" t="s">
        <v>1008</v>
      </c>
      <c r="P232" s="559" t="str">
        <f>+P102</f>
        <v>ELC-CAM3</v>
      </c>
      <c r="Q232">
        <v>0.35</v>
      </c>
      <c r="R232" s="57">
        <f t="shared" si="11"/>
        <v>0.35808998998868485</v>
      </c>
    </row>
    <row r="233" spans="14:18" x14ac:dyDescent="0.25">
      <c r="N233" s="320" t="str">
        <f>+PROCESS!N58</f>
        <v>AUTO-G-CAM5</v>
      </c>
      <c r="O233" s="22" t="s">
        <v>1009</v>
      </c>
      <c r="P233" s="559" t="str">
        <f>+P104</f>
        <v>ELC-CAM5</v>
      </c>
      <c r="Q233">
        <v>0.35</v>
      </c>
      <c r="R233" s="57">
        <f t="shared" si="11"/>
        <v>0</v>
      </c>
    </row>
    <row r="234" spans="14:18" x14ac:dyDescent="0.25">
      <c r="N234" s="19" t="str">
        <f>+PROCESS!N59</f>
        <v>AUTO-G-CAM6</v>
      </c>
      <c r="O234" s="19" t="s">
        <v>1010</v>
      </c>
      <c r="P234" s="559" t="str">
        <f>+P105</f>
        <v>ELC-CAM6</v>
      </c>
      <c r="Q234">
        <v>0.35</v>
      </c>
      <c r="R234" s="57">
        <f t="shared" si="11"/>
        <v>1.7521170575840492</v>
      </c>
    </row>
  </sheetData>
  <phoneticPr fontId="8" type="noConversion"/>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COMM</vt:lpstr>
      <vt:lpstr>PROCESS</vt:lpstr>
      <vt:lpstr>Bases de Cálculo</vt:lpstr>
      <vt:lpstr>1. EXP_IMP</vt:lpstr>
      <vt:lpstr>2. DEM</vt:lpstr>
      <vt:lpstr>3. Scope3</vt:lpstr>
      <vt:lpstr>4. Refinery's Data</vt:lpstr>
      <vt:lpstr>4.1 Ref_Cart</vt:lpstr>
      <vt:lpstr>4.2 Ref_Barranca</vt:lpstr>
      <vt:lpstr>5. Potencial O&amp;G</vt:lpstr>
      <vt:lpstr>5. 2019 O&amp;G</vt:lpstr>
      <vt:lpstr>5. P</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2022-11-21T03:04:54Z</dcterms:modified>
</cp:coreProperties>
</file>