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CC364522-CCCD-498C-92F7-2620EA0FED8B}" xr6:coauthVersionLast="47" xr6:coauthVersionMax="47" xr10:uidLastSave="{00000000-0000-0000-0000-000000000000}"/>
  <bookViews>
    <workbookView xWindow="-120" yWindow="-120" windowWidth="29040" windowHeight="15840" tabRatio="601" firstSheet="5"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45" i="25" l="1"/>
  <c r="N144" i="25"/>
  <c r="N143" i="25"/>
  <c r="N142" i="25"/>
  <c r="N141" i="25"/>
  <c r="E101" i="10" l="1"/>
  <c r="N158" i="25"/>
  <c r="N157" i="25"/>
  <c r="P157" i="25" s="1"/>
  <c r="P156" i="25"/>
  <c r="E12" i="31" l="1"/>
  <c r="T133" i="25"/>
  <c r="N125" i="25" s="1"/>
  <c r="U125" i="25" s="1"/>
  <c r="T23" i="19"/>
  <c r="T23" i="20"/>
  <c r="BM31" i="26"/>
  <c r="BM32" i="26"/>
  <c r="BM33" i="26"/>
  <c r="BM34" i="26"/>
  <c r="BM35" i="26"/>
  <c r="BM36" i="26"/>
  <c r="BM37" i="26"/>
  <c r="BM38" i="26"/>
  <c r="BM39" i="26"/>
  <c r="BM40" i="26"/>
  <c r="BM41" i="26"/>
  <c r="BM42" i="26"/>
  <c r="BM43" i="26"/>
  <c r="BM44" i="26"/>
  <c r="BM45" i="26"/>
  <c r="BM46" i="26"/>
  <c r="BM47" i="26"/>
  <c r="BM48" i="26"/>
  <c r="BM49" i="26"/>
  <c r="BM50" i="26"/>
  <c r="BM30" i="26"/>
  <c r="BL30" i="26" a="1"/>
  <c r="BL30" i="26" s="1"/>
  <c r="CC9" i="26"/>
  <c r="BY9" i="26" s="1"/>
  <c r="BY10" i="26" s="1"/>
  <c r="BW27" i="26" a="1"/>
  <c r="BW27" i="26" s="1"/>
  <c r="BW40" i="26" s="1" a="1"/>
  <c r="BW40" i="26" s="1"/>
  <c r="CY9" i="26" a="1"/>
  <c r="CY9" i="26" s="1"/>
  <c r="BY44" i="26"/>
  <c r="BY43" i="26"/>
  <c r="BY42" i="26"/>
  <c r="BY41" i="26"/>
  <c r="BY40" i="26"/>
  <c r="CC10" i="26"/>
  <c r="BY11" i="26" s="1"/>
  <c r="BY12" i="26" s="1"/>
  <c r="CC11" i="26"/>
  <c r="BY13" i="26" s="1"/>
  <c r="BY14" i="26" s="1"/>
  <c r="CC12" i="26"/>
  <c r="BY15" i="26" s="1"/>
  <c r="BY16" i="26" s="1"/>
  <c r="CC13" i="26"/>
  <c r="BY17" i="26" s="1"/>
  <c r="BY18" i="26" s="1"/>
  <c r="CK9" i="26"/>
  <c r="CG9" i="26" s="1"/>
  <c r="CG10" i="26" s="1"/>
  <c r="CB10" i="26"/>
  <c r="CB11" i="26"/>
  <c r="CB12" i="26"/>
  <c r="CB13" i="26"/>
  <c r="CB9" i="26"/>
  <c r="BX18" i="26"/>
  <c r="BY31" i="26" s="1"/>
  <c r="BX16" i="26"/>
  <c r="BY30" i="26" s="1"/>
  <c r="BX14" i="26"/>
  <c r="BY29" i="26" s="1"/>
  <c r="BX12" i="26"/>
  <c r="BY28" i="26" s="1"/>
  <c r="BX10" i="26"/>
  <c r="BY27" i="26" s="1"/>
  <c r="BW17" i="26"/>
  <c r="CA13" i="26" s="1"/>
  <c r="BW15" i="26"/>
  <c r="CA12" i="26" s="1"/>
  <c r="BW13" i="26"/>
  <c r="CA11" i="26" s="1"/>
  <c r="BW11" i="26"/>
  <c r="CA10" i="26" s="1"/>
  <c r="BW9" i="26"/>
  <c r="CA9" i="26" s="1"/>
  <c r="CE9" i="26"/>
  <c r="T194" i="25"/>
  <c r="T193" i="25"/>
  <c r="N197" i="25" s="1"/>
  <c r="CJ27" i="26" s="1"/>
  <c r="N198" i="25" l="1"/>
  <c r="CJ28" i="26" s="1"/>
  <c r="N194" i="25"/>
  <c r="CJ24" i="26" s="1"/>
  <c r="N195" i="25"/>
  <c r="CJ25" i="26" s="1"/>
  <c r="N124" i="25"/>
  <c r="U124" i="25" s="1"/>
  <c r="N126" i="25"/>
  <c r="U126" i="25" s="1"/>
  <c r="N121" i="25"/>
  <c r="U121" i="25" s="1"/>
  <c r="N127" i="25"/>
  <c r="U127" i="25" s="1"/>
  <c r="N122" i="25"/>
  <c r="U122" i="25" s="1"/>
  <c r="N196" i="25"/>
  <c r="CJ26" i="26" s="1"/>
  <c r="CJ29" i="26" s="1" a="1"/>
  <c r="CJ29" i="26" s="1"/>
  <c r="CI29" i="26" a="1"/>
  <c r="CI29" i="26" s="1"/>
  <c r="BQ9" i="26" a="1"/>
  <c r="BQ9" i="26" s="1"/>
  <c r="CF10" i="26" s="1"/>
  <c r="BP9" i="26" a="1"/>
  <c r="BP9" i="26" s="1"/>
  <c r="BI9" i="26" a="1"/>
  <c r="BI9" i="26" s="1"/>
  <c r="BG9" i="26" a="1"/>
  <c r="BG9" i="26" s="1"/>
  <c r="CQ22" i="26"/>
  <c r="CQ21" i="26" s="1"/>
  <c r="CU15" i="26" s="1"/>
  <c r="CQ20" i="26"/>
  <c r="CQ19" i="26" s="1"/>
  <c r="CU14" i="26" s="1"/>
  <c r="CQ18" i="26"/>
  <c r="CQ17" i="26" s="1"/>
  <c r="CU13" i="26" s="1"/>
  <c r="CQ16" i="26"/>
  <c r="CQ15" i="26" s="1"/>
  <c r="CU12" i="26" s="1"/>
  <c r="CQ14" i="26"/>
  <c r="CQ13" i="26" s="1"/>
  <c r="CU11" i="26" s="1"/>
  <c r="CQ12" i="26"/>
  <c r="CQ11" i="26" s="1"/>
  <c r="CU10" i="26" s="1"/>
  <c r="CQ10" i="26"/>
  <c r="CQ9" i="26" s="1"/>
  <c r="CU9" i="26" s="1"/>
  <c r="P183" i="25"/>
  <c r="CS9" i="26" a="1"/>
  <c r="CS9" i="26" s="1"/>
  <c r="CO9" i="26" s="1"/>
  <c r="CO13" i="26" l="1"/>
  <c r="CO21" i="26"/>
  <c r="CO17" i="26"/>
  <c r="CO15" i="26"/>
  <c r="CO11" i="26"/>
  <c r="CO19" i="26"/>
  <c r="D136" i="1" l="1" a="1"/>
  <c r="D136" i="1" s="1"/>
  <c r="AZ73" i="26"/>
  <c r="AZ47" i="26"/>
  <c r="BB23" i="26" a="1"/>
  <c r="BB16" i="26" a="1"/>
  <c r="D128" i="1" a="1"/>
  <c r="D128" i="1" s="1"/>
  <c r="BB9" i="26" a="1"/>
  <c r="AZ9" i="26" a="1"/>
  <c r="AZ9" i="26" s="1"/>
  <c r="N144" i="4" a="1"/>
  <c r="N144" i="4" s="1"/>
  <c r="N137" i="4" a="1"/>
  <c r="N137" i="4" s="1"/>
  <c r="N130" i="4" a="1"/>
  <c r="N130" i="4" s="1"/>
  <c r="BL9" i="26"/>
  <c r="G184" i="25"/>
  <c r="G185" i="25" s="1"/>
  <c r="G186" i="25" s="1"/>
  <c r="CO89" i="25"/>
  <c r="DC89" i="25" s="1"/>
  <c r="CN89" i="25"/>
  <c r="DB89" i="25" s="1"/>
  <c r="CM89" i="25"/>
  <c r="DA89" i="25" s="1"/>
  <c r="CL89" i="25"/>
  <c r="CZ89" i="25" s="1"/>
  <c r="CK89" i="25"/>
  <c r="CY89" i="25" s="1"/>
  <c r="CJ89" i="25"/>
  <c r="CX89" i="25" s="1"/>
  <c r="CI89" i="25"/>
  <c r="CW89" i="25" s="1"/>
  <c r="CH89" i="25"/>
  <c r="CV89" i="25" s="1"/>
  <c r="CG89" i="25"/>
  <c r="CU89" i="25" s="1"/>
  <c r="CF89" i="25"/>
  <c r="CT89" i="25" s="1"/>
  <c r="CE89" i="25"/>
  <c r="CS89" i="25" s="1"/>
  <c r="CD89" i="25"/>
  <c r="CR89" i="25" s="1"/>
  <c r="CC89" i="25"/>
  <c r="CQ89" i="25" s="1"/>
  <c r="CB89" i="25"/>
  <c r="CP89" i="25" s="1"/>
  <c r="CO88" i="25"/>
  <c r="DC88" i="25" s="1"/>
  <c r="CN88" i="25"/>
  <c r="DB88" i="25" s="1"/>
  <c r="CM88" i="25"/>
  <c r="DA88" i="25" s="1"/>
  <c r="CL88" i="25"/>
  <c r="CZ88" i="25" s="1"/>
  <c r="CK88" i="25"/>
  <c r="CY88" i="25" s="1"/>
  <c r="CJ88" i="25"/>
  <c r="CX88" i="25" s="1"/>
  <c r="CI88" i="25"/>
  <c r="CW88" i="25" s="1"/>
  <c r="CH88" i="25"/>
  <c r="CV88" i="25" s="1"/>
  <c r="CG88" i="25"/>
  <c r="CU88" i="25" s="1"/>
  <c r="CF88" i="25"/>
  <c r="CT88" i="25" s="1"/>
  <c r="CE88" i="25"/>
  <c r="CS88" i="25" s="1"/>
  <c r="CD88" i="25"/>
  <c r="CR88" i="25" s="1"/>
  <c r="CC88" i="25"/>
  <c r="CQ88" i="25" s="1"/>
  <c r="CB88" i="25"/>
  <c r="CP88" i="25" s="1"/>
  <c r="DP87" i="25"/>
  <c r="DN87" i="25"/>
  <c r="DL87" i="25"/>
  <c r="DJ87" i="25"/>
  <c r="DH87" i="25"/>
  <c r="CP87" i="25"/>
  <c r="CO87" i="25"/>
  <c r="DC87" i="25" s="1"/>
  <c r="CN87" i="25"/>
  <c r="DB87" i="25" s="1"/>
  <c r="CM87" i="25"/>
  <c r="DA87" i="25" s="1"/>
  <c r="CL87" i="25"/>
  <c r="CZ87" i="25" s="1"/>
  <c r="CK87" i="25"/>
  <c r="CY87" i="25" s="1"/>
  <c r="CJ87" i="25"/>
  <c r="CX87" i="25" s="1"/>
  <c r="CI87" i="25"/>
  <c r="CW87" i="25" s="1"/>
  <c r="CH87" i="25"/>
  <c r="CV87" i="25" s="1"/>
  <c r="CG87" i="25"/>
  <c r="CU87" i="25" s="1"/>
  <c r="CF87" i="25"/>
  <c r="CT87" i="25" s="1"/>
  <c r="CE87" i="25"/>
  <c r="CS87" i="25" s="1"/>
  <c r="CD87" i="25"/>
  <c r="CR87" i="25" s="1"/>
  <c r="CC87" i="25"/>
  <c r="CQ87" i="25" s="1"/>
  <c r="CB87" i="25"/>
  <c r="DP86" i="25"/>
  <c r="DN86" i="25"/>
  <c r="DL86" i="25"/>
  <c r="DJ86" i="25"/>
  <c r="DH86" i="25"/>
  <c r="DF86" i="25"/>
  <c r="CO86" i="25"/>
  <c r="DC86" i="25" s="1"/>
  <c r="CN86" i="25"/>
  <c r="DB86" i="25" s="1"/>
  <c r="CM86" i="25"/>
  <c r="DA86" i="25" s="1"/>
  <c r="CL86" i="25"/>
  <c r="CZ86" i="25" s="1"/>
  <c r="CK86" i="25"/>
  <c r="CY86" i="25" s="1"/>
  <c r="CJ86" i="25"/>
  <c r="CX86" i="25" s="1"/>
  <c r="CI86" i="25"/>
  <c r="CW86" i="25" s="1"/>
  <c r="CH86" i="25"/>
  <c r="CV86" i="25" s="1"/>
  <c r="CG86" i="25"/>
  <c r="CU86" i="25" s="1"/>
  <c r="CF86" i="25"/>
  <c r="CT86" i="25" s="1"/>
  <c r="CE86" i="25"/>
  <c r="CS86" i="25" s="1"/>
  <c r="CD86" i="25"/>
  <c r="CR86" i="25" s="1"/>
  <c r="CC86" i="25"/>
  <c r="CQ86" i="25" s="1"/>
  <c r="CB86" i="25"/>
  <c r="CP86" i="25" s="1"/>
  <c r="DP85" i="25"/>
  <c r="DN85" i="25"/>
  <c r="DL85" i="25"/>
  <c r="DJ85" i="25"/>
  <c r="DH85" i="25"/>
  <c r="CO85" i="25"/>
  <c r="DC85" i="25" s="1"/>
  <c r="CN85" i="25"/>
  <c r="DB85" i="25" s="1"/>
  <c r="CM85" i="25"/>
  <c r="DA85" i="25" s="1"/>
  <c r="CL85" i="25"/>
  <c r="CZ85" i="25" s="1"/>
  <c r="CK85" i="25"/>
  <c r="CY85" i="25" s="1"/>
  <c r="CJ85" i="25"/>
  <c r="CX85" i="25" s="1"/>
  <c r="CI85" i="25"/>
  <c r="CW85" i="25" s="1"/>
  <c r="CH85" i="25"/>
  <c r="CV85" i="25" s="1"/>
  <c r="CG85" i="25"/>
  <c r="CU85" i="25" s="1"/>
  <c r="CF85" i="25"/>
  <c r="CT85" i="25" s="1"/>
  <c r="CE85" i="25"/>
  <c r="CS85" i="25" s="1"/>
  <c r="CD85" i="25"/>
  <c r="CR85" i="25" s="1"/>
  <c r="CC85" i="25"/>
  <c r="CQ85" i="25" s="1"/>
  <c r="CB85" i="25"/>
  <c r="CP85" i="25" s="1"/>
  <c r="DP84" i="25"/>
  <c r="DN84" i="25"/>
  <c r="CQ84" i="25"/>
  <c r="CO84" i="25"/>
  <c r="DC84" i="25" s="1"/>
  <c r="CN84" i="25"/>
  <c r="DB84" i="25" s="1"/>
  <c r="CM84" i="25"/>
  <c r="DA84" i="25" s="1"/>
  <c r="CL84" i="25"/>
  <c r="CZ84" i="25" s="1"/>
  <c r="CK84" i="25"/>
  <c r="CY84" i="25" s="1"/>
  <c r="CJ84" i="25"/>
  <c r="CX84" i="25" s="1"/>
  <c r="CI84" i="25"/>
  <c r="CW84" i="25" s="1"/>
  <c r="CH84" i="25"/>
  <c r="CV84" i="25" s="1"/>
  <c r="CG84" i="25"/>
  <c r="CU84" i="25" s="1"/>
  <c r="CF84" i="25"/>
  <c r="CT84" i="25" s="1"/>
  <c r="CE84" i="25"/>
  <c r="CS84" i="25" s="1"/>
  <c r="CD84" i="25"/>
  <c r="CR84" i="25" s="1"/>
  <c r="CC84" i="25"/>
  <c r="CB84" i="25"/>
  <c r="CP84" i="25" s="1"/>
  <c r="DL83" i="25"/>
  <c r="DJ83" i="25"/>
  <c r="DH83" i="25"/>
  <c r="DF83" i="25"/>
  <c r="CO83" i="25"/>
  <c r="DC83" i="25" s="1"/>
  <c r="CN83" i="25"/>
  <c r="DB83" i="25" s="1"/>
  <c r="CM83" i="25"/>
  <c r="DA83" i="25" s="1"/>
  <c r="CL83" i="25"/>
  <c r="CZ83" i="25" s="1"/>
  <c r="CK83" i="25"/>
  <c r="CY83" i="25" s="1"/>
  <c r="CJ83" i="25"/>
  <c r="CX83" i="25" s="1"/>
  <c r="CI83" i="25"/>
  <c r="CW83" i="25" s="1"/>
  <c r="CH83" i="25"/>
  <c r="CV83" i="25" s="1"/>
  <c r="CG83" i="25"/>
  <c r="CU83" i="25" s="1"/>
  <c r="CF83" i="25"/>
  <c r="CT83" i="25" s="1"/>
  <c r="CE83" i="25"/>
  <c r="CS83" i="25" s="1"/>
  <c r="CD83" i="25"/>
  <c r="CR83" i="25" s="1"/>
  <c r="CC83" i="25"/>
  <c r="CQ83" i="25" s="1"/>
  <c r="CB83" i="25"/>
  <c r="CP83" i="25" s="1"/>
  <c r="DP82" i="25"/>
  <c r="DN82" i="25"/>
  <c r="DL82" i="25"/>
  <c r="DJ82" i="25"/>
  <c r="DH82" i="25"/>
  <c r="DF82" i="25"/>
  <c r="CO82" i="25"/>
  <c r="DC82" i="25" s="1"/>
  <c r="CN82" i="25"/>
  <c r="DB82" i="25" s="1"/>
  <c r="CM82" i="25"/>
  <c r="DA82" i="25" s="1"/>
  <c r="CL82" i="25"/>
  <c r="CZ82" i="25" s="1"/>
  <c r="CK82" i="25"/>
  <c r="CY82" i="25" s="1"/>
  <c r="CJ82" i="25"/>
  <c r="CX82" i="25" s="1"/>
  <c r="CI82" i="25"/>
  <c r="CW82" i="25" s="1"/>
  <c r="CH82" i="25"/>
  <c r="CV82" i="25" s="1"/>
  <c r="CG82" i="25"/>
  <c r="CU82" i="25" s="1"/>
  <c r="CF82" i="25"/>
  <c r="CT82" i="25" s="1"/>
  <c r="CE82" i="25"/>
  <c r="CS82" i="25" s="1"/>
  <c r="CD82" i="25"/>
  <c r="CR82" i="25" s="1"/>
  <c r="CC82" i="25"/>
  <c r="CQ82" i="25" s="1"/>
  <c r="CB82" i="25"/>
  <c r="CP82" i="25" s="1"/>
  <c r="DN81" i="25"/>
  <c r="DL81" i="25"/>
  <c r="DI81" i="25"/>
  <c r="DH81" i="25"/>
  <c r="CO81" i="25"/>
  <c r="DC81" i="25" s="1"/>
  <c r="CN81" i="25"/>
  <c r="DB81" i="25" s="1"/>
  <c r="CM81" i="25"/>
  <c r="DA81" i="25" s="1"/>
  <c r="CL81" i="25"/>
  <c r="CZ81" i="25" s="1"/>
  <c r="CK81" i="25"/>
  <c r="CY81" i="25" s="1"/>
  <c r="CJ81" i="25"/>
  <c r="CX81" i="25" s="1"/>
  <c r="CI81" i="25"/>
  <c r="CW81" i="25" s="1"/>
  <c r="CH81" i="25"/>
  <c r="CV81" i="25" s="1"/>
  <c r="CG81" i="25"/>
  <c r="CU81" i="25" s="1"/>
  <c r="CF81" i="25"/>
  <c r="CT81" i="25" s="1"/>
  <c r="CE81" i="25"/>
  <c r="CS81" i="25" s="1"/>
  <c r="CD81" i="25"/>
  <c r="CR81" i="25" s="1"/>
  <c r="CC81" i="25"/>
  <c r="CQ81" i="25" s="1"/>
  <c r="CB81" i="25"/>
  <c r="CP81" i="25" s="1"/>
  <c r="DN80" i="25"/>
  <c r="DL80" i="25"/>
  <c r="DJ80" i="25"/>
  <c r="DH80" i="25"/>
  <c r="CO80" i="25"/>
  <c r="DC80" i="25" s="1"/>
  <c r="CN80" i="25"/>
  <c r="DB80" i="25" s="1"/>
  <c r="CM80" i="25"/>
  <c r="DA80" i="25" s="1"/>
  <c r="CL80" i="25"/>
  <c r="CZ80" i="25" s="1"/>
  <c r="CK80" i="25"/>
  <c r="CY80" i="25" s="1"/>
  <c r="CJ80" i="25"/>
  <c r="CX80" i="25" s="1"/>
  <c r="CI80" i="25"/>
  <c r="CW80" i="25" s="1"/>
  <c r="CH80" i="25"/>
  <c r="CV80" i="25" s="1"/>
  <c r="CG80" i="25"/>
  <c r="CU80" i="25" s="1"/>
  <c r="CF80" i="25"/>
  <c r="CT80" i="25" s="1"/>
  <c r="CE80" i="25"/>
  <c r="CS80" i="25" s="1"/>
  <c r="CD80" i="25"/>
  <c r="CR80" i="25" s="1"/>
  <c r="CC80" i="25"/>
  <c r="CQ80" i="25" s="1"/>
  <c r="CB80" i="25"/>
  <c r="CP80" i="25" s="1"/>
  <c r="DL79" i="25"/>
  <c r="DJ79" i="25"/>
  <c r="DH79" i="25"/>
  <c r="DF79" i="25"/>
  <c r="CO79" i="25"/>
  <c r="DC79" i="25" s="1"/>
  <c r="CN79" i="25"/>
  <c r="DB79" i="25" s="1"/>
  <c r="CM79" i="25"/>
  <c r="DA79" i="25" s="1"/>
  <c r="CL79" i="25"/>
  <c r="CZ79" i="25" s="1"/>
  <c r="CK79" i="25"/>
  <c r="CY79" i="25" s="1"/>
  <c r="CJ79" i="25"/>
  <c r="CX79" i="25" s="1"/>
  <c r="CI79" i="25"/>
  <c r="CW79" i="25" s="1"/>
  <c r="CH79" i="25"/>
  <c r="CV79" i="25" s="1"/>
  <c r="CG79" i="25"/>
  <c r="CU79" i="25" s="1"/>
  <c r="CF79" i="25"/>
  <c r="CT79" i="25" s="1"/>
  <c r="CE79" i="25"/>
  <c r="CS79" i="25" s="1"/>
  <c r="CD79" i="25"/>
  <c r="CR79" i="25" s="1"/>
  <c r="CC79" i="25"/>
  <c r="CQ79" i="25" s="1"/>
  <c r="CB79" i="25"/>
  <c r="CP79" i="25" s="1"/>
  <c r="DL78" i="25"/>
  <c r="DJ78" i="25"/>
  <c r="DH78" i="25"/>
  <c r="CO78" i="25"/>
  <c r="DC78" i="25" s="1"/>
  <c r="CN78" i="25"/>
  <c r="DB78" i="25" s="1"/>
  <c r="CM78" i="25"/>
  <c r="DA78" i="25" s="1"/>
  <c r="CL78" i="25"/>
  <c r="CZ78" i="25" s="1"/>
  <c r="CK78" i="25"/>
  <c r="CY78" i="25" s="1"/>
  <c r="CJ78" i="25"/>
  <c r="CX78" i="25" s="1"/>
  <c r="CI78" i="25"/>
  <c r="CW78" i="25" s="1"/>
  <c r="CH78" i="25"/>
  <c r="CV78" i="25" s="1"/>
  <c r="CG78" i="25"/>
  <c r="CU78" i="25" s="1"/>
  <c r="CF78" i="25"/>
  <c r="CT78" i="25" s="1"/>
  <c r="CE78" i="25"/>
  <c r="CS78" i="25" s="1"/>
  <c r="CD78" i="25"/>
  <c r="CR78" i="25" s="1"/>
  <c r="CC78" i="25"/>
  <c r="CQ78" i="25" s="1"/>
  <c r="CB78" i="25"/>
  <c r="CP78" i="25" s="1"/>
  <c r="DN77" i="25"/>
  <c r="DL77" i="25"/>
  <c r="DJ77" i="25"/>
  <c r="DH77" i="25"/>
  <c r="CO77" i="25"/>
  <c r="DC77" i="25" s="1"/>
  <c r="CN77" i="25"/>
  <c r="DB77" i="25" s="1"/>
  <c r="CM77" i="25"/>
  <c r="DA77" i="25" s="1"/>
  <c r="CL77" i="25"/>
  <c r="CZ77" i="25" s="1"/>
  <c r="CK77" i="25"/>
  <c r="CY77" i="25" s="1"/>
  <c r="CJ77" i="25"/>
  <c r="CX77" i="25" s="1"/>
  <c r="CI77" i="25"/>
  <c r="CW77" i="25" s="1"/>
  <c r="CH77" i="25"/>
  <c r="CV77" i="25" s="1"/>
  <c r="CG77" i="25"/>
  <c r="CU77" i="25" s="1"/>
  <c r="CF77" i="25"/>
  <c r="CT77" i="25" s="1"/>
  <c r="CE77" i="25"/>
  <c r="CS77" i="25" s="1"/>
  <c r="CD77" i="25"/>
  <c r="CR77" i="25" s="1"/>
  <c r="CC77" i="25"/>
  <c r="CQ77" i="25" s="1"/>
  <c r="CB77" i="25"/>
  <c r="CP77" i="25" s="1"/>
  <c r="DH76" i="25"/>
  <c r="CO76" i="25"/>
  <c r="DC76" i="25" s="1"/>
  <c r="CN76" i="25"/>
  <c r="DB76" i="25" s="1"/>
  <c r="CM76" i="25"/>
  <c r="DA76" i="25" s="1"/>
  <c r="CL76" i="25"/>
  <c r="CZ76" i="25" s="1"/>
  <c r="CK76" i="25"/>
  <c r="CY76" i="25" s="1"/>
  <c r="CJ76" i="25"/>
  <c r="CX76" i="25" s="1"/>
  <c r="CI76" i="25"/>
  <c r="CW76" i="25" s="1"/>
  <c r="CH76" i="25"/>
  <c r="CV76" i="25" s="1"/>
  <c r="CG76" i="25"/>
  <c r="CU76" i="25" s="1"/>
  <c r="CF76" i="25"/>
  <c r="CT76" i="25" s="1"/>
  <c r="CE76" i="25"/>
  <c r="CS76" i="25" s="1"/>
  <c r="CD76" i="25"/>
  <c r="CR76" i="25" s="1"/>
  <c r="CC76" i="25"/>
  <c r="CQ76" i="25" s="1"/>
  <c r="CB76" i="25"/>
  <c r="CP76" i="25" s="1"/>
  <c r="DP75" i="25"/>
  <c r="DO75" i="25"/>
  <c r="DN75" i="25"/>
  <c r="DL75" i="25"/>
  <c r="DJ75" i="25"/>
  <c r="DH75" i="25"/>
  <c r="CO75" i="25"/>
  <c r="DC75" i="25" s="1"/>
  <c r="CN75" i="25"/>
  <c r="DB75" i="25" s="1"/>
  <c r="CM75" i="25"/>
  <c r="DA75" i="25" s="1"/>
  <c r="CL75" i="25"/>
  <c r="CZ75" i="25" s="1"/>
  <c r="CK75" i="25"/>
  <c r="CY75" i="25" s="1"/>
  <c r="CJ75" i="25"/>
  <c r="CX75" i="25" s="1"/>
  <c r="CI75" i="25"/>
  <c r="CW75" i="25" s="1"/>
  <c r="CH75" i="25"/>
  <c r="CV75" i="25" s="1"/>
  <c r="CG75" i="25"/>
  <c r="CU75" i="25" s="1"/>
  <c r="CF75" i="25"/>
  <c r="CT75" i="25" s="1"/>
  <c r="CE75" i="25"/>
  <c r="CS75" i="25" s="1"/>
  <c r="CD75" i="25"/>
  <c r="CR75" i="25" s="1"/>
  <c r="CC75" i="25"/>
  <c r="CQ75" i="25" s="1"/>
  <c r="CB75" i="25"/>
  <c r="CP75" i="25" s="1"/>
  <c r="DJ74" i="25"/>
  <c r="DH74" i="25"/>
  <c r="DF74" i="25"/>
  <c r="CO74" i="25"/>
  <c r="DC74" i="25" s="1"/>
  <c r="CN74" i="25"/>
  <c r="DB74" i="25" s="1"/>
  <c r="CM74" i="25"/>
  <c r="DA74" i="25" s="1"/>
  <c r="CL74" i="25"/>
  <c r="CZ74" i="25" s="1"/>
  <c r="CK74" i="25"/>
  <c r="CY74" i="25" s="1"/>
  <c r="CJ74" i="25"/>
  <c r="CX74" i="25" s="1"/>
  <c r="CI74" i="25"/>
  <c r="CW74" i="25" s="1"/>
  <c r="CH74" i="25"/>
  <c r="CV74" i="25" s="1"/>
  <c r="CG74" i="25"/>
  <c r="CU74" i="25" s="1"/>
  <c r="CF74" i="25"/>
  <c r="CT74" i="25" s="1"/>
  <c r="CE74" i="25"/>
  <c r="CS74" i="25" s="1"/>
  <c r="CD74" i="25"/>
  <c r="CR74" i="25" s="1"/>
  <c r="CC74" i="25"/>
  <c r="CQ74" i="25" s="1"/>
  <c r="CB74" i="25"/>
  <c r="CP74" i="25" s="1"/>
  <c r="DP73" i="25"/>
  <c r="DN73" i="25"/>
  <c r="DL73" i="25"/>
  <c r="DJ73" i="25"/>
  <c r="CO73" i="25"/>
  <c r="DC73" i="25" s="1"/>
  <c r="CN73" i="25"/>
  <c r="DB73" i="25" s="1"/>
  <c r="CM73" i="25"/>
  <c r="DA73" i="25" s="1"/>
  <c r="CL73" i="25"/>
  <c r="CZ73" i="25" s="1"/>
  <c r="CK73" i="25"/>
  <c r="CY73" i="25" s="1"/>
  <c r="CJ73" i="25"/>
  <c r="CX73" i="25" s="1"/>
  <c r="CI73" i="25"/>
  <c r="CW73" i="25" s="1"/>
  <c r="CH73" i="25"/>
  <c r="CV73" i="25" s="1"/>
  <c r="CG73" i="25"/>
  <c r="CU73" i="25" s="1"/>
  <c r="CF73" i="25"/>
  <c r="CT73" i="25" s="1"/>
  <c r="CE73" i="25"/>
  <c r="CS73" i="25" s="1"/>
  <c r="CD73" i="25"/>
  <c r="CR73" i="25" s="1"/>
  <c r="CC73" i="25"/>
  <c r="CQ73" i="25" s="1"/>
  <c r="CB73" i="25"/>
  <c r="CP73" i="25" s="1"/>
  <c r="CO72" i="25"/>
  <c r="DC72" i="25" s="1"/>
  <c r="CN72" i="25"/>
  <c r="DB72" i="25" s="1"/>
  <c r="CM72" i="25"/>
  <c r="DA72" i="25" s="1"/>
  <c r="CL72" i="25"/>
  <c r="CZ72" i="25" s="1"/>
  <c r="CK72" i="25"/>
  <c r="CY72" i="25" s="1"/>
  <c r="CJ72" i="25"/>
  <c r="CX72" i="25" s="1"/>
  <c r="CI72" i="25"/>
  <c r="CW72" i="25" s="1"/>
  <c r="CH72" i="25"/>
  <c r="CV72" i="25" s="1"/>
  <c r="CG72" i="25"/>
  <c r="CU72" i="25" s="1"/>
  <c r="CF72" i="25"/>
  <c r="CT72" i="25" s="1"/>
  <c r="CE72" i="25"/>
  <c r="CS72" i="25" s="1"/>
  <c r="CD72" i="25"/>
  <c r="CR72" i="25" s="1"/>
  <c r="CC72" i="25"/>
  <c r="CQ72" i="25" s="1"/>
  <c r="CB72" i="25"/>
  <c r="CP72" i="25" s="1"/>
  <c r="DF71" i="25"/>
  <c r="CX71" i="25"/>
  <c r="CO71" i="25"/>
  <c r="DC71" i="25" s="1"/>
  <c r="CN71" i="25"/>
  <c r="DB71" i="25" s="1"/>
  <c r="CM71" i="25"/>
  <c r="DA71" i="25" s="1"/>
  <c r="CL71" i="25"/>
  <c r="CZ71" i="25" s="1"/>
  <c r="CK71" i="25"/>
  <c r="CY71" i="25" s="1"/>
  <c r="CJ71" i="25"/>
  <c r="CI71" i="25"/>
  <c r="CW71" i="25" s="1"/>
  <c r="CH71" i="25"/>
  <c r="CV71" i="25" s="1"/>
  <c r="CG71" i="25"/>
  <c r="CU71" i="25" s="1"/>
  <c r="CF71" i="25"/>
  <c r="CT71" i="25" s="1"/>
  <c r="CE71" i="25"/>
  <c r="CS71" i="25" s="1"/>
  <c r="CD71" i="25"/>
  <c r="CR71" i="25" s="1"/>
  <c r="CC71" i="25"/>
  <c r="CQ71" i="25" s="1"/>
  <c r="CB71" i="25"/>
  <c r="CP71" i="25" s="1"/>
  <c r="DP70" i="25"/>
  <c r="DN70" i="25"/>
  <c r="DL70" i="25"/>
  <c r="DJ70" i="25"/>
  <c r="DH70" i="25"/>
  <c r="CU70" i="25"/>
  <c r="CQ70" i="25"/>
  <c r="CO70" i="25"/>
  <c r="DC70" i="25" s="1"/>
  <c r="CN70" i="25"/>
  <c r="DB70" i="25" s="1"/>
  <c r="CM70" i="25"/>
  <c r="DA70" i="25" s="1"/>
  <c r="CL70" i="25"/>
  <c r="CZ70" i="25" s="1"/>
  <c r="CK70" i="25"/>
  <c r="CY70" i="25" s="1"/>
  <c r="CJ70" i="25"/>
  <c r="CX70" i="25" s="1"/>
  <c r="CI70" i="25"/>
  <c r="CW70" i="25" s="1"/>
  <c r="CH70" i="25"/>
  <c r="CV70" i="25" s="1"/>
  <c r="CG70" i="25"/>
  <c r="CF70" i="25"/>
  <c r="CT70" i="25" s="1"/>
  <c r="CE70" i="25"/>
  <c r="CS70" i="25" s="1"/>
  <c r="CD70" i="25"/>
  <c r="CR70" i="25" s="1"/>
  <c r="CC70" i="25"/>
  <c r="CB70" i="25"/>
  <c r="CP70" i="25" s="1"/>
  <c r="CO69" i="25"/>
  <c r="DC69" i="25" s="1"/>
  <c r="CN69" i="25"/>
  <c r="DB69" i="25" s="1"/>
  <c r="CM69" i="25"/>
  <c r="DA69" i="25" s="1"/>
  <c r="CL69" i="25"/>
  <c r="CZ69" i="25" s="1"/>
  <c r="CK69" i="25"/>
  <c r="CY69" i="25" s="1"/>
  <c r="CJ69" i="25"/>
  <c r="CX69" i="25" s="1"/>
  <c r="CI69" i="25"/>
  <c r="CW69" i="25" s="1"/>
  <c r="CH69" i="25"/>
  <c r="CV69" i="25" s="1"/>
  <c r="CG69" i="25"/>
  <c r="CU69" i="25" s="1"/>
  <c r="CF69" i="25"/>
  <c r="CT69" i="25" s="1"/>
  <c r="CE69" i="25"/>
  <c r="CS69" i="25" s="1"/>
  <c r="CD69" i="25"/>
  <c r="CR69" i="25" s="1"/>
  <c r="CC69" i="25"/>
  <c r="CQ69" i="25" s="1"/>
  <c r="CB69" i="25"/>
  <c r="CP69" i="25" s="1"/>
  <c r="CO68" i="25"/>
  <c r="DC68" i="25" s="1"/>
  <c r="CN68" i="25"/>
  <c r="DB68" i="25" s="1"/>
  <c r="CM68" i="25"/>
  <c r="DA68" i="25" s="1"/>
  <c r="CL68" i="25"/>
  <c r="CZ68" i="25" s="1"/>
  <c r="CK68" i="25"/>
  <c r="CY68" i="25" s="1"/>
  <c r="CJ68" i="25"/>
  <c r="CX68" i="25" s="1"/>
  <c r="CI68" i="25"/>
  <c r="CW68" i="25" s="1"/>
  <c r="CH68" i="25"/>
  <c r="CV68" i="25" s="1"/>
  <c r="CG68" i="25"/>
  <c r="CU68" i="25" s="1"/>
  <c r="CF68" i="25"/>
  <c r="CT68" i="25" s="1"/>
  <c r="CE68" i="25"/>
  <c r="CS68" i="25" s="1"/>
  <c r="CD68" i="25"/>
  <c r="CR68" i="25" s="1"/>
  <c r="CC68" i="25"/>
  <c r="CQ68" i="25" s="1"/>
  <c r="CB68" i="25"/>
  <c r="CP68" i="25" s="1"/>
  <c r="DF67" i="25"/>
  <c r="CO67" i="25"/>
  <c r="DC67" i="25" s="1"/>
  <c r="CN67" i="25"/>
  <c r="DB67" i="25" s="1"/>
  <c r="CM67" i="25"/>
  <c r="DA67" i="25" s="1"/>
  <c r="CL67" i="25"/>
  <c r="CZ67" i="25" s="1"/>
  <c r="CK67" i="25"/>
  <c r="CY67" i="25" s="1"/>
  <c r="CJ67" i="25"/>
  <c r="CX67" i="25" s="1"/>
  <c r="CI67" i="25"/>
  <c r="CW67" i="25" s="1"/>
  <c r="CH67" i="25"/>
  <c r="CV67" i="25" s="1"/>
  <c r="CG67" i="25"/>
  <c r="CU67" i="25" s="1"/>
  <c r="CF67" i="25"/>
  <c r="CT67" i="25" s="1"/>
  <c r="CE67" i="25"/>
  <c r="CS67" i="25" s="1"/>
  <c r="CD67" i="25"/>
  <c r="CR67" i="25" s="1"/>
  <c r="CC67" i="25"/>
  <c r="CQ67" i="25" s="1"/>
  <c r="CB67" i="25"/>
  <c r="CP67" i="25" s="1"/>
  <c r="N88" i="23"/>
  <c r="U96" i="23"/>
  <c r="U125" i="23" s="1"/>
  <c r="T125" i="23"/>
  <c r="AC14" i="23"/>
  <c r="G10" i="26"/>
  <c r="G11" i="26"/>
  <c r="G12" i="26"/>
  <c r="G13" i="26"/>
  <c r="G14" i="26"/>
  <c r="G15" i="26"/>
  <c r="G9" i="26"/>
  <c r="Q79" i="30"/>
  <c r="Q78" i="30"/>
  <c r="N78" i="30"/>
  <c r="O78" i="30"/>
  <c r="N79" i="30"/>
  <c r="O79" i="30"/>
  <c r="M79" i="30"/>
  <c r="M78" i="30"/>
  <c r="J79" i="30"/>
  <c r="J78" i="30"/>
  <c r="J77" i="30"/>
  <c r="U23" i="20"/>
  <c r="N147" i="25"/>
  <c r="AG32" i="26" s="1"/>
  <c r="N146" i="25"/>
  <c r="AG31" i="26" s="1"/>
  <c r="AG30" i="26"/>
  <c r="AG29" i="26"/>
  <c r="AG28" i="26"/>
  <c r="AG27" i="26"/>
  <c r="AG26" i="26"/>
  <c r="J147" i="25"/>
  <c r="BM9" i="26" l="1"/>
  <c r="BM15" i="26"/>
  <c r="BM12" i="26"/>
  <c r="BM18" i="26"/>
  <c r="BM21" i="26"/>
  <c r="BB16" i="26"/>
  <c r="BB46" i="26" s="1"/>
  <c r="BM16" i="26"/>
  <c r="BM10" i="26"/>
  <c r="BM22" i="26"/>
  <c r="BM19" i="26"/>
  <c r="BM13" i="26"/>
  <c r="BB23" i="26"/>
  <c r="BC46" i="26" s="1"/>
  <c r="BM23" i="26"/>
  <c r="BM20" i="26"/>
  <c r="BM14" i="26"/>
  <c r="BM11" i="26"/>
  <c r="BM17" i="26"/>
  <c r="BB9" i="26"/>
  <c r="BH9" i="26" s="1" a="1"/>
  <c r="BH9" i="26" s="1"/>
  <c r="CP22" i="26"/>
  <c r="CP14" i="26"/>
  <c r="CP18" i="26"/>
  <c r="CP20" i="26"/>
  <c r="CP12" i="26"/>
  <c r="CP16" i="26"/>
  <c r="BB63" i="26"/>
  <c r="BA55" i="26"/>
  <c r="BA59" i="26"/>
  <c r="BB51" i="26"/>
  <c r="BB67" i="26"/>
  <c r="BC55" i="26"/>
  <c r="BC72" i="26"/>
  <c r="BC51" i="26"/>
  <c r="BA63" i="26"/>
  <c r="BB55" i="26"/>
  <c r="BB72" i="26"/>
  <c r="BC59" i="26"/>
  <c r="BA67" i="26"/>
  <c r="BC67" i="26"/>
  <c r="BA51" i="26"/>
  <c r="BB59" i="26"/>
  <c r="BC63" i="26"/>
  <c r="BA72" i="26"/>
  <c r="BL18" i="26"/>
  <c r="BL15" i="26"/>
  <c r="BL21" i="26"/>
  <c r="BL12" i="26"/>
  <c r="D135" i="1"/>
  <c r="CZ9" i="26"/>
  <c r="C26" i="11"/>
  <c r="DA23" i="26"/>
  <c r="DA24" i="26"/>
  <c r="DA25" i="26"/>
  <c r="DA26" i="26"/>
  <c r="DA27" i="26"/>
  <c r="DA28" i="26"/>
  <c r="DA22" i="26"/>
  <c r="CZ10" i="26"/>
  <c r="CZ11" i="26"/>
  <c r="CZ12" i="26"/>
  <c r="CZ13" i="26"/>
  <c r="CZ14" i="26"/>
  <c r="CZ15" i="26"/>
  <c r="CY22" i="26" a="1"/>
  <c r="CY22" i="26" s="1"/>
  <c r="BA46" i="26" l="1"/>
  <c r="CP10" i="26"/>
  <c r="T131" i="25"/>
  <c r="S132" i="25"/>
  <c r="T132" i="25"/>
  <c r="S133" i="25"/>
  <c r="S134" i="25"/>
  <c r="T134" i="25"/>
  <c r="S135" i="25"/>
  <c r="T135" i="25"/>
  <c r="N123" i="25" s="1"/>
  <c r="U123" i="25" s="1"/>
  <c r="U128" i="25" s="1"/>
  <c r="U129" i="25" s="1"/>
  <c r="S136" i="25"/>
  <c r="T136" i="25"/>
  <c r="J11" i="31"/>
  <c r="J10" i="31"/>
  <c r="J9" i="31"/>
  <c r="J8" i="31"/>
  <c r="J12" i="31" s="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S10" i="26" l="1"/>
  <c r="S9" i="26" s="1"/>
  <c r="S11" i="31"/>
  <c r="L11" i="31"/>
  <c r="T11" i="31" s="1"/>
  <c r="R8" i="31"/>
  <c r="R12" i="31" s="1"/>
  <c r="K9" i="31"/>
  <c r="L10" i="31"/>
  <c r="T10" i="31" s="1"/>
  <c r="K8" i="31" l="1"/>
  <c r="S8" i="31" s="1"/>
  <c r="S9" i="31"/>
  <c r="L9" i="31"/>
  <c r="L8" i="31" l="1"/>
  <c r="T8" i="31" s="1"/>
  <c r="T9" i="31"/>
  <c r="N99" i="4" l="1" a="1"/>
  <c r="N99" i="4" s="1"/>
  <c r="AO9" i="26" a="1"/>
  <c r="AO9" i="26" s="1"/>
  <c r="AS9" i="26" s="1" a="1"/>
  <c r="AS9" i="26" s="1"/>
  <c r="AE9" i="26" a="1"/>
  <c r="AE9" i="26" s="1"/>
  <c r="N64" i="4" a="1"/>
  <c r="N64" i="4" s="1"/>
  <c r="D90" i="1" a="1"/>
  <c r="D90" i="1" s="1"/>
  <c r="D80" i="1" a="1"/>
  <c r="D80" i="1" s="1"/>
  <c r="AF9" i="26" s="1" a="1"/>
  <c r="AF9" i="26" s="1"/>
  <c r="S22" i="26"/>
  <c r="S20" i="26"/>
  <c r="L93" i="26"/>
  <c r="Q21" i="26" s="1"/>
  <c r="U15" i="26" s="1"/>
  <c r="C9" i="26" a="1"/>
  <c r="C9" i="26" s="1"/>
  <c r="AI105" i="25"/>
  <c r="AJ105" i="25"/>
  <c r="AK105" i="25"/>
  <c r="AL105" i="25"/>
  <c r="AN105" i="25"/>
  <c r="AP105" i="25"/>
  <c r="AR105" i="25"/>
  <c r="AT105" i="25"/>
  <c r="AV105" i="25"/>
  <c r="AU105" i="25"/>
  <c r="AS105" i="25"/>
  <c r="AQ105" i="25"/>
  <c r="AO105" i="25"/>
  <c r="AM105" i="25"/>
  <c r="M26" i="23"/>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U189" i="25"/>
  <c r="U183" i="25"/>
  <c r="P162" i="25"/>
  <c r="J162" i="25"/>
  <c r="J189" i="25" s="1"/>
  <c r="J199" i="25" s="1"/>
  <c r="M127" i="25"/>
  <c r="M147" i="25" s="1"/>
  <c r="L127" i="25"/>
  <c r="L147" i="25" s="1"/>
  <c r="K127" i="25"/>
  <c r="K147" i="25" s="1"/>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V9" i="26" l="1" a="1"/>
  <c r="V9" i="26" s="1"/>
  <c r="R14" i="26"/>
  <c r="R22" i="26"/>
  <c r="R16" i="26"/>
  <c r="R18" i="26"/>
  <c r="R10" i="26"/>
  <c r="DA9" i="26" a="1"/>
  <c r="DA9" i="26" s="1"/>
  <c r="R12" i="26"/>
  <c r="R20" i="26"/>
  <c r="AI9" i="26"/>
  <c r="AE26" i="26" a="1"/>
  <c r="AE26" i="26" s="1"/>
  <c r="M162" i="25"/>
  <c r="M189" i="25" s="1"/>
  <c r="M199" i="25" s="1"/>
  <c r="L162" i="25"/>
  <c r="L189" i="25" s="1"/>
  <c r="L199" i="25" s="1"/>
  <c r="K162" i="25"/>
  <c r="K189" i="25" s="1"/>
  <c r="K199" i="25" s="1"/>
  <c r="S21" i="26"/>
  <c r="AE87" i="25"/>
  <c r="N105" i="25"/>
  <c r="O93" i="26" a="1"/>
  <c r="O93" i="26" s="1"/>
  <c r="AI18" i="26"/>
  <c r="AI10" i="26"/>
  <c r="AI16" i="26"/>
  <c r="AI12" i="26"/>
  <c r="AI20" i="26"/>
  <c r="AI14"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BJ88" i="25" s="1"/>
  <c r="Z57" i="25"/>
  <c r="O89" i="25" s="1"/>
  <c r="AH89" i="25" s="1"/>
  <c r="BD89" i="25" l="1"/>
  <c r="BH89" i="25"/>
  <c r="BG89" i="25"/>
  <c r="BI89" i="25"/>
  <c r="BJ89" i="25"/>
  <c r="P89" i="25"/>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BG87" i="25" l="1"/>
  <c r="BA87" i="25"/>
  <c r="BI87" i="25"/>
  <c r="BC87" i="25"/>
  <c r="BE87" i="25"/>
  <c r="AY87" i="25"/>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BH51" i="26" l="1"/>
  <c r="BB47" i="26" s="1"/>
  <c r="BH50" i="26"/>
  <c r="BH49" i="26"/>
  <c r="BH48" i="26"/>
  <c r="BC47" i="26" s="1"/>
  <c r="BH47" i="26"/>
  <c r="BA47" i="26" s="1"/>
  <c r="CE17" i="26"/>
  <c r="CI13" i="26" s="1"/>
  <c r="CE15" i="26"/>
  <c r="CI12" i="26" s="1"/>
  <c r="CE13" i="26"/>
  <c r="CI11" i="26" s="1"/>
  <c r="CE11" i="26"/>
  <c r="CI10" i="26" s="1"/>
  <c r="CI9" i="26"/>
  <c r="CP26" i="26"/>
  <c r="CO27" i="26"/>
  <c r="CK10" i="26"/>
  <c r="CG11" i="26" s="1"/>
  <c r="CG12" i="26" s="1"/>
  <c r="CK11" i="26"/>
  <c r="CG13" i="26" s="1"/>
  <c r="CG14" i="26" s="1"/>
  <c r="CK12" i="26"/>
  <c r="CG15" i="26" s="1"/>
  <c r="CG16" i="26" s="1"/>
  <c r="CK13" i="26"/>
  <c r="CG17" i="26" s="1"/>
  <c r="X185" i="25"/>
  <c r="X186" i="25"/>
  <c r="X187" i="25"/>
  <c r="X188" i="25"/>
  <c r="X184" i="25"/>
  <c r="CI24" i="26" l="1" a="1"/>
  <c r="CI24" i="26" s="1"/>
  <c r="BC68" i="26"/>
  <c r="BC52" i="26"/>
  <c r="BC73" i="26"/>
  <c r="BC64" i="26"/>
  <c r="BC60" i="26"/>
  <c r="BC56" i="26"/>
  <c r="BA60" i="26"/>
  <c r="BA73" i="26"/>
  <c r="BA56" i="26"/>
  <c r="BA64" i="26"/>
  <c r="BA68" i="26"/>
  <c r="BA52" i="26"/>
  <c r="BB64" i="26"/>
  <c r="BB52" i="26"/>
  <c r="BB60" i="26"/>
  <c r="BB68" i="26"/>
  <c r="BB73" i="26"/>
  <c r="BB56" i="26"/>
  <c r="CG18" i="26"/>
  <c r="CF12" i="26"/>
  <c r="CF14" i="26"/>
  <c r="CF16" i="26"/>
  <c r="CF18" i="26"/>
  <c r="K178" i="25"/>
  <c r="K179" i="25" s="1"/>
  <c r="M176" i="25"/>
  <c r="AW92" i="25"/>
  <c r="AX92" i="25"/>
  <c r="AY92" i="25"/>
  <c r="AZ92" i="25"/>
  <c r="BB92" i="25"/>
  <c r="BD92" i="25"/>
  <c r="BF92" i="25"/>
  <c r="BG92" i="25"/>
  <c r="BH92" i="25"/>
  <c r="BI92" i="25"/>
  <c r="BJ92" i="25"/>
  <c r="AO157" i="25"/>
  <c r="AP157" i="25"/>
  <c r="AQ157" i="25"/>
  <c r="AR157" i="25"/>
  <c r="AS157" i="25"/>
  <c r="AT157" i="25"/>
  <c r="AU157" i="25"/>
  <c r="AO158" i="25"/>
  <c r="AP158" i="25"/>
  <c r="AQ158" i="25"/>
  <c r="AR158" i="25"/>
  <c r="AS158" i="25"/>
  <c r="AT158" i="25"/>
  <c r="AU158" i="25"/>
  <c r="AO159" i="25"/>
  <c r="AP159" i="25"/>
  <c r="AQ159" i="25"/>
  <c r="AR159" i="25"/>
  <c r="AS159" i="25"/>
  <c r="AT159" i="25"/>
  <c r="AO160" i="25"/>
  <c r="AP160" i="25"/>
  <c r="AQ160" i="25"/>
  <c r="AR160" i="25"/>
  <c r="AS160" i="25"/>
  <c r="AT160" i="25"/>
  <c r="AO161" i="25"/>
  <c r="AP161" i="25"/>
  <c r="AQ161" i="25"/>
  <c r="AR161" i="25"/>
  <c r="AS161" i="25"/>
  <c r="AT161" i="25"/>
  <c r="AO162" i="25"/>
  <c r="AP162" i="25"/>
  <c r="AR162" i="25"/>
  <c r="AS162" i="25"/>
  <c r="AT162" i="25"/>
  <c r="AO163" i="25"/>
  <c r="AP163" i="25"/>
  <c r="AR163" i="25"/>
  <c r="AS163" i="25"/>
  <c r="AT163" i="25"/>
  <c r="AP156" i="25"/>
  <c r="AQ156" i="25"/>
  <c r="AR156" i="25"/>
  <c r="AS156" i="25"/>
  <c r="AT156" i="25"/>
  <c r="AO156" i="25"/>
  <c r="P158" i="25"/>
  <c r="P160" i="25"/>
  <c r="AY157" i="25"/>
  <c r="AZ157" i="25"/>
  <c r="BA157" i="25"/>
  <c r="BB157" i="25"/>
  <c r="BC157" i="25"/>
  <c r="BD157" i="25"/>
  <c r="BE157" i="25"/>
  <c r="AY158" i="25"/>
  <c r="AZ158" i="25"/>
  <c r="BA158" i="25"/>
  <c r="BB158" i="25"/>
  <c r="BC158" i="25"/>
  <c r="BD158" i="25"/>
  <c r="BE158" i="25"/>
  <c r="AY159" i="25"/>
  <c r="AZ159" i="25"/>
  <c r="BA159" i="25"/>
  <c r="BB159" i="25"/>
  <c r="BC159" i="25"/>
  <c r="BD159" i="25"/>
  <c r="BE159" i="25"/>
  <c r="AY160" i="25"/>
  <c r="AZ160" i="25"/>
  <c r="BA160" i="25"/>
  <c r="BB160" i="25"/>
  <c r="BC160" i="25"/>
  <c r="BD160" i="25"/>
  <c r="BE160" i="25"/>
  <c r="AY161" i="25"/>
  <c r="AZ161" i="25"/>
  <c r="BA161" i="25"/>
  <c r="BB161" i="25"/>
  <c r="BC161" i="25"/>
  <c r="BD161" i="25"/>
  <c r="BE161" i="25"/>
  <c r="AY162" i="25"/>
  <c r="AZ162" i="25"/>
  <c r="BA162" i="25"/>
  <c r="BB162" i="25"/>
  <c r="BC162" i="25"/>
  <c r="BD162" i="25"/>
  <c r="BE162" i="25"/>
  <c r="AY163" i="25"/>
  <c r="AZ163" i="25"/>
  <c r="BA163" i="25"/>
  <c r="BB163" i="25"/>
  <c r="BC163" i="25"/>
  <c r="BD163" i="25"/>
  <c r="BE163" i="25"/>
  <c r="AZ156" i="25"/>
  <c r="BA156" i="25"/>
  <c r="BB156" i="25"/>
  <c r="BC156" i="25"/>
  <c r="BD156" i="25"/>
  <c r="BE156" i="25"/>
  <c r="AY156" i="25"/>
  <c r="AB164" i="25"/>
  <c r="N161" i="25" s="1"/>
  <c r="P161" i="25" s="1"/>
  <c r="O63" i="20" l="1"/>
  <c r="P58" i="20" s="1"/>
  <c r="O64" i="20" l="1"/>
  <c r="O65" i="20" s="1"/>
  <c r="P61" i="20"/>
  <c r="P59" i="20" l="1"/>
  <c r="P76" i="20" s="1"/>
  <c r="P57" i="20"/>
  <c r="P74" i="20" s="1"/>
  <c r="P56" i="20"/>
  <c r="P55" i="20"/>
  <c r="P77" i="20"/>
  <c r="P75" i="20"/>
  <c r="P73" i="20"/>
  <c r="I13" i="10"/>
  <c r="K108" i="3"/>
  <c r="V19" i="26"/>
  <c r="W31" i="26" s="1"/>
  <c r="S19" i="26"/>
  <c r="S18" i="26"/>
  <c r="S16" i="26"/>
  <c r="S14" i="26"/>
  <c r="S12" i="26"/>
  <c r="J120" i="25"/>
  <c r="K120" i="25"/>
  <c r="L120" i="25"/>
  <c r="J121" i="25"/>
  <c r="K121" i="25"/>
  <c r="L121" i="25"/>
  <c r="M121" i="25"/>
  <c r="J122" i="25"/>
  <c r="K122" i="25"/>
  <c r="L122" i="25"/>
  <c r="M122" i="25"/>
  <c r="J123" i="25"/>
  <c r="J143" i="25" s="1"/>
  <c r="K123" i="25"/>
  <c r="K143" i="25" s="1"/>
  <c r="L123" i="25"/>
  <c r="L143" i="25" s="1"/>
  <c r="M123" i="25"/>
  <c r="M143" i="25" s="1"/>
  <c r="J124" i="25"/>
  <c r="J144" i="25" s="1"/>
  <c r="K124" i="25"/>
  <c r="K144" i="25" s="1"/>
  <c r="L124" i="25"/>
  <c r="L144" i="25" s="1"/>
  <c r="M124" i="25"/>
  <c r="M144" i="25" s="1"/>
  <c r="J125" i="25"/>
  <c r="J145" i="25" s="1"/>
  <c r="K125" i="25"/>
  <c r="K145" i="25" s="1"/>
  <c r="L125" i="25"/>
  <c r="L145" i="25" s="1"/>
  <c r="M125" i="25"/>
  <c r="M145" i="25" s="1"/>
  <c r="J126" i="25"/>
  <c r="J146" i="25" s="1"/>
  <c r="K126" i="25"/>
  <c r="K146" i="25" s="1"/>
  <c r="L126" i="25"/>
  <c r="L146" i="25" s="1"/>
  <c r="M126" i="25"/>
  <c r="M146" i="25" s="1"/>
  <c r="J128" i="25"/>
  <c r="K128" i="25"/>
  <c r="L128" i="25"/>
  <c r="M128" i="25"/>
  <c r="J129" i="25"/>
  <c r="K129" i="25"/>
  <c r="L129" i="25"/>
  <c r="M129" i="25"/>
  <c r="J130" i="25"/>
  <c r="K130" i="25"/>
  <c r="L130" i="25"/>
  <c r="M130" i="25"/>
  <c r="J131" i="25"/>
  <c r="K131" i="25"/>
  <c r="L131" i="25"/>
  <c r="M131" i="25"/>
  <c r="J132" i="25"/>
  <c r="K132" i="25"/>
  <c r="L132" i="25"/>
  <c r="M132" i="25"/>
  <c r="J133" i="25"/>
  <c r="K133" i="25"/>
  <c r="L133" i="25"/>
  <c r="M133" i="25"/>
  <c r="J134" i="25"/>
  <c r="K134" i="25"/>
  <c r="L134" i="25"/>
  <c r="M134" i="25"/>
  <c r="L79" i="26"/>
  <c r="Q19" i="26" s="1"/>
  <c r="U14" i="26" s="1"/>
  <c r="L65" i="26"/>
  <c r="Q17" i="26" s="1"/>
  <c r="U13" i="26" s="1"/>
  <c r="L51" i="26"/>
  <c r="Q15" i="26" s="1"/>
  <c r="U12" i="26" s="1"/>
  <c r="L37" i="26"/>
  <c r="Q13" i="26" s="1"/>
  <c r="U11" i="26" s="1"/>
  <c r="L23" i="26"/>
  <c r="Q11" i="26" s="1"/>
  <c r="U10" i="26" s="1"/>
  <c r="N9" i="26" a="1"/>
  <c r="N9" i="26" s="1"/>
  <c r="L9" i="26"/>
  <c r="Q9" i="26" s="1"/>
  <c r="U9" i="26" s="1"/>
  <c r="BE92" i="25"/>
  <c r="BC92" i="25"/>
  <c r="BA92"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Y9" i="26" l="1" a="1"/>
  <c r="Y9" i="26" s="1"/>
  <c r="M156" i="25"/>
  <c r="M141" i="25"/>
  <c r="K155" i="25"/>
  <c r="K182" i="25" s="1"/>
  <c r="K192" i="25" s="1"/>
  <c r="K140" i="25"/>
  <c r="K157" i="25"/>
  <c r="K142" i="25"/>
  <c r="K156" i="25"/>
  <c r="K183" i="25" s="1"/>
  <c r="K193" i="25" s="1"/>
  <c r="K141" i="25"/>
  <c r="J155" i="25"/>
  <c r="J140" i="25"/>
  <c r="M157" i="25"/>
  <c r="M184" i="25" s="1"/>
  <c r="M194" i="25" s="1"/>
  <c r="M142" i="25"/>
  <c r="L155" i="25"/>
  <c r="L140" i="25"/>
  <c r="L157" i="25"/>
  <c r="L184" i="25" s="1"/>
  <c r="L194" i="25" s="1"/>
  <c r="L142" i="25"/>
  <c r="L156" i="25"/>
  <c r="L141" i="25"/>
  <c r="J157" i="25"/>
  <c r="J184" i="25" s="1"/>
  <c r="J194" i="25" s="1"/>
  <c r="J142" i="25"/>
  <c r="J156" i="25"/>
  <c r="J141" i="25"/>
  <c r="M159" i="25"/>
  <c r="M186" i="25" s="1"/>
  <c r="M196" i="25" s="1"/>
  <c r="L182" i="25"/>
  <c r="L192" i="25" s="1"/>
  <c r="L161" i="25"/>
  <c r="L188" i="25" s="1"/>
  <c r="L198" i="25" s="1"/>
  <c r="L160" i="25"/>
  <c r="L187" i="25" s="1"/>
  <c r="L197" i="25" s="1"/>
  <c r="L159" i="25"/>
  <c r="L186" i="25" s="1"/>
  <c r="L196" i="25" s="1"/>
  <c r="L158" i="25"/>
  <c r="L185" i="25" s="1"/>
  <c r="L195" i="25" s="1"/>
  <c r="L183" i="25"/>
  <c r="L193" i="25" s="1"/>
  <c r="M160" i="25"/>
  <c r="M187" i="25" s="1"/>
  <c r="M197" i="25" s="1"/>
  <c r="M158" i="25"/>
  <c r="M185" i="25" s="1"/>
  <c r="M195" i="25" s="1"/>
  <c r="M183" i="25"/>
  <c r="M193" i="25" s="1"/>
  <c r="K161" i="25"/>
  <c r="K188" i="25" s="1"/>
  <c r="K198" i="25" s="1"/>
  <c r="K160" i="25"/>
  <c r="K187" i="25" s="1"/>
  <c r="K197" i="25" s="1"/>
  <c r="K159" i="25"/>
  <c r="K186" i="25" s="1"/>
  <c r="K196" i="25" s="1"/>
  <c r="K158" i="25"/>
  <c r="K185" i="25" s="1"/>
  <c r="K195" i="25" s="1"/>
  <c r="K184" i="25"/>
  <c r="K194" i="25" s="1"/>
  <c r="M161" i="25"/>
  <c r="M188" i="25" s="1"/>
  <c r="M198" i="25" s="1"/>
  <c r="J182" i="25"/>
  <c r="J192" i="25" s="1"/>
  <c r="J161" i="25"/>
  <c r="J188" i="25" s="1"/>
  <c r="J198" i="25" s="1"/>
  <c r="J160" i="25"/>
  <c r="J187" i="25" s="1"/>
  <c r="J197" i="25" s="1"/>
  <c r="J159" i="25"/>
  <c r="J186" i="25" s="1"/>
  <c r="J196" i="25" s="1"/>
  <c r="J158" i="25"/>
  <c r="J185" i="25" s="1"/>
  <c r="J195" i="25" s="1"/>
  <c r="J183" i="25"/>
  <c r="J193" i="25" s="1"/>
  <c r="S15" i="26"/>
  <c r="S13" i="26"/>
  <c r="S17" i="26"/>
  <c r="S11" i="26"/>
  <c r="U25" i="26" a="1"/>
  <c r="U25" i="26" s="1"/>
  <c r="CP27" i="26"/>
  <c r="M117" i="23"/>
  <c r="M118" i="23"/>
  <c r="M119" i="23"/>
  <c r="M120" i="23"/>
  <c r="M121" i="23"/>
  <c r="M122" i="23"/>
  <c r="M123" i="23"/>
  <c r="M124" i="23"/>
  <c r="M125" i="23"/>
  <c r="M126" i="23"/>
  <c r="M127" i="23"/>
  <c r="M128" i="23"/>
  <c r="M129" i="23"/>
  <c r="M130" i="23"/>
  <c r="M131" i="23"/>
  <c r="M132" i="23"/>
  <c r="M133" i="23"/>
  <c r="M134" i="23"/>
  <c r="M135" i="23"/>
  <c r="N117" i="23"/>
  <c r="N144"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21" i="25"/>
  <c r="R65" i="25"/>
  <c r="S65" i="25"/>
  <c r="T65" i="25"/>
  <c r="U65" i="25"/>
  <c r="V65" i="25"/>
  <c r="O65" i="25"/>
  <c r="N65" i="25"/>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K83" i="25"/>
  <c r="K76" i="25"/>
  <c r="K74" i="25"/>
  <c r="K73" i="25"/>
  <c r="Q35" i="25"/>
  <c r="R35" i="25"/>
  <c r="S35" i="25"/>
  <c r="T35" i="25"/>
  <c r="U35" i="25"/>
  <c r="S67" i="25" s="1"/>
  <c r="V35" i="25"/>
  <c r="T67" i="25" s="1"/>
  <c r="W35" i="25"/>
  <c r="U67" i="25" s="1"/>
  <c r="X35" i="25"/>
  <c r="V67" i="25" s="1"/>
  <c r="Q36" i="25"/>
  <c r="R36" i="25"/>
  <c r="S36" i="25"/>
  <c r="T36" i="25"/>
  <c r="R68" i="25" s="1"/>
  <c r="U36" i="25"/>
  <c r="S68" i="25" s="1"/>
  <c r="V36" i="25"/>
  <c r="T68" i="25" s="1"/>
  <c r="W36" i="25"/>
  <c r="U68" i="25" s="1"/>
  <c r="X36" i="25"/>
  <c r="V68" i="25" s="1"/>
  <c r="Q37" i="25"/>
  <c r="R37" i="25"/>
  <c r="S37" i="25"/>
  <c r="T37" i="25"/>
  <c r="R69" i="25" s="1"/>
  <c r="U37" i="25"/>
  <c r="S69" i="25" s="1"/>
  <c r="V37" i="25"/>
  <c r="T69" i="25" s="1"/>
  <c r="W37" i="25"/>
  <c r="U69" i="25" s="1"/>
  <c r="X37" i="25"/>
  <c r="V69" i="25" s="1"/>
  <c r="Q38" i="25"/>
  <c r="R38" i="25"/>
  <c r="S38" i="25"/>
  <c r="T38" i="25"/>
  <c r="R70" i="25" s="1"/>
  <c r="U38" i="25"/>
  <c r="S70" i="25" s="1"/>
  <c r="V38" i="25"/>
  <c r="T70" i="25" s="1"/>
  <c r="W38" i="25"/>
  <c r="U70" i="25" s="1"/>
  <c r="X38" i="25"/>
  <c r="V70" i="25" s="1"/>
  <c r="Q39" i="25"/>
  <c r="R39" i="25"/>
  <c r="S39" i="25"/>
  <c r="T39" i="25"/>
  <c r="R71" i="25" s="1"/>
  <c r="U39" i="25"/>
  <c r="S71" i="25" s="1"/>
  <c r="V39" i="25"/>
  <c r="T71" i="25" s="1"/>
  <c r="W39" i="25"/>
  <c r="U71" i="25" s="1"/>
  <c r="X39" i="25"/>
  <c r="V71" i="25" s="1"/>
  <c r="Q40" i="25"/>
  <c r="R40" i="25"/>
  <c r="S40" i="25"/>
  <c r="T40" i="25"/>
  <c r="R72" i="25" s="1"/>
  <c r="U40" i="25"/>
  <c r="S72" i="25" s="1"/>
  <c r="V40" i="25"/>
  <c r="T72" i="25" s="1"/>
  <c r="W40" i="25"/>
  <c r="U72" i="25" s="1"/>
  <c r="X40" i="25"/>
  <c r="V72" i="25" s="1"/>
  <c r="Q41" i="25"/>
  <c r="R41" i="25"/>
  <c r="S41" i="25"/>
  <c r="T41" i="25"/>
  <c r="R73" i="25" s="1"/>
  <c r="U41" i="25"/>
  <c r="S73" i="25" s="1"/>
  <c r="V41" i="25"/>
  <c r="T73" i="25" s="1"/>
  <c r="W41" i="25"/>
  <c r="U73" i="25" s="1"/>
  <c r="X41" i="25"/>
  <c r="V73" i="25" s="1"/>
  <c r="Q42" i="25"/>
  <c r="R42" i="25"/>
  <c r="S42" i="25"/>
  <c r="T42" i="25"/>
  <c r="R74" i="25" s="1"/>
  <c r="U42" i="25"/>
  <c r="S74" i="25" s="1"/>
  <c r="V42" i="25"/>
  <c r="T74" i="25" s="1"/>
  <c r="AA74" i="25" s="1"/>
  <c r="W42" i="25"/>
  <c r="U74" i="25" s="1"/>
  <c r="X42" i="25"/>
  <c r="V74" i="25" s="1"/>
  <c r="Q43" i="25"/>
  <c r="R43" i="25"/>
  <c r="S43" i="25"/>
  <c r="T43" i="25"/>
  <c r="R75" i="25" s="1"/>
  <c r="U43" i="25"/>
  <c r="S75" i="25" s="1"/>
  <c r="V43" i="25"/>
  <c r="T75" i="25" s="1"/>
  <c r="AA75" i="25" s="1"/>
  <c r="W43" i="25"/>
  <c r="U75" i="25" s="1"/>
  <c r="X43" i="25"/>
  <c r="V75" i="25" s="1"/>
  <c r="Q44" i="25"/>
  <c r="R44" i="25"/>
  <c r="S44" i="25"/>
  <c r="T44" i="25"/>
  <c r="R76" i="25" s="1"/>
  <c r="U44" i="25"/>
  <c r="S76" i="25" s="1"/>
  <c r="V44" i="25"/>
  <c r="T76" i="25" s="1"/>
  <c r="W44" i="25"/>
  <c r="U76" i="25" s="1"/>
  <c r="X44" i="25"/>
  <c r="V76" i="25" s="1"/>
  <c r="Q45" i="25"/>
  <c r="R45" i="25"/>
  <c r="S45" i="25"/>
  <c r="T45" i="25"/>
  <c r="R77" i="25" s="1"/>
  <c r="U45" i="25"/>
  <c r="S77" i="25" s="1"/>
  <c r="V45" i="25"/>
  <c r="T77" i="25" s="1"/>
  <c r="W45" i="25"/>
  <c r="U77" i="25" s="1"/>
  <c r="X45" i="25"/>
  <c r="V77" i="25" s="1"/>
  <c r="Q46" i="25"/>
  <c r="R46" i="25"/>
  <c r="S46" i="25"/>
  <c r="T46" i="25"/>
  <c r="R78" i="25" s="1"/>
  <c r="U46" i="25"/>
  <c r="S78" i="25" s="1"/>
  <c r="V46" i="25"/>
  <c r="T78" i="25" s="1"/>
  <c r="W46" i="25"/>
  <c r="U78" i="25" s="1"/>
  <c r="X46" i="25"/>
  <c r="V78" i="25" s="1"/>
  <c r="Q47" i="25"/>
  <c r="R47" i="25"/>
  <c r="S47" i="25"/>
  <c r="T47" i="25"/>
  <c r="R79" i="25" s="1"/>
  <c r="U47" i="25"/>
  <c r="S79" i="25" s="1"/>
  <c r="V47" i="25"/>
  <c r="T79" i="25" s="1"/>
  <c r="W47" i="25"/>
  <c r="U79" i="25" s="1"/>
  <c r="X47" i="25"/>
  <c r="V79" i="25" s="1"/>
  <c r="Q48" i="25"/>
  <c r="R48" i="25"/>
  <c r="S48" i="25"/>
  <c r="T48" i="25"/>
  <c r="R80" i="25" s="1"/>
  <c r="U48" i="25"/>
  <c r="S80" i="25" s="1"/>
  <c r="V48" i="25"/>
  <c r="T80" i="25" s="1"/>
  <c r="AA80" i="25" s="1"/>
  <c r="W48" i="25"/>
  <c r="U80" i="25" s="1"/>
  <c r="X48" i="25"/>
  <c r="V80" i="25" s="1"/>
  <c r="Q49" i="25"/>
  <c r="R49" i="25"/>
  <c r="S49" i="25"/>
  <c r="T49" i="25"/>
  <c r="R81" i="25" s="1"/>
  <c r="U49" i="25"/>
  <c r="S81" i="25" s="1"/>
  <c r="V49" i="25"/>
  <c r="T81" i="25" s="1"/>
  <c r="AA81" i="25" s="1"/>
  <c r="W49" i="25"/>
  <c r="U81" i="25" s="1"/>
  <c r="X49" i="25"/>
  <c r="V81" i="25" s="1"/>
  <c r="Q50" i="25"/>
  <c r="R50" i="25"/>
  <c r="S50" i="25"/>
  <c r="T50" i="25"/>
  <c r="R82" i="25" s="1"/>
  <c r="U50" i="25"/>
  <c r="S82" i="25" s="1"/>
  <c r="V50" i="25"/>
  <c r="T82" i="25" s="1"/>
  <c r="AA82" i="25" s="1"/>
  <c r="W50" i="25"/>
  <c r="U82" i="25" s="1"/>
  <c r="X50" i="25"/>
  <c r="V82" i="25" s="1"/>
  <c r="Q51" i="25"/>
  <c r="R51" i="25"/>
  <c r="S51" i="25"/>
  <c r="T51" i="25"/>
  <c r="R83" i="25" s="1"/>
  <c r="U51" i="25"/>
  <c r="S83" i="25" s="1"/>
  <c r="V51" i="25"/>
  <c r="T83" i="25" s="1"/>
  <c r="W51" i="25"/>
  <c r="U83" i="25" s="1"/>
  <c r="X51" i="25"/>
  <c r="V83" i="25" s="1"/>
  <c r="Q52" i="25"/>
  <c r="R52" i="25"/>
  <c r="S52" i="25"/>
  <c r="T52" i="25"/>
  <c r="R84" i="25" s="1"/>
  <c r="U52" i="25"/>
  <c r="S84" i="25" s="1"/>
  <c r="V52" i="25"/>
  <c r="T84" i="25" s="1"/>
  <c r="W52" i="25"/>
  <c r="U84" i="25" s="1"/>
  <c r="X52" i="25"/>
  <c r="V84" i="25" s="1"/>
  <c r="Q53" i="25"/>
  <c r="R53" i="25"/>
  <c r="S53" i="25"/>
  <c r="T53" i="25"/>
  <c r="R85" i="25" s="1"/>
  <c r="U53" i="25"/>
  <c r="S85" i="25" s="1"/>
  <c r="V53" i="25"/>
  <c r="T85" i="25" s="1"/>
  <c r="AA85" i="25" s="1"/>
  <c r="W53" i="25"/>
  <c r="U85" i="25" s="1"/>
  <c r="X53" i="25"/>
  <c r="V85" i="25" s="1"/>
  <c r="Q54" i="25"/>
  <c r="R54" i="25"/>
  <c r="S54" i="25"/>
  <c r="T54" i="25"/>
  <c r="U54" i="25"/>
  <c r="S86" i="25" s="1"/>
  <c r="V54" i="25"/>
  <c r="T86" i="25" s="1"/>
  <c r="W54" i="25"/>
  <c r="U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R67" i="25" l="1"/>
  <c r="T61" i="25"/>
  <c r="AB87" i="25"/>
  <c r="AB88" i="25"/>
  <c r="AB89" i="25"/>
  <c r="AB86" i="25"/>
  <c r="Q86" i="25"/>
  <c r="R86" i="25"/>
  <c r="AA86" i="25"/>
  <c r="Z24" i="25"/>
  <c r="AC24" i="25" s="1"/>
  <c r="AF24" i="25" s="1"/>
  <c r="N54" i="25"/>
  <c r="Z54" i="25" s="1"/>
  <c r="P37" i="25"/>
  <c r="AB7" i="25"/>
  <c r="AE7" i="25" s="1"/>
  <c r="P36" i="25"/>
  <c r="AB6" i="25"/>
  <c r="AE6" i="25" s="1"/>
  <c r="P38" i="25"/>
  <c r="AB8" i="25"/>
  <c r="AE8" i="25" s="1"/>
  <c r="T158" i="23"/>
  <c r="Y157" i="23"/>
  <c r="Q157" i="23"/>
  <c r="V156" i="23"/>
  <c r="N156" i="23"/>
  <c r="S155" i="23"/>
  <c r="X154" i="23"/>
  <c r="P154" i="23"/>
  <c r="U153" i="23"/>
  <c r="Z152" i="23"/>
  <c r="R152" i="23"/>
  <c r="W151" i="23"/>
  <c r="O151" i="23"/>
  <c r="T150" i="23"/>
  <c r="P150" i="23"/>
  <c r="U149" i="23"/>
  <c r="V148" i="23"/>
  <c r="N148" i="23"/>
  <c r="S147" i="23"/>
  <c r="X146" i="23"/>
  <c r="P146" i="23"/>
  <c r="U145" i="23"/>
  <c r="Z144" i="23"/>
  <c r="R144" i="23"/>
  <c r="T144" i="23"/>
  <c r="Z161" i="23"/>
  <c r="O160" i="23"/>
  <c r="Y158" i="23"/>
  <c r="V157" i="23"/>
  <c r="S156" i="23"/>
  <c r="P155" i="23"/>
  <c r="Z153" i="23"/>
  <c r="W152" i="23"/>
  <c r="Y150" i="23"/>
  <c r="V149" i="23"/>
  <c r="Y147" i="23"/>
  <c r="S145" i="23"/>
  <c r="S162" i="23"/>
  <c r="V159" i="23"/>
  <c r="N159" i="23"/>
  <c r="S158" i="23"/>
  <c r="X157" i="23"/>
  <c r="Y156" i="23"/>
  <c r="Q156" i="23"/>
  <c r="R155" i="23"/>
  <c r="S154" i="23"/>
  <c r="Q152" i="23"/>
  <c r="N146" i="23"/>
  <c r="Z159" i="23"/>
  <c r="X162" i="23"/>
  <c r="T162" i="23"/>
  <c r="P162" i="23"/>
  <c r="Y161" i="23"/>
  <c r="U161" i="23"/>
  <c r="Q161" i="23"/>
  <c r="Z160" i="23"/>
  <c r="V160" i="23"/>
  <c r="R160" i="23"/>
  <c r="N160" i="23"/>
  <c r="W159" i="23"/>
  <c r="S159" i="23"/>
  <c r="O159" i="23"/>
  <c r="X158" i="23"/>
  <c r="P158" i="23"/>
  <c r="U157" i="23"/>
  <c r="Z156" i="23"/>
  <c r="R156" i="23"/>
  <c r="W155" i="23"/>
  <c r="O155" i="23"/>
  <c r="T154" i="23"/>
  <c r="Y153" i="23"/>
  <c r="Q153" i="23"/>
  <c r="V152" i="23"/>
  <c r="N152" i="23"/>
  <c r="S151" i="23"/>
  <c r="X150" i="23"/>
  <c r="Y149" i="23"/>
  <c r="Q149" i="23"/>
  <c r="Z148" i="23"/>
  <c r="R148" i="23"/>
  <c r="W147" i="23"/>
  <c r="O147" i="23"/>
  <c r="T146" i="23"/>
  <c r="Y145" i="23"/>
  <c r="Q145" i="23"/>
  <c r="V144" i="23"/>
  <c r="U162" i="23"/>
  <c r="R161" i="23"/>
  <c r="W160" i="23"/>
  <c r="T159" i="23"/>
  <c r="Q158" i="23"/>
  <c r="N157" i="23"/>
  <c r="X155" i="23"/>
  <c r="U154" i="23"/>
  <c r="R153" i="23"/>
  <c r="O152" i="23"/>
  <c r="T151" i="23"/>
  <c r="Q150" i="23"/>
  <c r="N149" i="23"/>
  <c r="V146" i="23"/>
  <c r="W162" i="23"/>
  <c r="O162" i="23"/>
  <c r="X161" i="23"/>
  <c r="T161" i="23"/>
  <c r="P161" i="23"/>
  <c r="Y160" i="23"/>
  <c r="U160" i="23"/>
  <c r="Q160" i="23"/>
  <c r="R159" i="23"/>
  <c r="W158" i="23"/>
  <c r="O158" i="23"/>
  <c r="T157" i="23"/>
  <c r="P157" i="23"/>
  <c r="U156" i="23"/>
  <c r="Z155" i="23"/>
  <c r="V155" i="23"/>
  <c r="N155" i="23"/>
  <c r="W154" i="23"/>
  <c r="O154" i="23"/>
  <c r="X153" i="23"/>
  <c r="P153" i="23"/>
  <c r="Y152" i="23"/>
  <c r="U152" i="23"/>
  <c r="Z151" i="23"/>
  <c r="V151" i="23"/>
  <c r="R151" i="23"/>
  <c r="N151" i="23"/>
  <c r="W150" i="23"/>
  <c r="S150" i="23"/>
  <c r="O150" i="23"/>
  <c r="X149" i="23"/>
  <c r="T149" i="23"/>
  <c r="P149" i="23"/>
  <c r="Y148" i="23"/>
  <c r="U148" i="23"/>
  <c r="Q148" i="23"/>
  <c r="Z147" i="23"/>
  <c r="V147" i="23"/>
  <c r="R147" i="23"/>
  <c r="N147" i="23"/>
  <c r="W146" i="23"/>
  <c r="S146" i="23"/>
  <c r="O146" i="23"/>
  <c r="X145" i="23"/>
  <c r="T145" i="23"/>
  <c r="P145" i="23"/>
  <c r="Y144" i="23"/>
  <c r="Q144" i="23"/>
  <c r="Z162" i="23"/>
  <c r="R162" i="23"/>
  <c r="W161" i="23"/>
  <c r="O161" i="23"/>
  <c r="T160" i="23"/>
  <c r="Y159" i="23"/>
  <c r="Q159" i="23"/>
  <c r="V158" i="23"/>
  <c r="N158" i="23"/>
  <c r="S157" i="23"/>
  <c r="X156" i="23"/>
  <c r="P156" i="23"/>
  <c r="U155" i="23"/>
  <c r="Z154" i="23"/>
  <c r="R154" i="23"/>
  <c r="W153" i="23"/>
  <c r="O153" i="23"/>
  <c r="T152" i="23"/>
  <c r="Y151" i="23"/>
  <c r="Q151" i="23"/>
  <c r="V150" i="23"/>
  <c r="N150" i="23"/>
  <c r="S149" i="23"/>
  <c r="X148" i="23"/>
  <c r="U147" i="23"/>
  <c r="R146" i="23"/>
  <c r="O145" i="23"/>
  <c r="X144" i="23"/>
  <c r="P144" i="23"/>
  <c r="Y162" i="23"/>
  <c r="Q162" i="23"/>
  <c r="V161" i="23"/>
  <c r="N161" i="23"/>
  <c r="S160" i="23"/>
  <c r="X159" i="23"/>
  <c r="P159" i="23"/>
  <c r="U158" i="23"/>
  <c r="Z157" i="23"/>
  <c r="R157" i="23"/>
  <c r="W156" i="23"/>
  <c r="O156" i="23"/>
  <c r="T155" i="23"/>
  <c r="Y154" i="23"/>
  <c r="Q154" i="23"/>
  <c r="V153" i="23"/>
  <c r="N153" i="23"/>
  <c r="S152" i="23"/>
  <c r="X151" i="23"/>
  <c r="P151" i="23"/>
  <c r="U150" i="23"/>
  <c r="Z149" i="23"/>
  <c r="R149" i="23"/>
  <c r="T148" i="23"/>
  <c r="Q147" i="23"/>
  <c r="W148" i="23"/>
  <c r="S148" i="23"/>
  <c r="O148" i="23"/>
  <c r="X147" i="23"/>
  <c r="T147" i="23"/>
  <c r="P147" i="23"/>
  <c r="Y146" i="23"/>
  <c r="U146" i="23"/>
  <c r="Q146" i="23"/>
  <c r="Z145" i="23"/>
  <c r="V145" i="23"/>
  <c r="R145" i="23"/>
  <c r="N145" i="23"/>
  <c r="W144" i="23"/>
  <c r="S144" i="23"/>
  <c r="O144" i="23"/>
  <c r="U144" i="23"/>
  <c r="V162" i="23"/>
  <c r="N162" i="23"/>
  <c r="S161" i="23"/>
  <c r="X160" i="23"/>
  <c r="P160" i="23"/>
  <c r="U159" i="23"/>
  <c r="Z158" i="23"/>
  <c r="R158" i="23"/>
  <c r="W157" i="23"/>
  <c r="O157" i="23"/>
  <c r="T156" i="23"/>
  <c r="Y155" i="23"/>
  <c r="Q155" i="23"/>
  <c r="V154" i="23"/>
  <c r="N154" i="23"/>
  <c r="S153" i="23"/>
  <c r="X152" i="23"/>
  <c r="P152" i="23"/>
  <c r="U151" i="23"/>
  <c r="Z150" i="23"/>
  <c r="R150" i="23"/>
  <c r="W149" i="23"/>
  <c r="O149" i="23"/>
  <c r="P148" i="23"/>
  <c r="Z146" i="23"/>
  <c r="W145" i="23"/>
  <c r="T153" i="23"/>
  <c r="AB67" i="25"/>
  <c r="AE68" i="25"/>
  <c r="AE67" i="25"/>
  <c r="AB10" i="25"/>
  <c r="AE10" i="25" s="1"/>
  <c r="AB15" i="25"/>
  <c r="AE15" i="25" s="1"/>
  <c r="P35" i="25"/>
  <c r="AE5" i="25"/>
  <c r="Q82" i="25"/>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AB11" i="25"/>
  <c r="AE11" i="25" s="1"/>
  <c r="Q77" i="25"/>
  <c r="Q70" i="25"/>
  <c r="Q78" i="25"/>
  <c r="AA77" i="25"/>
  <c r="AA76" i="25"/>
  <c r="AA73" i="25"/>
  <c r="Q74" i="25"/>
  <c r="Q85" i="25"/>
  <c r="Q84" i="25"/>
  <c r="Q81" i="25"/>
  <c r="Q80" i="25"/>
  <c r="Q76" i="25"/>
  <c r="Q73" i="25"/>
  <c r="Q72" i="25"/>
  <c r="Q71" i="25"/>
  <c r="Q69" i="25"/>
  <c r="Q68" i="25"/>
  <c r="Q67" i="25"/>
  <c r="AA79" i="25"/>
  <c r="Q83" i="25"/>
  <c r="Q79" i="25"/>
  <c r="Q75" i="25"/>
  <c r="AA84" i="25"/>
  <c r="AA70" i="25"/>
  <c r="Z36" i="25"/>
  <c r="O68" i="25" s="1"/>
  <c r="AH68" i="25" s="1"/>
  <c r="BJ68" i="25" s="1"/>
  <c r="Z35" i="25"/>
  <c r="O67" i="25" s="1"/>
  <c r="N50" i="25"/>
  <c r="Z50" i="25" s="1"/>
  <c r="O82" i="25" s="1"/>
  <c r="AH82" i="25" s="1"/>
  <c r="BG82" i="25" s="1"/>
  <c r="AA69" i="25"/>
  <c r="AA68" i="25"/>
  <c r="AA83" i="25"/>
  <c r="AA67" i="25"/>
  <c r="Z6" i="25"/>
  <c r="AC6" i="25" s="1"/>
  <c r="AF6" i="25" s="1"/>
  <c r="Z10" i="25"/>
  <c r="AC10" i="25" s="1"/>
  <c r="AF10" i="25" s="1"/>
  <c r="N40" i="25"/>
  <c r="Z40" i="25" s="1"/>
  <c r="O72" i="25" s="1"/>
  <c r="AH72" i="25" s="1"/>
  <c r="BI72" i="25" s="1"/>
  <c r="Z14" i="25"/>
  <c r="AC14" i="25" s="1"/>
  <c r="AF14" i="25" s="1"/>
  <c r="N44" i="25"/>
  <c r="Z44" i="25" s="1"/>
  <c r="O76" i="25" s="1"/>
  <c r="AH76" i="25" s="1"/>
  <c r="BI76" i="25" s="1"/>
  <c r="Z18" i="25"/>
  <c r="AC18" i="25" s="1"/>
  <c r="AF18" i="25" s="1"/>
  <c r="N48" i="25"/>
  <c r="Z48" i="25" s="1"/>
  <c r="O80" i="25" s="1"/>
  <c r="AH80" i="25" s="1"/>
  <c r="BA80" i="25" s="1"/>
  <c r="Z22" i="25"/>
  <c r="AC22" i="25" s="1"/>
  <c r="AF22" i="25" s="1"/>
  <c r="N52" i="25"/>
  <c r="Z52" i="25" s="1"/>
  <c r="O84" i="25" s="1"/>
  <c r="N53" i="25"/>
  <c r="Z53" i="25" s="1"/>
  <c r="O85" i="25" s="1"/>
  <c r="AH85" i="25" s="1"/>
  <c r="BC85" i="25" s="1"/>
  <c r="AA72" i="25"/>
  <c r="N38" i="25"/>
  <c r="Z38" i="25" s="1"/>
  <c r="O70" i="25" s="1"/>
  <c r="AH70" i="25" s="1"/>
  <c r="BE70" i="25" s="1"/>
  <c r="Z5" i="25"/>
  <c r="AC5" i="25" s="1"/>
  <c r="AF5" i="25" s="1"/>
  <c r="Z9" i="25"/>
  <c r="AC9" i="25" s="1"/>
  <c r="AF9" i="25" s="1"/>
  <c r="N39" i="25"/>
  <c r="Z39" i="25" s="1"/>
  <c r="O71" i="25" s="1"/>
  <c r="AH71" i="25" s="1"/>
  <c r="BC71" i="25" s="1"/>
  <c r="Z13" i="25"/>
  <c r="AC13" i="25" s="1"/>
  <c r="AF13" i="25" s="1"/>
  <c r="N43" i="25"/>
  <c r="Z43" i="25" s="1"/>
  <c r="O75" i="25" s="1"/>
  <c r="Z17" i="25"/>
  <c r="AC17" i="25" s="1"/>
  <c r="AF17" i="25" s="1"/>
  <c r="N47" i="25"/>
  <c r="Z47" i="25" s="1"/>
  <c r="O79" i="25" s="1"/>
  <c r="AH79" i="25" s="1"/>
  <c r="BA79" i="25" s="1"/>
  <c r="Z21" i="25"/>
  <c r="AC21" i="25" s="1"/>
  <c r="AF21" i="25" s="1"/>
  <c r="N51" i="25"/>
  <c r="Z51" i="25" s="1"/>
  <c r="O83" i="25" s="1"/>
  <c r="AH83" i="25" s="1"/>
  <c r="BI83" i="25" s="1"/>
  <c r="N42" i="25"/>
  <c r="Z42" i="25" s="1"/>
  <c r="O74" i="25" s="1"/>
  <c r="Z7" i="25"/>
  <c r="AC7" i="25" s="1"/>
  <c r="AF7" i="25" s="1"/>
  <c r="N37" i="25"/>
  <c r="Z37" i="25" s="1"/>
  <c r="O69" i="25" s="1"/>
  <c r="AH69" i="25" s="1"/>
  <c r="BD69" i="25" s="1"/>
  <c r="Z11" i="25"/>
  <c r="AC11" i="25" s="1"/>
  <c r="AF11" i="25" s="1"/>
  <c r="N41" i="25"/>
  <c r="Z41" i="25" s="1"/>
  <c r="O73" i="25" s="1"/>
  <c r="AH73" i="25" s="1"/>
  <c r="BC73" i="25" s="1"/>
  <c r="Z15" i="25"/>
  <c r="AC15" i="25" s="1"/>
  <c r="AF15" i="25" s="1"/>
  <c r="N45" i="25"/>
  <c r="Z45" i="25" s="1"/>
  <c r="O77" i="25" s="1"/>
  <c r="AH77" i="25" s="1"/>
  <c r="BA77" i="25" s="1"/>
  <c r="Z19" i="25"/>
  <c r="AC19" i="25" s="1"/>
  <c r="AF19" i="25" s="1"/>
  <c r="N49" i="25"/>
  <c r="Z49" i="25" s="1"/>
  <c r="O81" i="25" s="1"/>
  <c r="AH81" i="25" s="1"/>
  <c r="BI81" i="25" s="1"/>
  <c r="N46" i="25"/>
  <c r="Z46" i="25" s="1"/>
  <c r="O78" i="25" s="1"/>
  <c r="AH78" i="25" s="1"/>
  <c r="BC78" i="25" s="1"/>
  <c r="AA71" i="25"/>
  <c r="E42" i="5"/>
  <c r="E43" i="5" s="1"/>
  <c r="E44" i="5" s="1"/>
  <c r="L51" i="5" s="1"/>
  <c r="M51" i="5" s="1"/>
  <c r="N51" i="5" s="1"/>
  <c r="O51" i="5" s="1"/>
  <c r="P51" i="5" s="1"/>
  <c r="Q51" i="5" s="1"/>
  <c r="R51" i="5" s="1"/>
  <c r="S51" i="5" s="1"/>
  <c r="BE78" i="25" l="1"/>
  <c r="BG77" i="25"/>
  <c r="BJ78" i="25"/>
  <c r="BB71" i="25"/>
  <c r="BA71" i="25"/>
  <c r="BH83" i="25"/>
  <c r="BC69" i="25"/>
  <c r="BJ72" i="25"/>
  <c r="BA76" i="25"/>
  <c r="BC77" i="25"/>
  <c r="BH69" i="25"/>
  <c r="BE83" i="25"/>
  <c r="BI69" i="25"/>
  <c r="BI71" i="25"/>
  <c r="BJ83" i="25"/>
  <c r="BC79" i="25"/>
  <c r="BG85" i="25"/>
  <c r="BJ69" i="25"/>
  <c r="BG72" i="25"/>
  <c r="BA78" i="25"/>
  <c r="BB81" i="25"/>
  <c r="BE82" i="25"/>
  <c r="BF68" i="25"/>
  <c r="AY71" i="25"/>
  <c r="BG71" i="25"/>
  <c r="BD71" i="25"/>
  <c r="BE81" i="25"/>
  <c r="BC83" i="25"/>
  <c r="BA85" i="25"/>
  <c r="BB69" i="25"/>
  <c r="BH71" i="25"/>
  <c r="BC80" i="25"/>
  <c r="BA82" i="25"/>
  <c r="BH68" i="25"/>
  <c r="BH72" i="25"/>
  <c r="BG73" i="25"/>
  <c r="BH76" i="25"/>
  <c r="BE77" i="25"/>
  <c r="BG83" i="25"/>
  <c r="BI68" i="25"/>
  <c r="BJ79" i="25"/>
  <c r="BC82" i="25"/>
  <c r="BI79" i="25"/>
  <c r="BI73" i="25"/>
  <c r="BJ76" i="25"/>
  <c r="AY83" i="25"/>
  <c r="BF71" i="25"/>
  <c r="BE85" i="25"/>
  <c r="BE69" i="25"/>
  <c r="BE73" i="25"/>
  <c r="BJ77" i="25"/>
  <c r="BG69" i="25"/>
  <c r="BE71" i="25"/>
  <c r="BE79" i="25"/>
  <c r="BA83" i="25"/>
  <c r="BF69" i="25"/>
  <c r="BA81" i="25"/>
  <c r="BG70" i="25"/>
  <c r="BJ71" i="25"/>
  <c r="BG78" i="25"/>
  <c r="BI70" i="25"/>
  <c r="BC70" i="25"/>
  <c r="BG68" i="25"/>
  <c r="BI78" i="25"/>
  <c r="BG80" i="25"/>
  <c r="BJ81" i="25"/>
  <c r="BA70" i="25"/>
  <c r="AY79" i="25"/>
  <c r="BJ80" i="25"/>
  <c r="BI85" i="25"/>
  <c r="BH79" i="25"/>
  <c r="BI82" i="25"/>
  <c r="BG81" i="25"/>
  <c r="BH78" i="25"/>
  <c r="BE80" i="25"/>
  <c r="AY82" i="25"/>
  <c r="AC86" i="25"/>
  <c r="AC89" i="25"/>
  <c r="AD89" i="25"/>
  <c r="AE89" i="25" s="1"/>
  <c r="AF89" i="25"/>
  <c r="AG89" i="25" s="1"/>
  <c r="AC88" i="25"/>
  <c r="AF88" i="25"/>
  <c r="AG88" i="25" s="1"/>
  <c r="AD88" i="25"/>
  <c r="AE88" i="25" s="1"/>
  <c r="AC87" i="25"/>
  <c r="AD87" i="25"/>
  <c r="AB105" i="25"/>
  <c r="AF87" i="25"/>
  <c r="AG87" i="25" s="1"/>
  <c r="O86" i="25"/>
  <c r="W86" i="25" s="1"/>
  <c r="AF67" i="25"/>
  <c r="AH92" i="25" s="1"/>
  <c r="AD67" i="25"/>
  <c r="AC67" i="25"/>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M120" i="25"/>
  <c r="M140"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P81" i="25"/>
  <c r="P73" i="25"/>
  <c r="P79" i="25"/>
  <c r="P71" i="25"/>
  <c r="P80" i="25"/>
  <c r="P72" i="25"/>
  <c r="P85" i="25"/>
  <c r="P77" i="25"/>
  <c r="P69" i="25"/>
  <c r="P83" i="25"/>
  <c r="P76" i="25"/>
  <c r="P78" i="25"/>
  <c r="P70" i="25"/>
  <c r="P82" i="25"/>
  <c r="X67" i="25"/>
  <c r="P75" i="25"/>
  <c r="AG75" i="25"/>
  <c r="Y68" i="25"/>
  <c r="X68" i="25"/>
  <c r="P84" i="25"/>
  <c r="P74" i="25"/>
  <c r="AG74" i="25"/>
  <c r="W68" i="25"/>
  <c r="P67" i="25"/>
  <c r="Z69" i="25"/>
  <c r="Z74" i="25"/>
  <c r="Z79" i="25"/>
  <c r="Z71" i="25"/>
  <c r="Z70" i="25"/>
  <c r="Z82" i="25"/>
  <c r="Z68" i="25"/>
  <c r="Z76" i="25"/>
  <c r="Z77" i="25"/>
  <c r="Z78" i="25"/>
  <c r="Z72" i="25"/>
  <c r="Z81" i="25"/>
  <c r="Z73" i="25"/>
  <c r="Z83" i="25"/>
  <c r="Z75" i="25"/>
  <c r="Z85" i="25"/>
  <c r="Z80" i="25"/>
  <c r="Z84" i="25"/>
  <c r="Z67" i="25"/>
  <c r="Y67" i="25"/>
  <c r="W67" i="25"/>
  <c r="W80" i="25"/>
  <c r="X80" i="25"/>
  <c r="Y80" i="25"/>
  <c r="W81" i="25"/>
  <c r="X81" i="25"/>
  <c r="Y81" i="25"/>
  <c r="W73" i="25"/>
  <c r="X73" i="25"/>
  <c r="Y73" i="25"/>
  <c r="W74" i="25"/>
  <c r="X74" i="25"/>
  <c r="Y74" i="25"/>
  <c r="W79" i="25"/>
  <c r="X79" i="25"/>
  <c r="Y79" i="25"/>
  <c r="W71" i="25"/>
  <c r="X71" i="25"/>
  <c r="Y71" i="25"/>
  <c r="W70" i="25"/>
  <c r="X70" i="25"/>
  <c r="Y70" i="25"/>
  <c r="W72" i="25"/>
  <c r="X72" i="25"/>
  <c r="Y72" i="25"/>
  <c r="W82" i="25"/>
  <c r="X82" i="25"/>
  <c r="Y82" i="25"/>
  <c r="W78" i="25"/>
  <c r="X78" i="25"/>
  <c r="Y78" i="25"/>
  <c r="W77" i="25"/>
  <c r="X77" i="25"/>
  <c r="Y77" i="25"/>
  <c r="W69" i="25"/>
  <c r="X69" i="25"/>
  <c r="Y69" i="25"/>
  <c r="W83" i="25"/>
  <c r="X83" i="25"/>
  <c r="Y83" i="25"/>
  <c r="W75" i="25"/>
  <c r="X75" i="25"/>
  <c r="Y75" i="25"/>
  <c r="W85" i="25"/>
  <c r="X85" i="25"/>
  <c r="Y85" i="25"/>
  <c r="W84" i="25"/>
  <c r="X84" i="25"/>
  <c r="Y84" i="25"/>
  <c r="W76" i="25"/>
  <c r="X76" i="25"/>
  <c r="Y76" i="25"/>
  <c r="J123" i="5"/>
  <c r="J115" i="5"/>
  <c r="AW67" i="25" l="1"/>
  <c r="BC67" i="25"/>
  <c r="BE67" i="25"/>
  <c r="BD67" i="25"/>
  <c r="BB67" i="25"/>
  <c r="BF67" i="25"/>
  <c r="BH67" i="25"/>
  <c r="AY67" i="25"/>
  <c r="BI67" i="25"/>
  <c r="BG67" i="25"/>
  <c r="BJ67" i="25"/>
  <c r="BJ74" i="25"/>
  <c r="BI74" i="25"/>
  <c r="AY74" i="25"/>
  <c r="BA74" i="25"/>
  <c r="BF74" i="25"/>
  <c r="BH74" i="25"/>
  <c r="BE74" i="25"/>
  <c r="BG74" i="25"/>
  <c r="BC74" i="25"/>
  <c r="BG75" i="25"/>
  <c r="BC75" i="25"/>
  <c r="BH75" i="25"/>
  <c r="BA75" i="25"/>
  <c r="BI75" i="25"/>
  <c r="BG84" i="25"/>
  <c r="BI84" i="25"/>
  <c r="P86" i="25"/>
  <c r="M155" i="25"/>
  <c r="M182" i="25" s="1"/>
  <c r="M192" i="25" s="1"/>
  <c r="X86" i="25"/>
  <c r="Z86" i="25"/>
  <c r="Y86" i="25"/>
  <c r="AF105" i="25"/>
  <c r="AG105" i="25" s="1"/>
  <c r="AD105" i="25"/>
  <c r="AE105" i="25" s="1"/>
  <c r="AC105" i="25"/>
  <c r="AD86" i="25"/>
  <c r="AE86" i="25" s="1"/>
  <c r="AH86" i="25"/>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AW86" i="25" l="1"/>
  <c r="BG86" i="25"/>
  <c r="BE86" i="25"/>
  <c r="BC86" i="25"/>
  <c r="BI86" i="25"/>
  <c r="AY86" i="25"/>
  <c r="BA86" i="25"/>
  <c r="AZ86" i="25"/>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AC77" i="25"/>
  <c r="AU8" i="23"/>
  <c r="AF70" i="25"/>
  <c r="AG70" i="25" s="1"/>
  <c r="AD70" i="25"/>
  <c r="AE70" i="25" s="1"/>
  <c r="AC70" i="25"/>
  <c r="AF74" i="25"/>
  <c r="AD74" i="25"/>
  <c r="AE74" i="25" s="1"/>
  <c r="AC74" i="25"/>
  <c r="AF78" i="25"/>
  <c r="AG78" i="25" s="1"/>
  <c r="AD78" i="25"/>
  <c r="AE78" i="25" s="1"/>
  <c r="AC78" i="25"/>
  <c r="AF82" i="25"/>
  <c r="AG82" i="25" s="1"/>
  <c r="AD82" i="25"/>
  <c r="AE82" i="25" s="1"/>
  <c r="AC82" i="25"/>
  <c r="AF86" i="25"/>
  <c r="AG86" i="25" s="1"/>
  <c r="AU9" i="23"/>
  <c r="AF69" i="25"/>
  <c r="AD69" i="25"/>
  <c r="AC69" i="25"/>
  <c r="AF85" i="25"/>
  <c r="AG85" i="25" s="1"/>
  <c r="AD85" i="25"/>
  <c r="AE85" i="25" s="1"/>
  <c r="AC85" i="25"/>
  <c r="AD71" i="25"/>
  <c r="AE71" i="25" s="1"/>
  <c r="AF71" i="25"/>
  <c r="AG71" i="25" s="1"/>
  <c r="AC71" i="25"/>
  <c r="AD75" i="25"/>
  <c r="AE75" i="25" s="1"/>
  <c r="AF75" i="25"/>
  <c r="AC75" i="25"/>
  <c r="AD79" i="25"/>
  <c r="AE79" i="25" s="1"/>
  <c r="AF79" i="25"/>
  <c r="AG79" i="25" s="1"/>
  <c r="AC79" i="25"/>
  <c r="AD83" i="25"/>
  <c r="AE83" i="25" s="1"/>
  <c r="AF83" i="25"/>
  <c r="AG83" i="25" s="1"/>
  <c r="AC83" i="25"/>
  <c r="AU10" i="23"/>
  <c r="AF73" i="25"/>
  <c r="AG73" i="25" s="1"/>
  <c r="AD73" i="25"/>
  <c r="AE73" i="25" s="1"/>
  <c r="AC73" i="25"/>
  <c r="AF81" i="25"/>
  <c r="AG81" i="25" s="1"/>
  <c r="AD81" i="25"/>
  <c r="AE81" i="25" s="1"/>
  <c r="AC81" i="25"/>
  <c r="AU6" i="23"/>
  <c r="AB68" i="25"/>
  <c r="AF72" i="25"/>
  <c r="AG72" i="25" s="1"/>
  <c r="AD72" i="25"/>
  <c r="AE72" i="25" s="1"/>
  <c r="AC72" i="25"/>
  <c r="AF76" i="25"/>
  <c r="AG76" i="25" s="1"/>
  <c r="AD76" i="25"/>
  <c r="AE76" i="25" s="1"/>
  <c r="AC76" i="25"/>
  <c r="AF80" i="25"/>
  <c r="AG80" i="25" s="1"/>
  <c r="AD80" i="25"/>
  <c r="AE80" i="25" s="1"/>
  <c r="AC80" i="25"/>
  <c r="AF84" i="25"/>
  <c r="AG84" i="25" s="1"/>
  <c r="AD84" i="25"/>
  <c r="AE84" i="25" s="1"/>
  <c r="AC84" i="25"/>
  <c r="AU7" i="23"/>
  <c r="AU11" i="23"/>
  <c r="AG69" i="25" l="1"/>
  <c r="L50" i="30"/>
  <c r="AF68" i="25"/>
  <c r="AD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M23" i="25"/>
  <c r="M54" i="25"/>
  <c r="M86" i="25" s="1"/>
  <c r="M24" i="25"/>
  <c r="M18" i="25"/>
  <c r="M48" i="25"/>
  <c r="M80" i="25" s="1"/>
  <c r="M49" i="25"/>
  <c r="M81" i="25" s="1"/>
  <c r="M19" i="25"/>
  <c r="M38" i="25"/>
  <c r="M70" i="25" s="1"/>
  <c r="M8" i="25"/>
  <c r="M9" i="25"/>
  <c r="M39" i="25"/>
  <c r="M71" i="25" s="1"/>
  <c r="M10" i="25"/>
  <c r="M40" i="25"/>
  <c r="M72" i="25" s="1"/>
  <c r="M41" i="25"/>
  <c r="M73" i="25" s="1"/>
  <c r="M11" i="25"/>
  <c r="M6" i="25"/>
  <c r="M36" i="25"/>
  <c r="M68" i="25" s="1"/>
  <c r="M42" i="25"/>
  <c r="M74" i="25" s="1"/>
  <c r="M12" i="25"/>
  <c r="M13" i="25"/>
  <c r="M43" i="25"/>
  <c r="M75" i="25" s="1"/>
  <c r="M14" i="25"/>
  <c r="M44" i="25"/>
  <c r="M76" i="25" s="1"/>
  <c r="M45" i="25"/>
  <c r="M77" i="25" s="1"/>
  <c r="M15" i="25"/>
  <c r="M46" i="25"/>
  <c r="M78" i="25" s="1"/>
  <c r="M16" i="25"/>
  <c r="M37" i="25"/>
  <c r="M69" i="25" s="1"/>
  <c r="M7" i="25"/>
  <c r="M17" i="25"/>
  <c r="M47" i="25"/>
  <c r="M79" i="25" s="1"/>
  <c r="Q102" i="25" s="1"/>
  <c r="M50" i="25"/>
  <c r="M82" i="25" s="1"/>
  <c r="M20" i="25"/>
  <c r="M22" i="25"/>
  <c r="M52" i="25"/>
  <c r="M84" i="25" s="1"/>
  <c r="Q104" i="25" s="1"/>
  <c r="M5" i="25"/>
  <c r="M35" i="25"/>
  <c r="M67" i="25" s="1"/>
  <c r="M21" i="25"/>
  <c r="M51" i="25"/>
  <c r="M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U23"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AQ101" i="25" l="1"/>
  <c r="Q103" i="25"/>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O99" i="25"/>
  <c r="S103" i="25"/>
  <c r="T103" i="25"/>
  <c r="N103" i="25"/>
  <c r="V103" i="25"/>
  <c r="U103" i="25"/>
  <c r="O103" i="25"/>
  <c r="R103" i="25"/>
  <c r="R104" i="25"/>
  <c r="V104" i="25"/>
  <c r="U104" i="25"/>
  <c r="S104" i="25"/>
  <c r="O104" i="25"/>
  <c r="T104" i="25"/>
  <c r="N104" i="25"/>
  <c r="R100" i="25"/>
  <c r="V100" i="25"/>
  <c r="U101" i="25"/>
  <c r="O101" i="25"/>
  <c r="O100" i="25"/>
  <c r="S100" i="25"/>
  <c r="R101" i="25"/>
  <c r="V101" i="25"/>
  <c r="T101" i="25"/>
  <c r="T100" i="25"/>
  <c r="S101" i="25"/>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AV111" i="25"/>
  <c r="AM112" i="25"/>
  <c r="AK112" i="25"/>
  <c r="AT111" i="25"/>
  <c r="AJ112" i="25"/>
  <c r="AQ112" i="25"/>
  <c r="Q111" i="25"/>
  <c r="AK111" i="25"/>
  <c r="AN112" i="25"/>
  <c r="P111" i="25"/>
  <c r="AG111" i="25" s="1"/>
  <c r="AL112" i="25"/>
  <c r="U111" i="25"/>
  <c r="AR112" i="25"/>
  <c r="AO111" i="25"/>
  <c r="P112" i="25"/>
  <c r="AG112" i="25" s="1"/>
  <c r="AS112" i="25"/>
  <c r="AJ111" i="25"/>
  <c r="AI112" i="25"/>
  <c r="AC111" i="25"/>
  <c r="S111"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AB107" i="25"/>
  <c r="R107" i="25"/>
  <c r="T107" i="25"/>
  <c r="AA107" i="25" s="1"/>
  <c r="AR109" i="25"/>
  <c r="AT110" i="25"/>
  <c r="AI110" i="25"/>
  <c r="AK109" i="25"/>
  <c r="AM109" i="25"/>
  <c r="AO109" i="25"/>
  <c r="AI109" i="25"/>
  <c r="AV110" i="25"/>
  <c r="P109" i="25"/>
  <c r="AG109" i="25" s="1"/>
  <c r="AB109" i="25"/>
  <c r="O109" i="25"/>
  <c r="U110" i="25"/>
  <c r="AV109" i="25"/>
  <c r="AN110" i="25"/>
  <c r="AS109" i="25"/>
  <c r="AT109" i="25"/>
  <c r="AO110" i="25"/>
  <c r="AJ110" i="25"/>
  <c r="AP109" i="25"/>
  <c r="T109" i="25"/>
  <c r="AA109" i="25" s="1"/>
  <c r="S110"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AC109" i="25"/>
  <c r="AH110" i="25"/>
  <c r="O110" i="25"/>
  <c r="Q110" i="25"/>
  <c r="P110" i="25"/>
  <c r="AB110" i="25"/>
  <c r="AC110" i="25"/>
  <c r="AS106" i="25"/>
  <c r="AL106" i="25"/>
  <c r="AN106" i="25"/>
  <c r="O106" i="25"/>
  <c r="V106" i="25"/>
  <c r="AP106" i="25"/>
  <c r="AJ106" i="25"/>
  <c r="AM106" i="25"/>
  <c r="AI106" i="25"/>
  <c r="AB106" i="25"/>
  <c r="R106" i="25"/>
  <c r="U106" i="25"/>
  <c r="AO106" i="25"/>
  <c r="AH106" i="25"/>
  <c r="AK106" i="25"/>
  <c r="AT106" i="25"/>
  <c r="AR106" i="25"/>
  <c r="AV106" i="25"/>
  <c r="AU106" i="25"/>
  <c r="P106" i="25"/>
  <c r="AG106" i="25" s="1"/>
  <c r="AC106" i="25"/>
  <c r="T106" i="25"/>
  <c r="AA106" i="25" s="1"/>
  <c r="Q106" i="25"/>
  <c r="S106" i="25"/>
  <c r="N106" i="25"/>
  <c r="AE106" i="25" s="1"/>
  <c r="AQ106" i="25"/>
  <c r="G66" i="22"/>
  <c r="H61" i="22" s="1"/>
  <c r="O152" i="20"/>
  <c r="R34" i="20"/>
  <c r="R79" i="19"/>
  <c r="R72" i="19"/>
  <c r="O11" i="20"/>
  <c r="P11" i="20" s="1"/>
  <c r="AK18" i="26" l="1"/>
  <c r="AC101" i="25"/>
  <c r="P99" i="25"/>
  <c r="BQ99" i="25" s="1"/>
  <c r="AK14" i="26"/>
  <c r="Z121" i="25" a="1"/>
  <c r="Z121" i="25" s="1"/>
  <c r="AK9" i="26"/>
  <c r="AK12" i="26"/>
  <c r="AK13" i="26" s="1"/>
  <c r="AC103" i="25"/>
  <c r="F9" i="26" a="1"/>
  <c r="F9" i="26" s="1"/>
  <c r="O9" i="26" a="1"/>
  <c r="O9" i="26" s="1"/>
  <c r="AC99" i="25"/>
  <c r="AE99" i="25"/>
  <c r="AC102" i="25"/>
  <c r="AC104" i="25"/>
  <c r="O79" i="26" a="1"/>
  <c r="O79" i="26" s="1"/>
  <c r="AC100" i="25"/>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BD110" i="25"/>
  <c r="BR110" i="25"/>
  <c r="BN109" i="25"/>
  <c r="AZ109" i="25"/>
  <c r="BQ110" i="25"/>
  <c r="BC110" i="25"/>
  <c r="AA103" i="25"/>
  <c r="BB108" i="25"/>
  <c r="BP108" i="25"/>
  <c r="BA107" i="25"/>
  <c r="BO107" i="25"/>
  <c r="AX111" i="25"/>
  <c r="BL111" i="25"/>
  <c r="AY112" i="25"/>
  <c r="BM112" i="25"/>
  <c r="BX111" i="25"/>
  <c r="BJ111" i="25"/>
  <c r="BS111" i="25"/>
  <c r="BE111" i="25"/>
  <c r="BG111" i="25"/>
  <c r="BU111" i="25"/>
  <c r="BT111" i="25"/>
  <c r="BF111" i="25"/>
  <c r="AA104" i="25"/>
  <c r="BR112" i="25"/>
  <c r="BD112" i="25"/>
  <c r="BT106" i="25"/>
  <c r="BF106" i="25"/>
  <c r="BK106" i="25"/>
  <c r="AW106" i="25"/>
  <c r="O23" i="26" a="1"/>
  <c r="O23" i="26" s="1"/>
  <c r="BU106" i="25"/>
  <c r="BG106" i="25"/>
  <c r="BS109" i="25"/>
  <c r="BE109" i="25"/>
  <c r="BA110" i="25"/>
  <c r="BO110" i="25"/>
  <c r="BV109" i="25"/>
  <c r="BH109" i="25"/>
  <c r="O65" i="26" a="1"/>
  <c r="O65" i="26" s="1"/>
  <c r="AF109" i="25"/>
  <c r="AD109" i="25"/>
  <c r="BC109" i="25"/>
  <c r="BQ109" i="25"/>
  <c r="N159" i="25"/>
  <c r="P159" i="25" s="1"/>
  <c r="AQ9" i="26" s="1" a="1"/>
  <c r="AQ9" i="26" s="1"/>
  <c r="AA102" i="25"/>
  <c r="BC107" i="25"/>
  <c r="BQ107" i="25"/>
  <c r="O51" i="26" a="1"/>
  <c r="O51" i="26" s="1"/>
  <c r="Y108" i="25"/>
  <c r="Z108" i="25"/>
  <c r="W108" i="25"/>
  <c r="X108" i="25"/>
  <c r="BD108" i="25"/>
  <c r="BR108" i="25"/>
  <c r="BW107" i="25"/>
  <c r="BI107" i="25"/>
  <c r="AW107" i="25"/>
  <c r="BK107" i="25"/>
  <c r="BA108" i="25"/>
  <c r="BO108" i="25"/>
  <c r="BV107" i="25"/>
  <c r="BH107" i="25"/>
  <c r="AK19" i="26"/>
  <c r="BG112" i="25"/>
  <c r="BU112" i="25"/>
  <c r="BP112" i="25"/>
  <c r="BB112" i="25"/>
  <c r="AX112" i="25"/>
  <c r="BL112" i="25"/>
  <c r="W112" i="25"/>
  <c r="Z112" i="25"/>
  <c r="Y112" i="25"/>
  <c r="X112" i="25"/>
  <c r="BK111" i="25"/>
  <c r="AW111" i="25"/>
  <c r="BX112" i="25"/>
  <c r="BJ112" i="25"/>
  <c r="AZ111" i="25"/>
  <c r="BN111" i="25"/>
  <c r="BB111" i="25"/>
  <c r="BP111" i="25"/>
  <c r="AK10" i="26"/>
  <c r="AK11" i="26" s="1"/>
  <c r="P100" i="25"/>
  <c r="BD100" i="25" s="1"/>
  <c r="AA100" i="25"/>
  <c r="BJ106" i="25"/>
  <c r="BX106" i="25"/>
  <c r="AX106" i="25"/>
  <c r="BL106" i="25"/>
  <c r="Y106" i="25"/>
  <c r="X106" i="25"/>
  <c r="Z106" i="25"/>
  <c r="W106" i="25"/>
  <c r="BK110" i="25"/>
  <c r="AW110" i="25"/>
  <c r="AD107" i="25"/>
  <c r="AF107" i="25"/>
  <c r="AW108" i="25"/>
  <c r="BK108" i="25"/>
  <c r="AZ107" i="25"/>
  <c r="BN107" i="25"/>
  <c r="BT112" i="25"/>
  <c r="BF112" i="25"/>
  <c r="BS112" i="25"/>
  <c r="BE112" i="25"/>
  <c r="O37" i="26" a="1"/>
  <c r="O37" i="26" s="1"/>
  <c r="AA101" i="25"/>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AA99" i="25"/>
  <c r="AY108" i="25"/>
  <c r="BM108"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BH106" i="25"/>
  <c r="BV106" i="25"/>
  <c r="AD106" i="25"/>
  <c r="AF106" i="25"/>
  <c r="AK16" i="26"/>
  <c r="AK17" i="26" s="1"/>
  <c r="P103" i="25"/>
  <c r="BB109" i="25"/>
  <c r="BP109" i="25"/>
  <c r="AW109" i="25"/>
  <c r="BK109" i="25"/>
  <c r="X99" i="25"/>
  <c r="Z99" i="25"/>
  <c r="BG108" i="25"/>
  <c r="BU108" i="25"/>
  <c r="BT107" i="25"/>
  <c r="BF107" i="25"/>
  <c r="BU107" i="25"/>
  <c r="BG107" i="25"/>
  <c r="AD108" i="25"/>
  <c r="AF108" i="25"/>
  <c r="BS106" i="25"/>
  <c r="BE106" i="25"/>
  <c r="P101" i="25"/>
  <c r="BW106" i="25"/>
  <c r="BI106" i="25"/>
  <c r="AY106" i="25"/>
  <c r="BM106" i="25"/>
  <c r="BC106" i="25"/>
  <c r="BQ106" i="25"/>
  <c r="BO106" i="25"/>
  <c r="BA106" i="25"/>
  <c r="BR106" i="25"/>
  <c r="BD106" i="25"/>
  <c r="BN106" i="25"/>
  <c r="AZ106"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P102" i="25"/>
  <c r="BP102" i="25" s="1"/>
  <c r="AK15" i="26"/>
  <c r="BV108" i="25"/>
  <c r="BH108" i="25"/>
  <c r="AX108" i="25"/>
  <c r="BL108" i="25"/>
  <c r="BR107" i="25"/>
  <c r="BD107" i="25"/>
  <c r="BL107" i="25"/>
  <c r="AX107" i="25"/>
  <c r="BX108" i="25"/>
  <c r="BJ108" i="25"/>
  <c r="BI108" i="25"/>
  <c r="BW108"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100" i="25" l="1"/>
  <c r="W10" i="26"/>
  <c r="W26" i="26"/>
  <c r="BM104" i="25"/>
  <c r="W30" i="26"/>
  <c r="W14" i="26"/>
  <c r="BL102" i="25"/>
  <c r="W12" i="26"/>
  <c r="W28" i="26"/>
  <c r="BF101" i="25"/>
  <c r="W11" i="26"/>
  <c r="W27" i="26"/>
  <c r="BL104" i="25"/>
  <c r="Y121" i="25" a="1"/>
  <c r="Y121"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BP103" i="25"/>
  <c r="BI101" i="25"/>
  <c r="BJ103" i="25"/>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W99" i="25"/>
  <c r="Q66" i="16"/>
  <c r="N51" i="20"/>
  <c r="S33" i="20"/>
  <c r="P60" i="20"/>
  <c r="X130" i="20"/>
  <c r="N100" i="20"/>
  <c r="N99" i="20"/>
  <c r="N98" i="20"/>
  <c r="Q133" i="20"/>
  <c r="X131" i="20"/>
  <c r="E9" i="20"/>
  <c r="E10" i="20" s="1"/>
  <c r="P89" i="20"/>
  <c r="N146" i="20"/>
  <c r="S34" i="20"/>
  <c r="N151" i="20"/>
  <c r="G131" i="19"/>
  <c r="E132" i="19"/>
  <c r="G132" i="19" s="1"/>
  <c r="BE117" i="25" l="1"/>
  <c r="BE118" i="25" s="1"/>
  <c r="BF117" i="25"/>
  <c r="BF118" i="25" s="1"/>
  <c r="BB117" i="25"/>
  <c r="BB118" i="25" s="1"/>
  <c r="BS117" i="25"/>
  <c r="BS118" i="25" s="1"/>
  <c r="AG99" i="25"/>
  <c r="BP117" i="25"/>
  <c r="BP118" i="25" s="1"/>
  <c r="AX117" i="25"/>
  <c r="AX118" i="25" s="1"/>
  <c r="BV117" i="25"/>
  <c r="BV118" i="25" s="1"/>
  <c r="BX117" i="25"/>
  <c r="BX118" i="25" s="1"/>
  <c r="BR117" i="25"/>
  <c r="BR118" i="25" s="1"/>
  <c r="BH117" i="25"/>
  <c r="BH118" i="25" s="1"/>
  <c r="BD117" i="25"/>
  <c r="BD118" i="25" s="1"/>
  <c r="BL117" i="25"/>
  <c r="BL118" i="25" s="1"/>
  <c r="L51" i="30"/>
  <c r="BJ117" i="25"/>
  <c r="BJ118" i="25" s="1"/>
  <c r="BW117" i="25"/>
  <c r="BW118" i="25" s="1"/>
  <c r="BI117" i="25"/>
  <c r="BI118" i="25" s="1"/>
  <c r="BA117" i="25"/>
  <c r="BA118" i="25" s="1"/>
  <c r="AZ117" i="25"/>
  <c r="AZ118" i="25" s="1"/>
  <c r="BG117" i="25"/>
  <c r="BG118" i="25" s="1"/>
  <c r="AW117" i="25"/>
  <c r="AW118" i="25" s="1"/>
  <c r="BK117" i="25"/>
  <c r="BK118" i="25" s="1"/>
  <c r="BQ117" i="25"/>
  <c r="BQ118" i="25" s="1"/>
  <c r="BT117" i="25"/>
  <c r="BT118" i="25" s="1"/>
  <c r="BC117" i="25"/>
  <c r="BC118" i="25" s="1"/>
  <c r="AF117" i="25"/>
  <c r="AF118" i="25" s="1"/>
  <c r="BU117" i="25"/>
  <c r="BU118" i="25" s="1"/>
  <c r="BM117" i="25"/>
  <c r="BM118" i="25" s="1"/>
  <c r="AG103" i="25"/>
  <c r="L49" i="30"/>
  <c r="AG102" i="25"/>
  <c r="L52" i="30"/>
  <c r="BO117" i="25"/>
  <c r="BO118" i="25" s="1"/>
  <c r="AY117" i="25"/>
  <c r="AY118" i="25" s="1"/>
  <c r="BN117" i="25"/>
  <c r="BN118"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I100" i="3" s="1" a="1"/>
  <c r="I100" i="3" s="1"/>
  <c r="P24" i="3"/>
  <c r="P25" i="3"/>
  <c r="H18" i="3"/>
  <c r="H16" i="3"/>
  <c r="I19" i="3"/>
  <c r="L60" i="5"/>
  <c r="L61" i="5"/>
  <c r="I51" i="5"/>
  <c r="I64" i="5"/>
  <c r="K21" i="5" a="1"/>
  <c r="K21" i="5" s="1"/>
  <c r="K8" i="5" a="1"/>
  <c r="K8" i="5" s="1"/>
  <c r="O54" i="4" a="1"/>
  <c r="O54" i="4" s="1"/>
  <c r="O44" i="4" a="1"/>
  <c r="O44" i="4" s="1"/>
  <c r="N54" i="4" a="1"/>
  <c r="N54" i="4" s="1"/>
  <c r="N44" i="4" a="1"/>
  <c r="N44" i="4" s="1"/>
  <c r="O34" i="4" a="1"/>
  <c r="O34" i="4" s="1"/>
  <c r="N34" i="4" a="1"/>
  <c r="N34" i="4" s="1"/>
  <c r="O24" i="4" a="1"/>
  <c r="O24" i="4" s="1"/>
  <c r="N24" i="4" a="1"/>
  <c r="N24" i="4" s="1"/>
  <c r="E24" i="4" a="1"/>
  <c r="E24" i="4" s="1"/>
  <c r="D24" i="4" a="1"/>
  <c r="D24" i="4" s="1"/>
  <c r="L64" i="5" l="1"/>
  <c r="M64" i="5" s="1"/>
  <c r="N64" i="5" s="1"/>
  <c r="O64" i="5" s="1"/>
  <c r="P64" i="5" s="1"/>
  <c r="Q64" i="5" s="1"/>
  <c r="R64" i="5" s="1"/>
  <c r="S64" i="5" s="1"/>
  <c r="E70" i="1" l="1" a="1"/>
  <c r="E70" i="1" s="1"/>
  <c r="D70" i="1" a="1"/>
  <c r="D70" i="1" s="1"/>
  <c r="D60" i="1" a="1"/>
  <c r="D60" i="1" s="1"/>
  <c r="D50" i="1" a="1"/>
  <c r="D50" i="1" s="1"/>
  <c r="D40" i="1" a="1"/>
  <c r="D30" i="1" a="1"/>
  <c r="D20" i="1" a="1"/>
  <c r="D20" i="1" s="1"/>
  <c r="D9" i="26" s="1" a="1"/>
  <c r="AA25" i="1" a="1"/>
  <c r="AA25" i="1" s="1"/>
  <c r="AA20" i="1" a="1"/>
  <c r="AA20" i="1" s="1"/>
  <c r="AL31" i="1" s="1" a="1"/>
  <c r="AL31" i="1" s="1"/>
  <c r="Z25" i="1" a="1"/>
  <c r="Z25" i="1" s="1"/>
  <c r="Z20" i="1" a="1"/>
  <c r="Z20" i="1" s="1"/>
  <c r="AL20" i="1" a="1"/>
  <c r="AL20" i="1" s="1"/>
  <c r="AK20" i="1" a="1"/>
  <c r="O27" i="1" a="1"/>
  <c r="O27" i="1" s="1"/>
  <c r="O20" i="1" a="1"/>
  <c r="E60" i="1" a="1"/>
  <c r="E60" i="1" s="1"/>
  <c r="E50" i="1" a="1"/>
  <c r="E50" i="1" s="1"/>
  <c r="E40" i="1" a="1"/>
  <c r="E40" i="1" s="1"/>
  <c r="E30" i="1" a="1"/>
  <c r="E30" i="1" s="1"/>
  <c r="E20" i="1" a="1"/>
  <c r="E20" i="1" s="1"/>
  <c r="D9" i="26" l="1"/>
  <c r="R9" i="26" s="1"/>
  <c r="R19" i="26"/>
  <c r="R17" i="26"/>
  <c r="R13" i="26"/>
  <c r="R21" i="26"/>
  <c r="R11" i="26"/>
  <c r="R15" i="26"/>
  <c r="B4" i="11" a="1"/>
  <c r="C8" i="3" a="1"/>
  <c r="AK20" i="1"/>
  <c r="D30" i="1"/>
  <c r="AJ20" i="26"/>
  <c r="O20" i="1"/>
  <c r="D40" i="1"/>
  <c r="AJ21" i="26"/>
  <c r="AK31" i="1" a="1"/>
  <c r="AK31" i="1" s="1"/>
  <c r="B4" i="11" l="1"/>
  <c r="F14" i="11"/>
  <c r="J21" i="5" a="1"/>
  <c r="J8" i="5" a="1"/>
  <c r="BA9" i="26" a="1"/>
  <c r="AT9" i="26" a="1"/>
  <c r="AT9" i="26" s="1"/>
  <c r="CZ22" i="26" a="1"/>
  <c r="V25" i="26" a="1"/>
  <c r="C8" i="3"/>
  <c r="J24" i="3" s="1"/>
  <c r="J8" i="3"/>
  <c r="H8" i="3" s="1"/>
  <c r="P8" i="3" s="1"/>
  <c r="J9" i="3"/>
  <c r="H9" i="3" s="1"/>
  <c r="P9" i="3" s="1"/>
  <c r="J10" i="3"/>
  <c r="H10" i="3" s="1"/>
  <c r="P10" i="3" s="1"/>
  <c r="J7" i="3"/>
  <c r="H7" i="3" s="1"/>
  <c r="P7" i="3" s="1"/>
  <c r="J6" i="3"/>
  <c r="H6" i="3" s="1"/>
  <c r="P6" i="3" s="1"/>
  <c r="J25" i="3"/>
  <c r="CZ22" i="26" l="1"/>
  <c r="BX40" i="26" a="1"/>
  <c r="BX40" i="26" s="1"/>
  <c r="BA9" i="26"/>
  <c r="J21" i="5"/>
  <c r="I53" i="5" s="1"/>
  <c r="K53" i="5" s="1"/>
  <c r="I54" i="5"/>
  <c r="K54" i="5" s="1"/>
  <c r="I55" i="5"/>
  <c r="K55" i="5" s="1"/>
  <c r="I62" i="5"/>
  <c r="K62" i="5" s="1"/>
  <c r="I61" i="5"/>
  <c r="K61" i="5" s="1"/>
  <c r="I60" i="5"/>
  <c r="K60" i="5" s="1"/>
  <c r="I59" i="5"/>
  <c r="K59" i="5" s="1"/>
  <c r="I57" i="5"/>
  <c r="K57" i="5" s="1"/>
  <c r="I58" i="5"/>
  <c r="K58" i="5" s="1"/>
  <c r="I56" i="5"/>
  <c r="K56" i="5" s="1"/>
  <c r="I63" i="5"/>
  <c r="K63" i="5" s="1"/>
  <c r="J8" i="5"/>
  <c r="I40" i="5" s="1"/>
  <c r="J40" i="5" s="1"/>
  <c r="I49" i="5"/>
  <c r="J49" i="5" s="1"/>
  <c r="I48" i="5"/>
  <c r="J48" i="5" s="1"/>
  <c r="I43" i="5"/>
  <c r="J43" i="5" s="1"/>
  <c r="I46" i="5"/>
  <c r="J46" i="5" s="1"/>
  <c r="I47" i="5"/>
  <c r="J47" i="5" s="1"/>
  <c r="I50" i="5"/>
  <c r="J50" i="5" s="1"/>
  <c r="I41" i="5"/>
  <c r="J41" i="5" s="1"/>
  <c r="I44" i="5"/>
  <c r="J44" i="5" s="1"/>
  <c r="I45" i="5"/>
  <c r="J45" i="5" s="1"/>
  <c r="I42" i="5"/>
  <c r="J42" i="5" s="1"/>
  <c r="V25" i="26"/>
  <c r="AZ52" i="26"/>
  <c r="AZ56" i="26"/>
  <c r="AZ68" i="26"/>
  <c r="AZ64" i="26"/>
  <c r="AZ60" i="26"/>
  <c r="AF26" i="26" l="1" a="1"/>
  <c r="AF26" i="2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64" authorId="0" shapeId="0" xr:uid="{28489CE9-F9DB-4B75-8603-EB1A19F7A192}">
      <text>
        <r>
          <rPr>
            <b/>
            <sz val="9"/>
            <color indexed="81"/>
            <rFont val="Tahoma"/>
            <family val="2"/>
          </rPr>
          <t>JULIAN:</t>
        </r>
        <r>
          <rPr>
            <sz val="9"/>
            <color indexed="81"/>
            <rFont val="Tahoma"/>
            <family val="2"/>
          </rPr>
          <t xml:space="preserve">
YP23252/</t>
        </r>
      </text>
    </comment>
    <comment ref="Z164"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64"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64"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83"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
=(1,8+((2,7-1,8)/2))/1000
TGI 2020 Cartilla de emisiones</t>
        </r>
      </text>
    </comment>
    <comment ref="U183"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84"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U184" authorId="0" shapeId="0" xr:uid="{82544F4D-CD99-40E2-A52F-5D567329548E}">
      <text>
        <r>
          <rPr>
            <b/>
            <sz val="9"/>
            <color indexed="81"/>
            <rFont val="Tahoma"/>
            <family val="2"/>
          </rPr>
          <t xml:space="preserve">JULIAN:
Cenit, 0,00211 PJ/PJ
1,53 Kwh/bl
Electricidad 0,00211
1,24667 Kwh/bl
</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89"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U189"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 ref="Q193" authorId="0" shapeId="0" xr:uid="{9451F696-EB46-428A-B49B-CB19B956B8E3}">
      <text>
        <r>
          <rPr>
            <b/>
            <sz val="9"/>
            <color indexed="81"/>
            <rFont val="Tahoma"/>
            <family val="2"/>
          </rPr>
          <t>JULIAN:</t>
        </r>
        <r>
          <rPr>
            <sz val="9"/>
            <color indexed="81"/>
            <rFont val="Tahoma"/>
            <family val="2"/>
          </rPr>
          <t xml:space="preserve">
Edgar tesis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S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<sst xmlns="http://schemas.openxmlformats.org/spreadsheetml/2006/main" count="4612" uniqueCount="1422">
  <si>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</si>
  <si>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</si>
  <si>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</si>
  <si>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</si>
  <si>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</si>
  <si>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</si>
  <si>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</si>
  <si>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</si>
  <si>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</si>
  <si>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</si>
  <si>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</si>
  <si>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</si>
  <si>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</si>
  <si>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</si>
  <si>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</si>
  <si>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</si>
  <si>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</si>
  <si>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</si>
  <si>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</si>
  <si>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</si>
  <si>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</si>
  <si>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</si>
  <si>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</si>
  <si>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</si>
  <si>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</si>
  <si>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</si>
  <si>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</si>
  <si>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</si>
  <si>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</si>
  <si>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</si>
  <si>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</si>
  <si>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</si>
  <si>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</si>
  <si>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</si>
  <si>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</si>
  <si>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</si>
  <si>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</si>
  <si>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</si>
  <si>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</si>
  <si>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</si>
  <si>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</si>
  <si>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</si>
  <si>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</si>
  <si>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</si>
  <si>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</si>
  <si>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</si>
  <si>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</si>
  <si>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</si>
  <si>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</si>
  <si>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</si>
  <si>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</si>
  <si>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</si>
  <si>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</si>
  <si>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</si>
  <si>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</si>
  <si>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</si>
  <si>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</si>
  <si>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</si>
  <si>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</si>
  <si>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</si>
  <si>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</si>
  <si>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</si>
  <si>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</si>
  <si>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</si>
  <si>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</si>
  <si>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</si>
  <si>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</si>
  <si>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</si>
  <si>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</si>
  <si>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</si>
  <si>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</si>
  <si>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</si>
  <si>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</si>
  <si>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</si>
  <si>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</si>
  <si>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</si>
  <si>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</si>
  <si>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</si>
  <si>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</si>
  <si>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</si>
  <si>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</si>
  <si>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</si>
  <si>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</si>
  <si>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</si>
  <si>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</si>
  <si>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</si>
  <si>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</si>
  <si>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</si>
  <si>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</si>
  <si>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</si>
  <si>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</si>
  <si>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</si>
  <si>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</si>
  <si>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</si>
  <si>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</si>
  <si>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</si>
  <si>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</si>
  <si>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</si>
  <si>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</si>
  <si>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</si>
  <si>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</si>
  <si>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</si>
  <si>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</si>
  <si>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</si>
  <si>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</si>
  <si>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</si>
  <si>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</si>
  <si>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</si>
  <si>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</si>
  <si>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</si>
  <si>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</si>
  <si>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</si>
  <si>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</si>
  <si>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</si>
  <si>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</si>
  <si>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</si>
  <si>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</si>
  <si>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</si>
  <si>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</si>
  <si>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</si>
  <si>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</si>
  <si>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</si>
  <si>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</si>
  <si>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</si>
  <si>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</si>
  <si>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</si>
  <si>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</si>
  <si>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</si>
  <si>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</si>
  <si>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</si>
  <si>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</si>
  <si>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</si>
  <si>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</si>
  <si>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</si>
  <si>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</si>
  <si>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</si>
  <si>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</si>
  <si>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</si>
  <si>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</si>
  <si>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</si>
  <si>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</si>
  <si>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</si>
  <si>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</si>
  <si>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</si>
  <si>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</si>
  <si>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</si>
  <si>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</si>
  <si>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</si>
  <si>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</si>
  <si>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</si>
  <si>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</si>
  <si>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</si>
  <si>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</si>
  <si>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</si>
  <si>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</si>
  <si>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</si>
  <si>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</si>
  <si>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</si>
  <si>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</si>
  <si>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</si>
  <si>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</si>
  <si>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</si>
  <si>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</si>
  <si>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</si>
  <si>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</si>
  <si>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</si>
  <si>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</si>
  <si>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</si>
  <si>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</si>
  <si>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</si>
  <si>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</si>
  <si>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</si>
  <si>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</si>
  <si>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</si>
  <si>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</si>
  <si>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</si>
  <si>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</si>
  <si>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</si>
  <si>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</si>
  <si>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</si>
  <si>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</si>
  <si>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</si>
  <si>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</si>
  <si>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</si>
  <si>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</si>
  <si>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</si>
  <si>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</si>
  <si>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</si>
  <si>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</si>
  <si>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</si>
  <si>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</si>
  <si>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</si>
  <si>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</si>
  <si>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</si>
  <si>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</si>
  <si>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</si>
  <si>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</si>
  <si>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</si>
  <si>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</si>
  <si>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</si>
  <si>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</si>
  <si>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</si>
  <si>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</si>
  <si>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</si>
  <si>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</si>
  <si>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</si>
  <si>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</si>
  <si>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</si>
  <si>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</si>
  <si>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</si>
  <si>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</si>
  <si>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</si>
  <si>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</si>
  <si>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</si>
  <si>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</si>
  <si>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</si>
  <si>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</si>
  <si>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</si>
  <si>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</si>
  <si>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</si>
  <si>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</si>
  <si>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</si>
  <si>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</si>
  <si>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</si>
  <si>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</si>
  <si>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</si>
  <si>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</si>
  <si>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</si>
  <si>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</si>
  <si>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</si>
  <si>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</si>
  <si>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</si>
  <si>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</si>
  <si>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</si>
  <si>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</si>
  <si>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</si>
  <si>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</si>
  <si>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</si>
  <si>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</si>
  <si>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</si>
  <si>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</si>
  <si>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</si>
  <si>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</si>
  <si>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</si>
  <si>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</si>
  <si>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</si>
  <si>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</si>
  <si>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</si>
  <si>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</si>
  <si>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</si>
  <si>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</si>
  <si>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</si>
  <si>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</si>
  <si>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</si>
  <si>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</si>
  <si>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</si>
  <si>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</si>
  <si>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</si>
  <si>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</si>
  <si>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</si>
  <si>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</si>
  <si>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</si>
  <si>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</si>
  <si>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</si>
  <si>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</si>
  <si>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</si>
  <si>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</si>
  <si>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</si>
  <si>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</si>
  <si>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</si>
  <si>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</si>
  <si>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</si>
  <si>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</si>
  <si>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</si>
  <si>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</si>
  <si>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</si>
  <si>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</si>
  <si>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</si>
  <si>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</si>
  <si>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</si>
  <si>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</si>
  <si>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</si>
  <si>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</si>
  <si>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</si>
  <si>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</si>
  <si>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</si>
  <si>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</si>
  <si>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</si>
  <si>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</si>
  <si>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</si>
  <si>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</si>
  <si>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</si>
  <si>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</si>
  <si>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</si>
  <si>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</si>
  <si>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</si>
  <si>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</si>
  <si>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</si>
  <si>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</si>
  <si>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</si>
  <si>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</si>
  <si>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</si>
  <si>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</si>
  <si>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</si>
  <si>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</si>
  <si>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</si>
  <si>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</si>
  <si>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</si>
  <si>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</si>
  <si>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</si>
  <si>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</si>
  <si>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</si>
  <si>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</si>
  <si>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</si>
  <si>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</si>
  <si>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</si>
  <si>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</si>
  <si>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</si>
  <si>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</si>
  <si>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</si>
  <si>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</si>
  <si>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</si>
  <si>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</si>
  <si>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</si>
  <si>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</si>
  <si>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</si>
  <si>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</si>
  <si>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</si>
  <si>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</si>
  <si>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</si>
  <si>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</si>
  <si>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</si>
  <si>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</si>
  <si>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</si>
  <si>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</si>
  <si>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</si>
  <si>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</si>
  <si>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</si>
  <si>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</si>
  <si>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</si>
  <si>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</si>
  <si>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</si>
  <si>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</si>
  <si>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</si>
  <si>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</si>
  <si>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</si>
  <si>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</si>
  <si>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</si>
  <si>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</si>
  <si>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</si>
  <si>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</si>
  <si>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</si>
  <si>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</si>
  <si>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</si>
  <si>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</si>
  <si>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</si>
  <si>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</si>
  <si>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</si>
  <si>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</si>
  <si>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</si>
  <si>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</si>
  <si>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</si>
  <si>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</si>
  <si>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</si>
  <si>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</si>
  <si>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</si>
  <si>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</si>
  <si>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</si>
  <si>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</si>
  <si>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</si>
  <si>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</si>
  <si>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</si>
  <si>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</si>
  <si>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</si>
  <si>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</si>
  <si>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</si>
  <si>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</si>
  <si>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</si>
  <si>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</si>
  <si>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</si>
  <si>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</si>
  <si>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</si>
  <si>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</si>
  <si>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</si>
  <si>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</si>
  <si>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</si>
  <si>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</si>
  <si>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</si>
  <si>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</si>
  <si>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</si>
  <si>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</si>
  <si>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</si>
  <si>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</si>
  <si>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</si>
  <si>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</si>
  <si>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</si>
  <si>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</si>
  <si>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</si>
  <si>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</si>
  <si>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</si>
  <si>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</si>
  <si>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</si>
  <si>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</si>
  <si>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</si>
  <si>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</si>
  <si>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</si>
  <si>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</si>
  <si>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</si>
  <si>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</si>
  <si>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</si>
  <si>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</si>
  <si>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</si>
  <si>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</si>
  <si>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</si>
  <si>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</si>
  <si>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</si>
  <si>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</si>
  <si>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</si>
  <si>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</si>
  <si>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</si>
  <si>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</si>
  <si>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</si>
  <si>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</si>
  <si>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</si>
  <si>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</si>
  <si>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</si>
  <si>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</si>
  <si>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</si>
  <si>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</si>
  <si>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</si>
  <si>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</si>
  <si>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</si>
  <si>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</si>
  <si>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</si>
  <si>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</si>
  <si>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</si>
  <si>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</si>
  <si>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</si>
  <si>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</si>
  <si>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</si>
  <si>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</si>
  <si>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</si>
  <si>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</si>
  <si>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</si>
  <si>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</si>
  <si>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</si>
  <si>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</si>
  <si>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</si>
  <si>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</si>
  <si>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</si>
  <si>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</si>
  <si>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</si>
  <si>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</si>
  <si>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</si>
  <si>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</si>
  <si>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</si>
  <si>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</si>
  <si>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</si>
  <si>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</si>
  <si>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</si>
  <si>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</si>
  <si>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</si>
  <si>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</si>
  <si>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</si>
  <si>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</si>
  <si>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</si>
  <si>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</si>
  <si>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</si>
  <si>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</si>
  <si>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</si>
  <si>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</si>
  <si>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</si>
  <si>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</si>
  <si>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</si>
  <si>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</si>
  <si>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</si>
  <si>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</si>
  <si>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</si>
  <si>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</si>
  <si>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</si>
  <si>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</si>
  <si>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</si>
  <si>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</si>
  <si>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</si>
  <si>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</si>
  <si>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</si>
  <si>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</si>
  <si>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</si>
  <si>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</si>
  <si>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</si>
  <si>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</si>
  <si>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</si>
  <si>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</si>
  <si>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</si>
  <si>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</si>
  <si>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</si>
  <si>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</si>
  <si>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</si>
  <si>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</si>
  <si>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</si>
  <si>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</si>
  <si>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</si>
  <si>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</si>
  <si>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</si>
  <si>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</si>
  <si>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</si>
  <si>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</si>
  <si>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</si>
  <si>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</si>
  <si>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</si>
  <si>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</si>
  <si>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</si>
  <si>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</si>
  <si>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</si>
  <si>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</si>
  <si>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</si>
  <si>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</si>
  <si>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</si>
  <si>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</si>
  <si>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</si>
  <si>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</si>
  <si>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</si>
  <si>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</si>
  <si>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</si>
  <si>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</si>
  <si>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</si>
  <si>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</si>
  <si>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</si>
  <si>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</si>
  <si>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</si>
  <si>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</si>
  <si>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</si>
  <si>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</si>
  <si>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</si>
  <si>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</si>
  <si>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</si>
  <si>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</si>
  <si>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</si>
  <si>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</si>
  <si>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</si>
  <si>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</si>
  <si>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</si>
  <si>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</si>
  <si>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</si>
  <si>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</si>
  <si>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</si>
  <si>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</si>
  <si>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</si>
  <si>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</si>
  <si>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</si>
  <si>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</si>
  <si>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</si>
  <si>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</si>
  <si>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</si>
  <si>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</si>
  <si>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</si>
  <si>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</si>
  <si>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</si>
  <si>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</si>
  <si>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</si>
  <si>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</si>
  <si>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</si>
  <si>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</si>
  <si>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</si>
  <si>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</si>
  <si>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</si>
  <si>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</si>
  <si>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</si>
  <si>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</si>
  <si>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</si>
  <si>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</si>
  <si>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</si>
  <si>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</si>
  <si>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</si>
  <si>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</si>
  <si>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</si>
  <si>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</si>
  <si>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</si>
  <si>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</si>
  <si>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</si>
  <si>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</si>
  <si>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</si>
  <si>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</si>
  <si>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</si>
  <si>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</si>
  <si>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</si>
  <si>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</si>
  <si>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</si>
  <si>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</si>
  <si>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</si>
  <si>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</si>
  <si>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</si>
  <si>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</si>
  <si>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</si>
  <si>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</si>
  <si>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</si>
  <si>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</si>
  <si>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</si>
  <si>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</si>
  <si>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</si>
  <si>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</si>
  <si>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</si>
  <si>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</si>
  <si>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</si>
  <si>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</si>
  <si>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</si>
  <si>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</si>
  <si>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</si>
  <si>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</si>
  <si>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</si>
  <si>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</si>
  <si>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</si>
  <si>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</si>
  <si>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</si>
  <si>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</si>
  <si>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</si>
  <si>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</si>
  <si>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</si>
  <si>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</si>
  <si>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</si>
  <si>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</si>
  <si>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</si>
  <si>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</si>
  <si>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</si>
  <si>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</si>
  <si>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</si>
  <si>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</si>
  <si>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</si>
  <si>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</si>
  <si>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</si>
  <si>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</si>
  <si>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</si>
  <si>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</si>
  <si>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</si>
  <si>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</si>
  <si>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</si>
  <si>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</si>
  <si>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</si>
  <si>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</si>
  <si>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</si>
  <si>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</si>
  <si>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</si>
  <si>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</si>
  <si>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</si>
  <si>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</si>
  <si>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</si>
  <si>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</si>
  <si>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</si>
  <si>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</si>
  <si>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</si>
  <si>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</si>
  <si>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</si>
  <si>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</si>
  <si>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</si>
  <si>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</si>
  <si>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</si>
  <si>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</si>
  <si>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</si>
  <si>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</si>
  <si>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</si>
  <si>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</si>
  <si>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</si>
  <si>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</si>
  <si>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</si>
  <si>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</si>
  <si>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</si>
  <si>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</si>
  <si>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</si>
  <si>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</si>
  <si>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</si>
  <si>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</si>
  <si>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</si>
  <si>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</si>
  <si>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</si>
  <si>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</si>
  <si>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</si>
  <si>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</si>
  <si>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</si>
  <si>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</si>
  <si>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</si>
  <si>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</si>
  <si>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</si>
  <si>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</si>
  <si>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</si>
  <si>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</si>
  <si>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</si>
  <si>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</si>
  <si>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</si>
  <si>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</si>
  <si>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</si>
  <si>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</si>
  <si>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</si>
  <si>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</si>
  <si>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</si>
  <si>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</si>
  <si>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</si>
  <si>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</si>
  <si>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</si>
  <si>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</si>
  <si>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</si>
  <si>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</si>
  <si>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</si>
  <si>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</si>
  <si>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</si>
  <si>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</si>
  <si>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</si>
  <si>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</si>
  <si>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</si>
  <si>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</si>
  <si>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</si>
  <si>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</si>
  <si>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</si>
  <si>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</si>
  <si>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</si>
  <si>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</si>
  <si>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</si>
  <si>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</si>
  <si>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</si>
  <si>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</si>
  <si>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</si>
  <si>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</si>
  <si>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</si>
  <si>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</si>
  <si>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</si>
  <si>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</si>
  <si>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</si>
  <si>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</si>
  <si>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</si>
  <si>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</si>
  <si>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</si>
  <si>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</si>
  <si>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</si>
  <si>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</si>
  <si>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</si>
  <si>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</si>
  <si>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</si>
  <si>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</si>
  <si>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</si>
  <si>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</si>
  <si>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</si>
  <si>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</si>
  <si>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</si>
  <si>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</si>
  <si>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</si>
  <si>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</si>
  <si>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</si>
  <si>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</si>
  <si>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</si>
  <si>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</si>
  <si>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</si>
  <si>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</si>
  <si>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</si>
  <si>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</si>
  <si>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</si>
  <si>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</si>
  <si>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</si>
  <si>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</si>
  <si>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</si>
  <si>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</si>
  <si>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</si>
  <si>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</si>
  <si>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</si>
  <si>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</si>
  <si>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</si>
  <si>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</si>
  <si>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</si>
  <si>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</si>
  <si>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</si>
  <si>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</si>
  <si>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</si>
  <si>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</si>
  <si>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</si>
  <si>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</si>
  <si>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</si>
  <si>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</si>
  <si>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</si>
  <si>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</si>
  <si>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</si>
  <si>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</si>
  <si>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</si>
  <si>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</si>
  <si>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</si>
  <si>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</si>
  <si>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</si>
  <si>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</si>
  <si>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</si>
  <si>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</si>
  <si>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</si>
  <si>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</si>
  <si>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</si>
  <si>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</si>
  <si>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</si>
  <si>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</si>
  <si>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</si>
  <si>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</si>
  <si>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</si>
  <si>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</si>
  <si>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</si>
  <si>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</si>
  <si>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</si>
  <si>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</si>
  <si>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</si>
  <si>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</si>
  <si>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</si>
  <si>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</si>
  <si>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</si>
  <si>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</si>
  <si>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</si>
  <si>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</si>
  <si>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</si>
  <si>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</si>
  <si>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</si>
  <si>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</si>
  <si>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</si>
  <si>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</si>
  <si>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</si>
  <si>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</si>
  <si>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</si>
  <si>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</si>
  <si>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</si>
  <si>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</si>
  <si>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</si>
  <si>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</si>
  <si>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</si>
  <si>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</si>
  <si>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</si>
  <si>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</si>
  <si>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</si>
  <si>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</si>
  <si>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</si>
  <si>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</si>
  <si>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</si>
  <si>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</si>
  <si>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</si>
  <si>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</si>
  <si>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</si>
  <si>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</si>
  <si>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</si>
  <si>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</si>
  <si>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</si>
  <si>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</si>
  <si>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</si>
  <si>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</si>
  <si>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</si>
  <si>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</si>
  <si>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</si>
  <si>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</si>
  <si>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</si>
  <si>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</si>
  <si>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</si>
  <si>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</si>
  <si>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</si>
  <si>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</si>
  <si>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</si>
  <si>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</si>
  <si>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</si>
  <si>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</si>
  <si>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</si>
  <si>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</si>
  <si>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</si>
  <si>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</si>
  <si>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</si>
  <si>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</si>
  <si>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</si>
  <si>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</si>
  <si>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</si>
  <si>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</si>
  <si>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</si>
  <si>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</si>
  <si>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</si>
  <si>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</si>
  <si>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</si>
  <si>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</si>
  <si>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</si>
  <si>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</si>
  <si>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</si>
  <si>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</si>
  <si>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</si>
  <si>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</si>
  <si>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</si>
  <si>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</si>
  <si>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</si>
  <si>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</si>
  <si>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</si>
  <si>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</si>
  <si>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</si>
  <si>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</si>
  <si>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</si>
  <si>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</si>
  <si>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</si>
  <si>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</si>
  <si>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</si>
  <si>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</si>
  <si>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</si>
  <si>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</si>
  <si>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</si>
  <si>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</si>
  <si>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</si>
  <si>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</si>
  <si>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</si>
  <si>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</si>
  <si>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</si>
  <si>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</si>
  <si>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</si>
  <si>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</si>
  <si>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</si>
  <si>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</si>
  <si>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</si>
  <si>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</si>
  <si>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</si>
  <si>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</si>
  <si>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</si>
  <si>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</si>
  <si>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</si>
  <si>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</si>
  <si>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</si>
  <si>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</si>
  <si>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</si>
  <si>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</si>
  <si>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</si>
  <si>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</si>
  <si>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</si>
  <si>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</si>
  <si>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</si>
  <si>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</si>
  <si>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</si>
  <si>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</si>
  <si>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</si>
  <si>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</si>
  <si>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</si>
  <si>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</si>
  <si>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</si>
  <si>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</si>
  <si>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</si>
  <si>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</si>
  <si>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</si>
  <si>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</si>
  <si>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</si>
  <si>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</si>
  <si>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</si>
  <si>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</si>
  <si>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</si>
  <si>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</si>
  <si>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</si>
  <si>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</si>
  <si>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</si>
  <si>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</si>
  <si>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</si>
  <si>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</si>
  <si>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</si>
  <si>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</si>
  <si>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</si>
  <si>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</si>
  <si>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</si>
  <si>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</si>
  <si>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</si>
  <si>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</si>
  <si>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</si>
  <si>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</si>
  <si>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</si>
  <si>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</si>
  <si>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</si>
  <si>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</si>
  <si>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</si>
  <si>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</si>
  <si>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</si>
  <si>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</si>
  <si>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</si>
  <si>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</si>
  <si>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</si>
  <si>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</si>
  <si>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</si>
  <si>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</si>
  <si>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</si>
  <si>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</si>
  <si>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</si>
  <si>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</si>
  <si>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</si>
  <si>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</si>
  <si>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</si>
  <si>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</si>
  <si>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</si>
  <si>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</si>
  <si>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</si>
  <si>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</si>
  <si>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</si>
  <si>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</si>
  <si>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</si>
  <si>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</si>
  <si>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</si>
  <si>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</si>
  <si>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</si>
  <si>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</si>
  <si>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</si>
  <si>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</si>
  <si>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</si>
  <si>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</si>
  <si>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</si>
  <si>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</si>
  <si>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</si>
  <si>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</si>
  <si>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</si>
  <si>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</si>
  <si>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</si>
  <si>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</si>
  <si>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</si>
  <si>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</si>
  <si>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</si>
  <si>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</si>
  <si>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</si>
  <si>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</si>
  <si>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</si>
  <si>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</si>
  <si>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</si>
  <si>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</si>
  <si>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</si>
  <si>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</si>
  <si>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</si>
  <si>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</si>
  <si>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</si>
  <si>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</si>
  <si>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</si>
  <si>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</si>
  <si>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</si>
  <si>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</si>
  <si>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</si>
  <si>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</si>
  <si>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</si>
  <si>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</si>
  <si>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</si>
  <si>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</si>
  <si>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</si>
  <si>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</si>
  <si>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</si>
  <si>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</si>
  <si>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</si>
  <si>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</si>
  <si>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</si>
  <si>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</si>
  <si>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</si>
  <si>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</si>
  <si>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</si>
  <si>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</si>
  <si>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</si>
  <si>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</si>
  <si>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</si>
  <si>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</si>
  <si>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</si>
  <si>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</si>
  <si>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</si>
  <si>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</si>
  <si>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</si>
  <si>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</si>
  <si>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</si>
  <si>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</si>
  <si>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</si>
  <si>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</si>
  <si>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</si>
  <si>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</si>
  <si>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</si>
  <si>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</si>
  <si>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</si>
  <si>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</si>
  <si>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</si>
  <si>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</si>
  <si>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</si>
  <si>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</si>
  <si>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</si>
  <si>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</si>
  <si>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</si>
  <si>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</si>
  <si>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</si>
  <si>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</si>
  <si>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</si>
  <si>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</si>
  <si>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</si>
  <si>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</si>
  <si>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</si>
  <si>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</si>
  <si>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</si>
  <si>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Recolección de gas natural</t>
  </si>
  <si>
    <t>F.E., kt/PJ</t>
  </si>
  <si>
    <t>Colectores de gas natural</t>
  </si>
  <si>
    <t>Mezcla de combustibles para transporte de petróleo</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</si>
  <si>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</si>
  <si>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</si>
  <si>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</si>
  <si>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</si>
  <si>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</si>
  <si>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</si>
  <si>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</si>
  <si>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</si>
  <si>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</si>
  <si>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</si>
  <si>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</si>
  <si>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</si>
  <si>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</si>
  <si>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</si>
  <si>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</si>
  <si>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</si>
  <si>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</si>
  <si>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</si>
  <si>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</si>
  <si>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</si>
  <si>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</si>
  <si>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</si>
  <si>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</si>
  <si>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</si>
  <si>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</si>
  <si>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</si>
  <si>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</si>
  <si>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</si>
  <si>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</si>
  <si>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</si>
  <si>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</si>
  <si>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</si>
  <si>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</si>
  <si>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</si>
  <si>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</si>
  <si>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</si>
  <si>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</si>
  <si>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</si>
  <si>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</si>
  <si>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</si>
  <si>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</si>
  <si>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</si>
  <si>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</si>
  <si>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</si>
  <si>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</si>
  <si>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</si>
  <si>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</si>
  <si>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</si>
  <si>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</si>
  <si>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</si>
  <si>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</si>
  <si>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</si>
  <si>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</si>
  <si>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</si>
  <si>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</si>
  <si>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</si>
  <si>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</si>
  <si>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</si>
  <si>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</si>
  <si>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</si>
  <si>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</si>
  <si>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</si>
  <si>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</si>
  <si>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</si>
  <si>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</si>
  <si>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</si>
  <si>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</si>
  <si>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</si>
  <si>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</si>
  <si>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</si>
  <si>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</si>
  <si>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</si>
  <si>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</si>
  <si>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</si>
  <si>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</si>
  <si>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</si>
  <si>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</si>
  <si>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</si>
  <si>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</si>
  <si>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</si>
  <si>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</si>
  <si>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</si>
  <si>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</si>
  <si>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</si>
  <si>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</si>
  <si>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</si>
  <si>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</si>
  <si>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</si>
  <si>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</si>
  <si>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</si>
  <si>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</si>
  <si>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</si>
  <si>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</si>
  <si>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</si>
  <si>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</si>
  <si>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</si>
  <si>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</si>
  <si>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</si>
  <si>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</si>
  <si>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</si>
  <si>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</si>
  <si>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</si>
  <si>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</si>
  <si>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</si>
  <si>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</si>
  <si>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</si>
  <si>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</si>
  <si>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</si>
  <si>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</si>
  <si>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</si>
  <si>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</si>
  <si>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</si>
  <si>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</si>
  <si>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</si>
  <si>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</si>
  <si>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</si>
  <si>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</si>
  <si>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</si>
  <si>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</si>
  <si>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</si>
  <si>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</si>
  <si>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</si>
  <si>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</si>
  <si>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</si>
  <si>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</si>
  <si>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</si>
  <si>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</si>
  <si>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</si>
  <si>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</si>
  <si>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</si>
  <si>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</si>
  <si>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</si>
  <si>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</si>
  <si>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</si>
  <si>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</si>
  <si>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</si>
  <si>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</si>
  <si>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</si>
  <si>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</si>
  <si>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</si>
  <si>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</si>
  <si>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Generación de Electricidad</t>
  </si>
  <si>
    <t>Compra del SIN</t>
  </si>
  <si>
    <t>COMPRA-ELC-CAM7</t>
  </si>
  <si>
    <t>Electricidad comprada al SIN</t>
  </si>
  <si>
    <t>Costos, MUSD2019/PJ</t>
  </si>
  <si>
    <t>KWh/b</t>
  </si>
  <si>
    <t>Uso de combustibles en campos</t>
  </si>
  <si>
    <t>Uso de GAS para el CAM1</t>
  </si>
  <si>
    <t>Uso de GAS para el CAM2</t>
  </si>
  <si>
    <t>Uso de GAS para el CAM3</t>
  </si>
  <si>
    <t>Uso de GAS para el CAM4</t>
  </si>
  <si>
    <t>Uso de GAS para el CAM5</t>
  </si>
  <si>
    <t>Uso de GAS para el CAM6</t>
  </si>
  <si>
    <t>Uso de GAS para el CAM7</t>
  </si>
  <si>
    <t>Uso de DSL para el CAM1</t>
  </si>
  <si>
    <t>Uso de DSL para el CAM2</t>
  </si>
  <si>
    <t>Uso de DSL para el CAM3</t>
  </si>
  <si>
    <t>Uso de DSL para el CAM4</t>
  </si>
  <si>
    <t>Uso de DSL para el CAM5</t>
  </si>
  <si>
    <t>Uso de DSL para el CAM6</t>
  </si>
  <si>
    <t>Uso de DSL para el CAM7</t>
  </si>
  <si>
    <t>FUEL-GAS-CAM1</t>
  </si>
  <si>
    <t>FUEL-GAS-CAM2</t>
  </si>
  <si>
    <t>FUEL-GAS-CAM3</t>
  </si>
  <si>
    <t>FUEL-GAS-CAM4</t>
  </si>
  <si>
    <t>FUEL-GAS-CAM5</t>
  </si>
  <si>
    <t>FUEL-GAS-CAM6</t>
  </si>
  <si>
    <t>FUEL-GAS-CAM7</t>
  </si>
  <si>
    <t>Gas usado como combustible en Campo 1</t>
  </si>
  <si>
    <t>Gas usado como combustible en Campo 2</t>
  </si>
  <si>
    <t>Gas usado como combustible en Campo 3</t>
  </si>
  <si>
    <t>Gas usado como combustible en Campo 4</t>
  </si>
  <si>
    <t>Gas usado como combustible en Campo 5</t>
  </si>
  <si>
    <t>Gas usado como combustible en Campo 6</t>
  </si>
  <si>
    <t>Gas usado como combustible en Campo 7</t>
  </si>
  <si>
    <t>FUEL-OIL-CAM1</t>
  </si>
  <si>
    <t>FUEL-OIL-CAM2</t>
  </si>
  <si>
    <t>FUEL-OIL-CAM3</t>
  </si>
  <si>
    <t>FUEL-OIL-CAM4</t>
  </si>
  <si>
    <t>FUEL-OIL-CAM5</t>
  </si>
  <si>
    <t>FUEL-OIL-CAM6</t>
  </si>
  <si>
    <t>FUEL-OIL-CAM7</t>
  </si>
  <si>
    <t>OIL usado como combustible en Campo 1</t>
  </si>
  <si>
    <t>OIL usado como combustible en Campo 2</t>
  </si>
  <si>
    <t>OIL usado como combustible en Campo 3</t>
  </si>
  <si>
    <t>OIL usado como combustible en Campo 4</t>
  </si>
  <si>
    <t>OIL usado como combustible en Campo 5</t>
  </si>
  <si>
    <t>OIL usado como combustible en Campo 6</t>
  </si>
  <si>
    <t>OIL usado como combustible en Campo 7</t>
  </si>
  <si>
    <t>LOIL-CAM7</t>
  </si>
  <si>
    <t>Conversion de combustibles en campo para uso</t>
  </si>
  <si>
    <t>Electricidad para colectores del campo 1</t>
  </si>
  <si>
    <t>Electricidad para colectores del campo 2</t>
  </si>
  <si>
    <t>Electricidad para colectores del campo 3</t>
  </si>
  <si>
    <t>Electricidad para colectores del campo 4</t>
  </si>
  <si>
    <t>Electricidad para colectores del campo 5</t>
  </si>
  <si>
    <t>Electricidad para colectores del campo 6</t>
  </si>
  <si>
    <t>Electricidad para colectores del campo 7</t>
  </si>
  <si>
    <t>GAS-CAM7</t>
  </si>
  <si>
    <t>Mezcla de combustibles para transporte de gas natural</t>
  </si>
  <si>
    <t>MIXFUEL-COLOIL-CAM1</t>
  </si>
  <si>
    <t>MIXFUEL-COLOIL-CAM2</t>
  </si>
  <si>
    <t>MIXFUEL-COLOIL-CAM3</t>
  </si>
  <si>
    <t>MIXFUEL-COLOIL-CAM4</t>
  </si>
  <si>
    <t>MIXFUEL-COLOIL-CAM5</t>
  </si>
  <si>
    <t>MIXFUEL-COLOIL-CAM6</t>
  </si>
  <si>
    <t>MIXFUEL-COLOIL-CAM7</t>
  </si>
  <si>
    <t>MIXFUEL-COLGAS-CAM1</t>
  </si>
  <si>
    <t>MIXFUEL-COLGAS-CAM2</t>
  </si>
  <si>
    <t>MIXFUEL-COLGAS-CAM3</t>
  </si>
  <si>
    <t>MIXFUEL-COLGAS-CAM4</t>
  </si>
  <si>
    <t>MIXFUEL-COLGAS-CAM5</t>
  </si>
  <si>
    <t>MIXFUEL-COLGAS-CAM6</t>
  </si>
  <si>
    <t>MIXFUEL-COLGAS-CAM7</t>
  </si>
  <si>
    <t>FUEL-COLOIL-CAM1</t>
  </si>
  <si>
    <t>FUEL-COLOIL-CAM2</t>
  </si>
  <si>
    <t>FUEL-COLOIL-CAM3</t>
  </si>
  <si>
    <t>FUEL-COLOIL-CAM4</t>
  </si>
  <si>
    <t>FUEL-COLOIL-CAM5</t>
  </si>
  <si>
    <t>FUEL-COLOIL-CAM6</t>
  </si>
  <si>
    <t>FUEL-COLOIL-CAM7</t>
  </si>
  <si>
    <t>FUEL-COLGAS-CAM1</t>
  </si>
  <si>
    <t>FUEL-COLGAS-CAM2</t>
  </si>
  <si>
    <t>FUEL-COLGAS-CAM3</t>
  </si>
  <si>
    <t>FUEL-COLGAS-CAM4</t>
  </si>
  <si>
    <t>FUEL-COLGAS-CAM5</t>
  </si>
  <si>
    <t>FUEL-COLGAS-CAM6</t>
  </si>
  <si>
    <t>FUEL-COLGAS-CAM7</t>
  </si>
  <si>
    <t>Mezcla de combustibles para transporte de  petroleo en campo 1</t>
  </si>
  <si>
    <t>Mezcla de combustibles para transporte de  petroleo en campo 2</t>
  </si>
  <si>
    <t>Mezcla de combustibles para transporte de  petroleo en campo 3</t>
  </si>
  <si>
    <t>Mezcla de combustibles para transporte de  petroleo en campo 4</t>
  </si>
  <si>
    <t>Mezcla de combustibles para transporte de  petroleo en campo 5</t>
  </si>
  <si>
    <t>Mezcla de combustibles para transporte de  petroleo en campo 6</t>
  </si>
  <si>
    <t>Mezcla de combustibles para transporte de  petroleo en campo 7</t>
  </si>
  <si>
    <t>Mezcla de combustibles para transporte gas en campo 1</t>
  </si>
  <si>
    <t>Mezcla de combustibles para transporte gas en campo 2</t>
  </si>
  <si>
    <t>Mezcla de combustibles para transporte gas en campo 3</t>
  </si>
  <si>
    <t>Mezcla de combustibles para transporte gas en campo 4</t>
  </si>
  <si>
    <t>Mezcla de combustibles para transporte gas en campo 5</t>
  </si>
  <si>
    <t>Mezcla de combustibles para transporte gas en campo 6</t>
  </si>
  <si>
    <t>Mezcla de combustibles para transporte gas en campo 7</t>
  </si>
  <si>
    <t>Combustible para transporte petroleo Campo 1</t>
  </si>
  <si>
    <t>Combustible para transporte petroleo Campo 2</t>
  </si>
  <si>
    <t>Combustible para transporte petroleo Campo 3</t>
  </si>
  <si>
    <t>Combustible para transporte petroleo Campo 4</t>
  </si>
  <si>
    <t>Combustible para transporte petroleo Campo 5</t>
  </si>
  <si>
    <t>Combustible para transporte petroleo Campo 6</t>
  </si>
  <si>
    <t>Combustible para transporte petroleo Campo 7</t>
  </si>
  <si>
    <t>Combustible para transporte gas Campo 1</t>
  </si>
  <si>
    <t>Combustible para transporte gas Campo 2</t>
  </si>
  <si>
    <t>Combustible para transporte gas Campo 3</t>
  </si>
  <si>
    <t>Combustible para transporte gas Campo 4</t>
  </si>
  <si>
    <t>Combustible para transporte gas Campo 5</t>
  </si>
  <si>
    <t>Combustible para transporte gas Campo 6</t>
  </si>
  <si>
    <t>Combustible para transporte gas Campo 7</t>
  </si>
  <si>
    <t>ELC-COLOIL-CAM1</t>
  </si>
  <si>
    <t>Energia para colectores de petroleo en campo 1</t>
  </si>
  <si>
    <t>ELC-COLOIL-CAM2</t>
  </si>
  <si>
    <t>Energia para colectores de petroleo en campo 2</t>
  </si>
  <si>
    <t>ELC-COLOIL-CAM3</t>
  </si>
  <si>
    <t>Energia para colectores de petroleo en campo 3</t>
  </si>
  <si>
    <t>ELC-COLOIL-CAM4</t>
  </si>
  <si>
    <t>Energia para colectores de petroleo en campo 4</t>
  </si>
  <si>
    <t>ELC-COLOIL-CAM5</t>
  </si>
  <si>
    <t>Energia para colectores de petroleo en campo 5</t>
  </si>
  <si>
    <t>ELC-COLOIL-CAM6</t>
  </si>
  <si>
    <t>Energia para colectores de petroleo en campo 6</t>
  </si>
  <si>
    <t>ELC-COLOIL-CAM7</t>
  </si>
  <si>
    <t>Energia para colectores de petroleo en campo 7</t>
  </si>
  <si>
    <t>Transporte</t>
  </si>
  <si>
    <t>Dilución para transporte</t>
  </si>
  <si>
    <t>USD/bl</t>
  </si>
  <si>
    <t>COSTO SOLO PETRÓLEO</t>
  </si>
  <si>
    <t>NO APLICA</t>
  </si>
  <si>
    <t>Conversion</t>
  </si>
  <si>
    <t>SEC, ELECTRICIDAD</t>
  </si>
  <si>
    <t>C</t>
  </si>
  <si>
    <t>pj/pj</t>
  </si>
  <si>
    <t>COLFUEL-HOIL-CAM3</t>
  </si>
  <si>
    <t>COLFUEL-LOIL-CAM2</t>
  </si>
  <si>
    <t>COLFUEL-LOIL-CAM4</t>
  </si>
  <si>
    <t>COLFUEL-MOIL-CAM5</t>
  </si>
  <si>
    <t>COLFUEL-MOIL-CAM6</t>
  </si>
  <si>
    <t>COLELC-LOIL-CAM2</t>
  </si>
  <si>
    <t>COLELC-HOIL-CAM3</t>
  </si>
  <si>
    <t>COLELC-LOIL-CAM4</t>
  </si>
  <si>
    <t>COLELC-MOIL-CAM5</t>
  </si>
  <si>
    <t>COLELC-MOIL-CAM6</t>
  </si>
  <si>
    <t>Uso de OIL para el CAM1</t>
  </si>
  <si>
    <t>Uso de OIL para el CAM2</t>
  </si>
  <si>
    <t>Uso de OIL para el CAM3</t>
  </si>
  <si>
    <t>Uso de OIL para el CAM4</t>
  </si>
  <si>
    <t>Uso de OIL para el CAM5</t>
  </si>
  <si>
    <t>Uso de OIL para el CAM6</t>
  </si>
  <si>
    <t>Uso de OIL para el CAM7</t>
  </si>
  <si>
    <t>Colectores Fuel de Petroleo liviano para el campo 2</t>
  </si>
  <si>
    <t>Colectores Fuel de Petroleo liviano para el campo 3</t>
  </si>
  <si>
    <t>Colectores Fuel de Petroleo liviano para el campo 4</t>
  </si>
  <si>
    <t>Colectores Fuel de Petroleo liviano para el campo 5</t>
  </si>
  <si>
    <t>Colectores Fuel de Petroleo liviano para el campo 6</t>
  </si>
  <si>
    <t>Colectores ELC de Petroleo liviano para el campo 2</t>
  </si>
  <si>
    <t>Colectores ELC de Petroleo liviano para el campo 3</t>
  </si>
  <si>
    <t>Colectores ELC de Petroleo liviano para el campo 4</t>
  </si>
  <si>
    <t>Colectores ELC de Petroleo liviano para el campo 5</t>
  </si>
  <si>
    <t>Colectores ELC de Petroleo liviano para el campo 6</t>
  </si>
  <si>
    <t>Recolección de petróleo usando combustibles</t>
  </si>
  <si>
    <t>Recolección de petróleo usando electricidad del grid</t>
  </si>
  <si>
    <t>Compra del SIN para transporte</t>
  </si>
  <si>
    <t>Compra de electricidad para campo 1</t>
  </si>
  <si>
    <t>Compra de electricidad para campo 2</t>
  </si>
  <si>
    <t>Compra de electricidad para campo 3</t>
  </si>
  <si>
    <t>Compra de electricidad para campo 4</t>
  </si>
  <si>
    <t>Compra de electricidad para campo 5</t>
  </si>
  <si>
    <t>Compra de electricidad para campo 6</t>
  </si>
  <si>
    <t>Compra de electricidad para campo 7</t>
  </si>
  <si>
    <t>COMPRA-ELC-COL-CAM1</t>
  </si>
  <si>
    <t>COMPRA-ELC-COL-CAM2</t>
  </si>
  <si>
    <t>COMPRA-ELC-COL-CAM3</t>
  </si>
  <si>
    <t>COMPRA-ELC-COL-CAM4</t>
  </si>
  <si>
    <t>COMPRA-ELC-COL-CAM5</t>
  </si>
  <si>
    <t>COMPRA-ELC-COL-CAM6</t>
  </si>
  <si>
    <t>COMPRA-ELC-COL-CAM7</t>
  </si>
  <si>
    <t>Compra de electricidad para transporte del campo 1</t>
  </si>
  <si>
    <t>Compra de electricidad para transporte del campo 2</t>
  </si>
  <si>
    <t>Compra de electricidad para transporte del campo 3</t>
  </si>
  <si>
    <t>Compra de electricidad para transporte del campo 4</t>
  </si>
  <si>
    <t>Compra de electricidad para transporte del campo 5</t>
  </si>
  <si>
    <t>Compra de electricidad para transporte del campo 6</t>
  </si>
  <si>
    <t>Compra de electricidad para transporte del campo 7</t>
  </si>
  <si>
    <t>Colectores de petróleo                          Colectores de petróleo                          Colectores de petróleo                          Colectores de petróleo                          Colectores de petróleo</t>
  </si>
  <si>
    <t>Emissions kt/PJ</t>
  </si>
  <si>
    <t>Consumo de Electricidad de PRODUCCCIÓN                                           Consumo de Electricidad de PRODUCCCIÓN                                           Consumo de Electricidad de PRODUCCCIÓN                                           Consumo de Electricidad de PRODUCCCIÓN</t>
  </si>
  <si>
    <t xml:space="preserve"> Emisiones de SEPARACIÓN Y TRATAMIENTO DE GAS                                                 Emisiones de SEPARACIÓN Y TRATAMIENTO DE GAS                                                 Emisiones de SEPARACIÓN Y TRATAMIENTO DE GAS                                                 Emisiones de SEPARACIÓN Y TRATAMIENTO DE GAS                                                 Emisiones de SEPARACIÓN Y TRATAMIENTO DE GAS</t>
  </si>
  <si>
    <t>CAPACIDAD DE PLANTAS DE LPG                                          CAPACIDAD DE PLANTAS DE LPG                                         CAPACIDAD DE PLANTAS DE LPG                                         CAPACIDAD DE PLANTAS DE LPG                                         CAPACIDAD DE PLANTAS DE LPG                                         CAPACIDAD DE PLANTAS DE LPG</t>
  </si>
  <si>
    <t xml:space="preserve">Consumo electrico DE TRANSPORTE DE HIDROCARBUROS                                    Consumo electrico DE TRANSPORTE DE HIDROCARBUROS                                    Consumo electrico DE TRANSPORTE DE HIDROCARBUROS </t>
  </si>
  <si>
    <t>Capacidad de AUTOGENERACION                            Capacidad de AUTOGENERACION                            Capacidad de AUTOGENERACION                            Capacidad de AUTOGENERACION                            Capacidad de AUTOGENERACION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</si>
</sst>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8"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
      <b/>
      <sz val="11"/>
      <color rgb="FFFF0000"/>
      <name val="Calibri"/>
      <family val="2"/>
    </font>
    <font>
      <b/>
      <sz val="10"/>
      <color rgb="FFFF0000"/>
      <name val="Arial"/>
      <family val="2"/>
    </font>
    <font>
      <b/>
      <sz val="14"/>
      <color rgb="FFFF0000"/>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41">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1" fillId="0" borderId="0"/>
    <xf numFmtId="0" fontId="60" fillId="22" borderId="0" applyNumberFormat="0" applyBorder="0" applyAlignment="0" applyProtection="0"/>
    <xf numFmtId="43" fontId="1" fillId="0" borderId="0" applyFont="0" applyFill="0" applyBorder="0" applyAlignment="0" applyProtection="0"/>
    <xf numFmtId="0" fontId="63" fillId="21" borderId="0" applyNumberFormat="0" applyBorder="0" applyAlignment="0" applyProtection="0"/>
    <xf numFmtId="0" fontId="2" fillId="0" borderId="0"/>
    <xf numFmtId="0" fontId="1" fillId="0" borderId="0"/>
    <xf numFmtId="0" fontId="2" fillId="0" borderId="0"/>
    <xf numFmtId="0" fontId="62" fillId="0" borderId="0"/>
    <xf numFmtId="9" fontId="6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2" fillId="0" borderId="0"/>
  </cellStyleXfs>
  <cellXfs count="928">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0" borderId="2" xfId="0" applyBorder="1" applyAlignment="1">
      <alignment horizontal="center" vertical="center"/>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7"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0" fontId="4" fillId="4" borderId="11" xfId="4" applyFont="1" applyFill="1" applyBorder="1" applyAlignment="1">
      <alignment horizontal="left"/>
    </xf>
    <xf numFmtId="1" fontId="59" fillId="0" borderId="0" xfId="0" applyNumberFormat="1" applyFont="1"/>
    <xf numFmtId="0" fontId="59"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4" fillId="0" borderId="22" xfId="0" applyFont="1" applyBorder="1"/>
    <xf numFmtId="0" fontId="64" fillId="0" borderId="0" xfId="0" applyFont="1"/>
    <xf numFmtId="0" fontId="64" fillId="3" borderId="23" xfId="0" applyFont="1" applyFill="1" applyBorder="1"/>
    <xf numFmtId="0" fontId="64" fillId="0" borderId="0" xfId="0" applyFont="1" applyAlignment="1">
      <alignment horizontal="centerContinuous"/>
    </xf>
    <xf numFmtId="0" fontId="64" fillId="3" borderId="0" xfId="0" applyFont="1" applyFill="1"/>
    <xf numFmtId="0" fontId="64"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4" fillId="3" borderId="0" xfId="0" applyFont="1" applyFill="1" applyAlignment="1">
      <alignment horizontal="centerContinuous"/>
    </xf>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31" fillId="19" borderId="10" xfId="0" applyFont="1" applyFill="1" applyBorder="1"/>
    <xf numFmtId="0" fontId="31" fillId="19" borderId="2" xfId="0" applyFont="1" applyFill="1" applyBorder="1"/>
    <xf numFmtId="0" fontId="31" fillId="19" borderId="11" xfId="0" applyFont="1" applyFill="1" applyBorder="1"/>
    <xf numFmtId="174" fontId="0" fillId="5" borderId="0" xfId="7" applyNumberFormat="1" applyFont="1" applyFill="1"/>
    <xf numFmtId="0" fontId="51" fillId="0" borderId="22" xfId="0" applyFont="1" applyBorder="1"/>
    <xf numFmtId="0" fontId="64" fillId="3" borderId="22" xfId="0" applyFont="1" applyFill="1" applyBorder="1"/>
    <xf numFmtId="0" fontId="4" fillId="3" borderId="22" xfId="4" applyFont="1" applyFill="1" applyBorder="1" applyAlignment="1">
      <alignment horizontal="center" vertical="center"/>
    </xf>
    <xf numFmtId="9" fontId="0" fillId="3" borderId="22" xfId="0" applyNumberFormat="1" applyFill="1" applyBorder="1"/>
    <xf numFmtId="9" fontId="9" fillId="3" borderId="22" xfId="0" applyNumberFormat="1" applyFont="1" applyFill="1" applyBorder="1"/>
    <xf numFmtId="2" fontId="42" fillId="3" borderId="22" xfId="2" applyNumberFormat="1" applyFont="1" applyFill="1" applyBorder="1" applyAlignment="1">
      <alignment horizontal="center" vertical="center"/>
    </xf>
    <xf numFmtId="0" fontId="4" fillId="17" borderId="2" xfId="4" applyFont="1" applyFill="1" applyBorder="1" applyAlignment="1">
      <alignment horizontal="right" vertical="center"/>
    </xf>
    <xf numFmtId="2" fontId="0" fillId="0" borderId="0" xfId="0" applyNumberFormat="1" applyAlignment="1">
      <alignment horizontal="right" vertical="center"/>
    </xf>
    <xf numFmtId="0" fontId="4" fillId="3" borderId="0" xfId="4" applyFont="1" applyFill="1" applyAlignment="1">
      <alignment horizontal="center"/>
    </xf>
    <xf numFmtId="0" fontId="4" fillId="5" borderId="11" xfId="4" applyFont="1" applyFill="1" applyBorder="1" applyAlignment="1">
      <alignment horizontal="center"/>
    </xf>
    <xf numFmtId="0" fontId="10" fillId="0" borderId="0" xfId="0" applyFont="1" applyAlignment="1">
      <alignment horizontal="center" vertical="center" wrapText="1"/>
    </xf>
    <xf numFmtId="0" fontId="10" fillId="5" borderId="11" xfId="0" applyFont="1" applyFill="1" applyBorder="1"/>
    <xf numFmtId="10" fontId="0" fillId="3" borderId="0" xfId="0" applyNumberFormat="1" applyFill="1"/>
    <xf numFmtId="0" fontId="0" fillId="3" borderId="0" xfId="0" applyFill="1" applyAlignment="1">
      <alignment horizontal="right" vertical="center"/>
    </xf>
    <xf numFmtId="0" fontId="65" fillId="0" borderId="0" xfId="0" applyFont="1" applyAlignment="1">
      <alignment horizontal="center" vertical="center"/>
    </xf>
    <xf numFmtId="0" fontId="66" fillId="5" borderId="2" xfId="4" applyFont="1" applyFill="1" applyBorder="1" applyAlignment="1">
      <alignment horizontal="center" vertical="center"/>
    </xf>
    <xf numFmtId="0" fontId="66" fillId="5" borderId="10" xfId="4" applyFont="1" applyFill="1" applyBorder="1" applyAlignment="1">
      <alignment horizontal="center" vertical="center"/>
    </xf>
    <xf numFmtId="0" fontId="66" fillId="5" borderId="2" xfId="4" applyFont="1" applyFill="1" applyBorder="1" applyAlignment="1">
      <alignment horizontal="center"/>
    </xf>
    <xf numFmtId="2" fontId="9" fillId="0" borderId="0" xfId="0" applyNumberFormat="1" applyFont="1" applyAlignment="1">
      <alignment horizontal="center" vertic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0" fillId="3" borderId="0" xfId="0" applyFont="1" applyFill="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64" fillId="0" borderId="0" xfId="0" applyFont="1" applyAlignment="1">
      <alignment horizont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xf numFmtId="0" fontId="67" fillId="5" borderId="38" xfId="0" applyFont="1" applyFill="1" applyBorder="1" applyAlignment="1">
      <alignment horizontal="center"/>
    </xf>
    <xf numFmtId="0" fontId="67" fillId="5" borderId="39" xfId="0" applyFont="1" applyFill="1" applyBorder="1" applyAlignment="1">
      <alignment horizontal="center"/>
    </xf>
    <xf numFmtId="0" fontId="67" fillId="5" borderId="40" xfId="0" applyFont="1" applyFill="1" applyBorder="1" applyAlignment="1">
      <alignment horizontal="center"/>
    </xf>
    <xf numFmtId="0" fontId="67" fillId="5" borderId="38" xfId="0" applyFont="1" applyFill="1" applyBorder="1" applyAlignment="1">
      <alignment horizontal="center" wrapText="1"/>
    </xf>
    <xf numFmtId="0" fontId="67" fillId="5" borderId="39" xfId="0" applyFont="1" applyFill="1" applyBorder="1" applyAlignment="1">
      <alignment horizontal="center" wrapText="1"/>
    </xf>
    <xf numFmtId="0" fontId="67" fillId="5" borderId="40" xfId="0" applyFont="1" applyFill="1" applyBorder="1" applyAlignment="1">
      <alignment horizontal="center" wrapText="1"/>
    </xf>
    <xf numFmtId="0" fontId="0" fillId="7" borderId="1" xfId="0" applyFill="1" applyBorder="1" applyAlignment="1">
      <alignment horizontal="center" vertical="center"/>
    </xf>
    <xf numFmtId="0" fontId="56" fillId="0" borderId="1" xfId="0" applyFont="1" applyBorder="1" applyAlignment="1">
      <alignment horizontal="center"/>
    </xf>
    <xf numFmtId="0" fontId="0" fillId="3" borderId="0" xfId="0" applyFill="1" applyBorder="1"/>
    <xf numFmtId="0" fontId="0" fillId="3" borderId="0" xfId="0" applyFill="1" applyBorder="1" applyAlignment="1">
      <alignment horizontal="center" vertic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98">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49"/>
  <sheetViews>
    <sheetView topLeftCell="A123" zoomScaleNormal="100" workbookViewId="0">
      <selection activeCell="D150" sqref="D150"/>
    </sheetView>
  </sheetViews>
  <sheetFormatPr baseColWidth="10" defaultColWidth="9.140625" defaultRowHeight="15" x14ac:dyDescent="0.25"/>
  <cols>
    <col min="1" max="1" width="9.140625" style="1"/>
    <col min="2" max="2" width="14.85546875" style="1" customWidth="1"/>
    <col min="3" max="3" width="9.140625" style="1"/>
    <col min="4" max="4" width="21.5703125" style="1" customWidth="1"/>
    <col min="5" max="5" width="43.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54" t="s">
        <v>101</v>
      </c>
      <c r="Y14" s="854"/>
      <c r="Z14" s="854"/>
      <c r="AA14" s="854"/>
      <c r="AB14" s="854"/>
      <c r="AC14" s="854"/>
      <c r="AD14" s="854"/>
      <c r="AE14" s="854"/>
      <c r="AF14" s="854"/>
    </row>
    <row r="15" spans="1:1409" x14ac:dyDescent="0.25">
      <c r="B15" s="854" t="s">
        <v>83</v>
      </c>
      <c r="C15" s="854"/>
      <c r="D15" s="854"/>
      <c r="E15" s="854"/>
      <c r="F15" s="854"/>
      <c r="G15" s="854"/>
      <c r="H15" s="854"/>
      <c r="I15" s="854"/>
      <c r="J15" s="854"/>
      <c r="M15" s="854" t="s">
        <v>84</v>
      </c>
      <c r="N15" s="854"/>
      <c r="O15" s="854"/>
      <c r="P15" s="854"/>
      <c r="Q15" s="854"/>
      <c r="R15" s="854"/>
      <c r="S15" s="854"/>
      <c r="T15" s="854"/>
      <c r="U15" s="854"/>
      <c r="AI15" s="854" t="s">
        <v>97</v>
      </c>
      <c r="AJ15" s="854"/>
      <c r="AK15" s="854"/>
      <c r="AL15" s="854"/>
      <c r="AM15" s="854"/>
      <c r="AN15" s="854"/>
      <c r="AO15" s="854"/>
      <c r="AP15" s="854"/>
      <c r="AQ15" s="854"/>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1166</v>
      </c>
      <c r="F86" s="1" t="s">
        <v>9</v>
      </c>
    </row>
    <row r="87" spans="4:6" x14ac:dyDescent="0.25">
      <c r="D87" s="1" t="str">
        <v>FLU-CAM8</v>
      </c>
      <c r="E87" s="1" t="s">
        <v>1167</v>
      </c>
      <c r="F87" s="1" t="s">
        <v>9</v>
      </c>
    </row>
    <row r="88" spans="4:6" x14ac:dyDescent="0.25">
      <c r="D88" s="1" t="str">
        <v>FLU-CAM9</v>
      </c>
      <c r="E88" s="1" t="s">
        <v>1168</v>
      </c>
      <c r="F88" s="1" t="s">
        <v>9</v>
      </c>
    </row>
    <row r="89" spans="4:6" x14ac:dyDescent="0.25">
      <c r="D89" s="1" t="str">
        <v>FLU-CAM10</v>
      </c>
      <c r="E89" s="1" t="s">
        <v>1169</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1162</v>
      </c>
      <c r="F96" s="1" t="s">
        <v>9</v>
      </c>
    </row>
    <row r="97" spans="4:6" x14ac:dyDescent="0.25">
      <c r="D97" s="1" t="str">
        <v>ELC-CAM8</v>
      </c>
      <c r="E97" s="1" t="s">
        <v>1163</v>
      </c>
      <c r="F97" s="1" t="s">
        <v>9</v>
      </c>
    </row>
    <row r="98" spans="4:6" x14ac:dyDescent="0.25">
      <c r="D98" s="1" t="str">
        <v>ELC-CAM9</v>
      </c>
      <c r="E98" s="1" t="s">
        <v>1164</v>
      </c>
      <c r="F98" s="1" t="s">
        <v>9</v>
      </c>
    </row>
    <row r="99" spans="4:6" x14ac:dyDescent="0.25">
      <c r="D99" s="1" t="str">
        <v>ELC-CAM10</v>
      </c>
      <c r="E99" s="1" t="s">
        <v>1165</v>
      </c>
      <c r="F99" s="1" t="s">
        <v>9</v>
      </c>
    </row>
    <row r="100" spans="4:6" x14ac:dyDescent="0.25">
      <c r="D100" s="1" t="s">
        <v>1299</v>
      </c>
      <c r="E100" s="1" t="s">
        <v>1327</v>
      </c>
      <c r="F100" s="1" t="s">
        <v>9</v>
      </c>
    </row>
    <row r="101" spans="4:6" x14ac:dyDescent="0.25">
      <c r="D101" s="1" t="s">
        <v>1300</v>
      </c>
      <c r="E101" s="1" t="s">
        <v>1328</v>
      </c>
      <c r="F101" s="1" t="s">
        <v>9</v>
      </c>
    </row>
    <row r="102" spans="4:6" x14ac:dyDescent="0.25">
      <c r="D102" s="1" t="s">
        <v>1301</v>
      </c>
      <c r="E102" s="1" t="s">
        <v>1329</v>
      </c>
      <c r="F102" s="1" t="s">
        <v>9</v>
      </c>
    </row>
    <row r="103" spans="4:6" x14ac:dyDescent="0.25">
      <c r="D103" s="1" t="s">
        <v>1302</v>
      </c>
      <c r="E103" s="1" t="s">
        <v>1330</v>
      </c>
      <c r="F103" s="1" t="s">
        <v>9</v>
      </c>
    </row>
    <row r="104" spans="4:6" x14ac:dyDescent="0.25">
      <c r="D104" s="1" t="s">
        <v>1303</v>
      </c>
      <c r="E104" s="1" t="s">
        <v>1331</v>
      </c>
      <c r="F104" s="1" t="s">
        <v>9</v>
      </c>
    </row>
    <row r="105" spans="4:6" x14ac:dyDescent="0.25">
      <c r="D105" s="1" t="s">
        <v>1304</v>
      </c>
      <c r="E105" s="1" t="s">
        <v>1332</v>
      </c>
      <c r="F105" s="1" t="s">
        <v>9</v>
      </c>
    </row>
    <row r="106" spans="4:6" x14ac:dyDescent="0.25">
      <c r="D106" s="1" t="s">
        <v>1305</v>
      </c>
      <c r="E106" s="1" t="s">
        <v>1333</v>
      </c>
      <c r="F106" s="1" t="s">
        <v>9</v>
      </c>
    </row>
    <row r="107" spans="4:6" x14ac:dyDescent="0.25">
      <c r="D107" s="1" t="s">
        <v>1306</v>
      </c>
      <c r="E107" s="1" t="s">
        <v>1334</v>
      </c>
      <c r="F107" s="1" t="s">
        <v>9</v>
      </c>
    </row>
    <row r="108" spans="4:6" x14ac:dyDescent="0.25">
      <c r="D108" s="1" t="s">
        <v>1307</v>
      </c>
      <c r="E108" s="1" t="s">
        <v>1335</v>
      </c>
      <c r="F108" s="1" t="s">
        <v>9</v>
      </c>
    </row>
    <row r="109" spans="4:6" x14ac:dyDescent="0.25">
      <c r="D109" s="1" t="s">
        <v>1308</v>
      </c>
      <c r="E109" s="1" t="s">
        <v>1336</v>
      </c>
      <c r="F109" s="1" t="s">
        <v>9</v>
      </c>
    </row>
    <row r="110" spans="4:6" x14ac:dyDescent="0.25">
      <c r="D110" s="1" t="s">
        <v>1309</v>
      </c>
      <c r="E110" s="1" t="s">
        <v>1337</v>
      </c>
      <c r="F110" s="1" t="s">
        <v>9</v>
      </c>
    </row>
    <row r="111" spans="4:6" x14ac:dyDescent="0.25">
      <c r="D111" s="1" t="s">
        <v>1310</v>
      </c>
      <c r="E111" s="1" t="s">
        <v>1338</v>
      </c>
      <c r="F111" s="1" t="s">
        <v>9</v>
      </c>
    </row>
    <row r="112" spans="4:6" x14ac:dyDescent="0.25">
      <c r="D112" s="1" t="s">
        <v>1311</v>
      </c>
      <c r="E112" s="1" t="s">
        <v>1339</v>
      </c>
      <c r="F112" s="1" t="s">
        <v>9</v>
      </c>
    </row>
    <row r="113" spans="4:6" x14ac:dyDescent="0.25">
      <c r="D113" s="1" t="s">
        <v>1312</v>
      </c>
      <c r="E113" s="1" t="s">
        <v>1340</v>
      </c>
      <c r="F113" s="1" t="s">
        <v>9</v>
      </c>
    </row>
    <row r="114" spans="4:6" x14ac:dyDescent="0.25">
      <c r="D114" s="1" t="s">
        <v>1246</v>
      </c>
      <c r="E114" s="1" t="s">
        <v>1253</v>
      </c>
      <c r="F114" s="1" t="s">
        <v>9</v>
      </c>
    </row>
    <row r="115" spans="4:6" x14ac:dyDescent="0.25">
      <c r="D115" s="1" t="s">
        <v>1247</v>
      </c>
      <c r="E115" s="1" t="s">
        <v>1254</v>
      </c>
      <c r="F115" s="1" t="s">
        <v>9</v>
      </c>
    </row>
    <row r="116" spans="4:6" x14ac:dyDescent="0.25">
      <c r="D116" s="1" t="s">
        <v>1248</v>
      </c>
      <c r="E116" s="1" t="s">
        <v>1255</v>
      </c>
      <c r="F116" s="1" t="s">
        <v>9</v>
      </c>
    </row>
    <row r="117" spans="4:6" x14ac:dyDescent="0.25">
      <c r="D117" s="1" t="s">
        <v>1249</v>
      </c>
      <c r="E117" s="1" t="s">
        <v>1256</v>
      </c>
      <c r="F117" s="1" t="s">
        <v>9</v>
      </c>
    </row>
    <row r="118" spans="4:6" x14ac:dyDescent="0.25">
      <c r="D118" s="1" t="s">
        <v>1250</v>
      </c>
      <c r="E118" s="1" t="s">
        <v>1257</v>
      </c>
      <c r="F118" s="1" t="s">
        <v>9</v>
      </c>
    </row>
    <row r="119" spans="4:6" x14ac:dyDescent="0.25">
      <c r="D119" s="1" t="s">
        <v>1251</v>
      </c>
      <c r="E119" s="1" t="s">
        <v>1258</v>
      </c>
      <c r="F119" s="1" t="s">
        <v>9</v>
      </c>
    </row>
    <row r="120" spans="4:6" x14ac:dyDescent="0.25">
      <c r="D120" s="1" t="s">
        <v>1252</v>
      </c>
      <c r="E120" s="1" t="s">
        <v>1259</v>
      </c>
      <c r="F120" s="1" t="s">
        <v>9</v>
      </c>
    </row>
    <row r="121" spans="4:6" x14ac:dyDescent="0.25">
      <c r="D121" s="1" t="s">
        <v>1260</v>
      </c>
      <c r="E121" s="1" t="s">
        <v>1267</v>
      </c>
      <c r="F121" s="1" t="s">
        <v>9</v>
      </c>
    </row>
    <row r="122" spans="4:6" x14ac:dyDescent="0.25">
      <c r="D122" s="1" t="s">
        <v>1261</v>
      </c>
      <c r="E122" s="1" t="s">
        <v>1268</v>
      </c>
      <c r="F122" s="1" t="s">
        <v>9</v>
      </c>
    </row>
    <row r="123" spans="4:6" x14ac:dyDescent="0.25">
      <c r="D123" s="1" t="s">
        <v>1262</v>
      </c>
      <c r="E123" s="1" t="s">
        <v>1269</v>
      </c>
      <c r="F123" s="1" t="s">
        <v>9</v>
      </c>
    </row>
    <row r="124" spans="4:6" x14ac:dyDescent="0.25">
      <c r="D124" s="1" t="s">
        <v>1263</v>
      </c>
      <c r="E124" s="1" t="s">
        <v>1270</v>
      </c>
      <c r="F124" s="1" t="s">
        <v>9</v>
      </c>
    </row>
    <row r="125" spans="4:6" x14ac:dyDescent="0.25">
      <c r="D125" s="1" t="s">
        <v>1264</v>
      </c>
      <c r="E125" s="1" t="s">
        <v>1271</v>
      </c>
      <c r="F125" s="1" t="s">
        <v>9</v>
      </c>
    </row>
    <row r="126" spans="4:6" x14ac:dyDescent="0.25">
      <c r="D126" s="1" t="s">
        <v>1265</v>
      </c>
      <c r="E126" s="1" t="s">
        <v>1272</v>
      </c>
      <c r="F126" s="1" t="s">
        <v>9</v>
      </c>
    </row>
    <row r="127" spans="4:6" x14ac:dyDescent="0.25">
      <c r="D127" s="1" t="s">
        <v>1266</v>
      </c>
      <c r="E127" s="1" t="s">
        <v>1273</v>
      </c>
      <c r="F127" s="1" t="s">
        <v>9</v>
      </c>
    </row>
    <row r="128" spans="4:6" x14ac:dyDescent="0.25">
      <c r="D128" s="1" t="str" cm="1">
        <f t="array" ref="D128:D134">+"FUEL-DSL-"&amp;B3:B9</f>
        <v>FUEL-DSL-CAM1</v>
      </c>
      <c r="E128" s="1" t="s">
        <v>1179</v>
      </c>
      <c r="F128" s="1" t="s">
        <v>9</v>
      </c>
    </row>
    <row r="129" spans="4:6" x14ac:dyDescent="0.25">
      <c r="D129" s="1" t="str">
        <v>FUEL-DSL-CAM2</v>
      </c>
      <c r="E129" s="1" t="s">
        <v>1180</v>
      </c>
      <c r="F129" s="1" t="s">
        <v>9</v>
      </c>
    </row>
    <row r="130" spans="4:6" x14ac:dyDescent="0.25">
      <c r="D130" s="1" t="str">
        <v>FUEL-DSL-CAM3</v>
      </c>
      <c r="E130" s="1" t="s">
        <v>1181</v>
      </c>
      <c r="F130" s="1" t="s">
        <v>9</v>
      </c>
    </row>
    <row r="131" spans="4:6" x14ac:dyDescent="0.25">
      <c r="D131" s="1" t="str">
        <v>FUEL-DSL-CAM4</v>
      </c>
      <c r="E131" s="1" t="s">
        <v>1182</v>
      </c>
      <c r="F131" s="1" t="s">
        <v>9</v>
      </c>
    </row>
    <row r="132" spans="4:6" x14ac:dyDescent="0.25">
      <c r="D132" s="1" t="str">
        <v>FUEL-DSL-CAM5</v>
      </c>
      <c r="E132" s="1" t="s">
        <v>1183</v>
      </c>
      <c r="F132" s="1" t="s">
        <v>9</v>
      </c>
    </row>
    <row r="133" spans="4:6" x14ac:dyDescent="0.25">
      <c r="D133" s="1" t="str">
        <v>FUEL-DSL-CAM6</v>
      </c>
      <c r="E133" s="1" t="s">
        <v>1184</v>
      </c>
      <c r="F133" s="1" t="s">
        <v>9</v>
      </c>
    </row>
    <row r="134" spans="4:6" x14ac:dyDescent="0.25">
      <c r="D134" s="1" t="str">
        <v>FUEL-DSL-CAM7</v>
      </c>
      <c r="E134" s="1" t="s">
        <v>1185</v>
      </c>
      <c r="F134" s="1" t="s">
        <v>9</v>
      </c>
    </row>
    <row r="135" spans="4:6" x14ac:dyDescent="0.25">
      <c r="D135" s="1" t="str">
        <f>+'1. EXP_IMP'!J51</f>
        <v>ELC-SIN</v>
      </c>
      <c r="E135" s="1" t="s">
        <v>1228</v>
      </c>
      <c r="F135" s="1" t="s">
        <v>9</v>
      </c>
    </row>
    <row r="136" spans="4:6" x14ac:dyDescent="0.25">
      <c r="D136" s="1" t="str" cm="1">
        <f t="array" ref="D136:D142">+"ELC-COL-"&amp;B3:B9</f>
        <v>ELC-COL-CAM1</v>
      </c>
      <c r="E136" s="1" t="s">
        <v>1276</v>
      </c>
      <c r="F136" s="1" t="s">
        <v>9</v>
      </c>
    </row>
    <row r="137" spans="4:6" x14ac:dyDescent="0.25">
      <c r="D137" s="1" t="str">
        <v>ELC-COL-CAM2</v>
      </c>
      <c r="E137" s="1" t="s">
        <v>1277</v>
      </c>
      <c r="F137" s="1" t="s">
        <v>9</v>
      </c>
    </row>
    <row r="138" spans="4:6" x14ac:dyDescent="0.25">
      <c r="D138" s="1" t="str">
        <v>ELC-COL-CAM3</v>
      </c>
      <c r="E138" s="1" t="s">
        <v>1278</v>
      </c>
      <c r="F138" s="1" t="s">
        <v>9</v>
      </c>
    </row>
    <row r="139" spans="4:6" x14ac:dyDescent="0.25">
      <c r="D139" s="1" t="str">
        <v>ELC-COL-CAM4</v>
      </c>
      <c r="E139" s="1" t="s">
        <v>1279</v>
      </c>
      <c r="F139" s="1" t="s">
        <v>9</v>
      </c>
    </row>
    <row r="140" spans="4:6" x14ac:dyDescent="0.25">
      <c r="D140" s="1" t="str">
        <v>ELC-COL-CAM5</v>
      </c>
      <c r="E140" s="1" t="s">
        <v>1280</v>
      </c>
      <c r="F140" s="1" t="s">
        <v>9</v>
      </c>
    </row>
    <row r="141" spans="4:6" x14ac:dyDescent="0.25">
      <c r="D141" s="1" t="str">
        <v>ELC-COL-CAM6</v>
      </c>
      <c r="E141" s="1" t="s">
        <v>1281</v>
      </c>
      <c r="F141" s="1" t="s">
        <v>9</v>
      </c>
    </row>
    <row r="142" spans="4:6" x14ac:dyDescent="0.25">
      <c r="D142" s="1" t="str">
        <v>ELC-COL-CAM7</v>
      </c>
      <c r="E142" s="1" t="s">
        <v>1282</v>
      </c>
      <c r="F142" s="1" t="s">
        <v>9</v>
      </c>
    </row>
    <row r="143" spans="4:6" x14ac:dyDescent="0.25">
      <c r="D143" s="1" t="s">
        <v>1341</v>
      </c>
      <c r="E143" s="1" t="s">
        <v>1342</v>
      </c>
      <c r="F143" s="1" t="s">
        <v>9</v>
      </c>
    </row>
    <row r="144" spans="4:6" x14ac:dyDescent="0.25">
      <c r="D144" s="1" t="s">
        <v>1343</v>
      </c>
      <c r="E144" s="1" t="s">
        <v>1344</v>
      </c>
      <c r="F144" s="1" t="s">
        <v>9</v>
      </c>
    </row>
    <row r="145" spans="4:6" x14ac:dyDescent="0.25">
      <c r="D145" s="1" t="s">
        <v>1345</v>
      </c>
      <c r="E145" s="1" t="s">
        <v>1346</v>
      </c>
      <c r="F145" s="1" t="s">
        <v>9</v>
      </c>
    </row>
    <row r="146" spans="4:6" x14ac:dyDescent="0.25">
      <c r="D146" s="1" t="s">
        <v>1347</v>
      </c>
      <c r="E146" s="1" t="s">
        <v>1348</v>
      </c>
      <c r="F146" s="1" t="s">
        <v>9</v>
      </c>
    </row>
    <row r="147" spans="4:6" x14ac:dyDescent="0.25">
      <c r="D147" s="1" t="s">
        <v>1349</v>
      </c>
      <c r="E147" s="1" t="s">
        <v>1350</v>
      </c>
      <c r="F147" s="1" t="s">
        <v>9</v>
      </c>
    </row>
    <row r="148" spans="4:6" x14ac:dyDescent="0.25">
      <c r="D148" s="1" t="s">
        <v>1351</v>
      </c>
      <c r="E148" s="1" t="s">
        <v>1352</v>
      </c>
      <c r="F148" s="1" t="s">
        <v>9</v>
      </c>
    </row>
    <row r="149" spans="4:6" x14ac:dyDescent="0.25">
      <c r="D149" s="1" t="s">
        <v>1353</v>
      </c>
      <c r="E149" s="1" t="s">
        <v>1354</v>
      </c>
      <c r="F149"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50"/>
  <sheetViews>
    <sheetView showGridLines="0" topLeftCell="F85" zoomScale="85" zoomScaleNormal="85" workbookViewId="0">
      <selection activeCell="O92" sqref="O92:O98"/>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4.140625" customWidth="1"/>
    <col min="15" max="15" width="61.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55" t="s">
        <v>119</v>
      </c>
      <c r="C18" s="855"/>
      <c r="D18" s="855"/>
      <c r="E18" s="855"/>
      <c r="F18" s="855"/>
      <c r="G18" s="855"/>
      <c r="H18" s="855"/>
      <c r="I18" s="855"/>
      <c r="J18" s="855"/>
      <c r="L18" s="855" t="s">
        <v>124</v>
      </c>
      <c r="M18" s="855"/>
      <c r="N18" s="855"/>
      <c r="O18" s="855"/>
      <c r="P18" s="855"/>
      <c r="Q18" s="855"/>
      <c r="R18" s="855"/>
      <c r="S18" s="855"/>
      <c r="T18" s="855"/>
      <c r="V18" s="855" t="s">
        <v>121</v>
      </c>
      <c r="W18" s="855"/>
      <c r="X18" s="855"/>
      <c r="Y18" s="855"/>
      <c r="Z18" s="855"/>
      <c r="AA18" s="855"/>
      <c r="AB18" s="855"/>
      <c r="AC18" s="855"/>
      <c r="AD18" s="855"/>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1170</v>
      </c>
      <c r="P70" t="s">
        <v>9</v>
      </c>
      <c r="Q70" t="s">
        <v>42</v>
      </c>
    </row>
    <row r="71" spans="14:17" x14ac:dyDescent="0.25">
      <c r="N71" t="str">
        <v>SEP-CAM8</v>
      </c>
      <c r="O71" t="s">
        <v>1171</v>
      </c>
      <c r="P71" t="s">
        <v>9</v>
      </c>
      <c r="Q71" t="s">
        <v>42</v>
      </c>
    </row>
    <row r="72" spans="14:17" x14ac:dyDescent="0.25">
      <c r="N72" t="str">
        <v>SEP-CAM9</v>
      </c>
      <c r="O72" t="s">
        <v>1172</v>
      </c>
      <c r="P72" t="s">
        <v>9</v>
      </c>
      <c r="Q72" t="s">
        <v>42</v>
      </c>
    </row>
    <row r="73" spans="14:17" x14ac:dyDescent="0.25">
      <c r="N73" t="str">
        <v>SEP-CAM10</v>
      </c>
      <c r="O73" t="s">
        <v>1173</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1174</v>
      </c>
      <c r="O84" t="s">
        <v>1175</v>
      </c>
      <c r="P84" t="s">
        <v>9</v>
      </c>
      <c r="Q84" t="s">
        <v>42</v>
      </c>
    </row>
    <row r="85" spans="14:17" x14ac:dyDescent="0.25">
      <c r="N85" s="530" t="s">
        <v>965</v>
      </c>
      <c r="O85" s="417" t="s">
        <v>1394</v>
      </c>
      <c r="P85" t="s">
        <v>9</v>
      </c>
      <c r="Q85" t="s">
        <v>42</v>
      </c>
    </row>
    <row r="86" spans="14:17" x14ac:dyDescent="0.25">
      <c r="N86" s="530" t="s">
        <v>966</v>
      </c>
      <c r="O86" s="417" t="s">
        <v>1395</v>
      </c>
      <c r="P86" t="s">
        <v>9</v>
      </c>
      <c r="Q86" t="s">
        <v>42</v>
      </c>
    </row>
    <row r="87" spans="14:17" x14ac:dyDescent="0.25">
      <c r="N87" s="530" t="s">
        <v>967</v>
      </c>
      <c r="O87" s="417" t="s">
        <v>1396</v>
      </c>
      <c r="P87" t="s">
        <v>9</v>
      </c>
      <c r="Q87" t="s">
        <v>42</v>
      </c>
    </row>
    <row r="88" spans="14:17" x14ac:dyDescent="0.25">
      <c r="N88" s="530" t="s">
        <v>968</v>
      </c>
      <c r="O88" s="417" t="s">
        <v>1397</v>
      </c>
      <c r="P88" t="s">
        <v>9</v>
      </c>
      <c r="Q88" t="s">
        <v>42</v>
      </c>
    </row>
    <row r="89" spans="14:17" x14ac:dyDescent="0.25">
      <c r="N89" s="530" t="s">
        <v>969</v>
      </c>
      <c r="O89" s="417" t="s">
        <v>1398</v>
      </c>
      <c r="P89" t="s">
        <v>9</v>
      </c>
      <c r="Q89" t="s">
        <v>42</v>
      </c>
    </row>
    <row r="90" spans="14:17" x14ac:dyDescent="0.25">
      <c r="N90" s="530" t="s">
        <v>970</v>
      </c>
      <c r="O90" s="417" t="s">
        <v>1399</v>
      </c>
      <c r="P90" t="s">
        <v>9</v>
      </c>
      <c r="Q90" t="s">
        <v>42</v>
      </c>
    </row>
    <row r="91" spans="14:17" x14ac:dyDescent="0.25">
      <c r="N91" s="530" t="s">
        <v>1227</v>
      </c>
      <c r="O91" s="417" t="s">
        <v>1400</v>
      </c>
      <c r="P91" t="s">
        <v>9</v>
      </c>
      <c r="Q91" t="s">
        <v>42</v>
      </c>
    </row>
    <row r="92" spans="14:17" x14ac:dyDescent="0.25">
      <c r="N92" s="848" t="s">
        <v>1401</v>
      </c>
      <c r="O92" s="1" t="s">
        <v>1408</v>
      </c>
      <c r="P92" t="s">
        <v>9</v>
      </c>
      <c r="Q92" t="s">
        <v>42</v>
      </c>
    </row>
    <row r="93" spans="14:17" x14ac:dyDescent="0.25">
      <c r="N93" s="848" t="s">
        <v>1402</v>
      </c>
      <c r="O93" s="1" t="s">
        <v>1409</v>
      </c>
      <c r="P93" t="s">
        <v>9</v>
      </c>
      <c r="Q93" t="s">
        <v>42</v>
      </c>
    </row>
    <row r="94" spans="14:17" x14ac:dyDescent="0.25">
      <c r="N94" s="848" t="s">
        <v>1403</v>
      </c>
      <c r="O94" s="1" t="s">
        <v>1410</v>
      </c>
      <c r="P94" t="s">
        <v>9</v>
      </c>
      <c r="Q94" t="s">
        <v>42</v>
      </c>
    </row>
    <row r="95" spans="14:17" x14ac:dyDescent="0.25">
      <c r="N95" s="848" t="s">
        <v>1404</v>
      </c>
      <c r="O95" s="1" t="s">
        <v>1411</v>
      </c>
      <c r="P95" t="s">
        <v>9</v>
      </c>
      <c r="Q95" t="s">
        <v>42</v>
      </c>
    </row>
    <row r="96" spans="14:17" x14ac:dyDescent="0.25">
      <c r="N96" s="848" t="s">
        <v>1405</v>
      </c>
      <c r="O96" s="1" t="s">
        <v>1412</v>
      </c>
      <c r="P96" t="s">
        <v>9</v>
      </c>
      <c r="Q96" t="s">
        <v>42</v>
      </c>
    </row>
    <row r="97" spans="14:17" x14ac:dyDescent="0.25">
      <c r="N97" s="848" t="s">
        <v>1406</v>
      </c>
      <c r="O97" s="1" t="s">
        <v>1413</v>
      </c>
      <c r="P97" t="s">
        <v>9</v>
      </c>
      <c r="Q97" t="s">
        <v>42</v>
      </c>
    </row>
    <row r="98" spans="14:17" x14ac:dyDescent="0.25">
      <c r="N98" s="848" t="s">
        <v>1407</v>
      </c>
      <c r="O98" s="1" t="s">
        <v>1414</v>
      </c>
      <c r="P98" t="s">
        <v>9</v>
      </c>
      <c r="Q98" t="s">
        <v>42</v>
      </c>
    </row>
    <row r="99" spans="14:17" x14ac:dyDescent="0.25">
      <c r="N99" s="671" t="str" cm="1">
        <f t="array" ref="N99:N105">+"COL-GAS-"&amp;B4:B10</f>
        <v>COL-GAS-CAM1</v>
      </c>
      <c r="O99" s="71" t="s">
        <v>1074</v>
      </c>
      <c r="P99" s="71" t="s">
        <v>9</v>
      </c>
      <c r="Q99" s="71" t="s">
        <v>184</v>
      </c>
    </row>
    <row r="100" spans="14:17" x14ac:dyDescent="0.25">
      <c r="N100" s="71" t="str">
        <v>COL-GAS-CAM2</v>
      </c>
      <c r="O100" s="71" t="s">
        <v>1075</v>
      </c>
      <c r="P100" s="71" t="s">
        <v>9</v>
      </c>
      <c r="Q100" s="71" t="s">
        <v>184</v>
      </c>
    </row>
    <row r="101" spans="14:17" x14ac:dyDescent="0.25">
      <c r="N101" s="71" t="str">
        <v>COL-GAS-CAM3</v>
      </c>
      <c r="O101" s="71" t="s">
        <v>1076</v>
      </c>
      <c r="P101" s="71" t="s">
        <v>9</v>
      </c>
      <c r="Q101" s="71" t="s">
        <v>184</v>
      </c>
    </row>
    <row r="102" spans="14:17" x14ac:dyDescent="0.25">
      <c r="N102" s="71" t="str">
        <v>COL-GAS-CAM4</v>
      </c>
      <c r="O102" s="71" t="s">
        <v>1077</v>
      </c>
      <c r="P102" s="71" t="s">
        <v>9</v>
      </c>
      <c r="Q102" s="71" t="s">
        <v>184</v>
      </c>
    </row>
    <row r="103" spans="14:17" x14ac:dyDescent="0.25">
      <c r="N103" s="71" t="str">
        <v>COL-GAS-CAM5</v>
      </c>
      <c r="O103" s="71" t="s">
        <v>1078</v>
      </c>
      <c r="P103" s="71" t="s">
        <v>9</v>
      </c>
      <c r="Q103" s="71" t="s">
        <v>184</v>
      </c>
    </row>
    <row r="104" spans="14:17" x14ac:dyDescent="0.25">
      <c r="N104" s="71" t="str">
        <v>COL-GAS-CAM6</v>
      </c>
      <c r="O104" s="71" t="s">
        <v>1079</v>
      </c>
      <c r="P104" s="71" t="s">
        <v>9</v>
      </c>
      <c r="Q104" s="71" t="s">
        <v>184</v>
      </c>
    </row>
    <row r="105" spans="14:17" x14ac:dyDescent="0.25">
      <c r="N105" s="71" t="str">
        <v>COL-GAS-CAM7</v>
      </c>
      <c r="O105" s="71" t="s">
        <v>1176</v>
      </c>
      <c r="P105" s="71" t="s">
        <v>9</v>
      </c>
      <c r="Q105" s="71" t="s">
        <v>184</v>
      </c>
    </row>
    <row r="106" spans="14:17" x14ac:dyDescent="0.25">
      <c r="N106" t="s">
        <v>1365</v>
      </c>
      <c r="O106" s="71" t="s">
        <v>1381</v>
      </c>
      <c r="P106" s="71" t="s">
        <v>9</v>
      </c>
      <c r="Q106" s="71" t="s">
        <v>42</v>
      </c>
    </row>
    <row r="107" spans="14:17" x14ac:dyDescent="0.25">
      <c r="N107" t="s">
        <v>1364</v>
      </c>
      <c r="O107" s="71" t="s">
        <v>1382</v>
      </c>
      <c r="P107" s="71" t="s">
        <v>9</v>
      </c>
      <c r="Q107" s="71" t="s">
        <v>42</v>
      </c>
    </row>
    <row r="108" spans="14:17" x14ac:dyDescent="0.25">
      <c r="N108" t="s">
        <v>1366</v>
      </c>
      <c r="O108" s="71" t="s">
        <v>1383</v>
      </c>
      <c r="P108" s="71" t="s">
        <v>9</v>
      </c>
      <c r="Q108" s="71" t="s">
        <v>42</v>
      </c>
    </row>
    <row r="109" spans="14:17" x14ac:dyDescent="0.25">
      <c r="N109" t="s">
        <v>1367</v>
      </c>
      <c r="O109" s="71" t="s">
        <v>1384</v>
      </c>
      <c r="P109" s="71" t="s">
        <v>9</v>
      </c>
      <c r="Q109" s="71" t="s">
        <v>42</v>
      </c>
    </row>
    <row r="110" spans="14:17" x14ac:dyDescent="0.25">
      <c r="N110" t="s">
        <v>1368</v>
      </c>
      <c r="O110" s="71" t="s">
        <v>1385</v>
      </c>
      <c r="P110" s="71" t="s">
        <v>9</v>
      </c>
      <c r="Q110" s="71" t="s">
        <v>42</v>
      </c>
    </row>
    <row r="111" spans="14:17" x14ac:dyDescent="0.25">
      <c r="N111" t="s">
        <v>1369</v>
      </c>
      <c r="O111" s="71" t="s">
        <v>1386</v>
      </c>
      <c r="P111" s="71" t="s">
        <v>9</v>
      </c>
      <c r="Q111" s="71" t="s">
        <v>42</v>
      </c>
    </row>
    <row r="112" spans="14:17" x14ac:dyDescent="0.25">
      <c r="N112" t="s">
        <v>1370</v>
      </c>
      <c r="O112" s="71" t="s">
        <v>1387</v>
      </c>
      <c r="P112" s="71" t="s">
        <v>9</v>
      </c>
      <c r="Q112" s="71" t="s">
        <v>42</v>
      </c>
    </row>
    <row r="113" spans="13:20" x14ac:dyDescent="0.25">
      <c r="N113" t="s">
        <v>1371</v>
      </c>
      <c r="O113" s="71" t="s">
        <v>1388</v>
      </c>
      <c r="P113" s="71" t="s">
        <v>9</v>
      </c>
      <c r="Q113" s="71" t="s">
        <v>42</v>
      </c>
    </row>
    <row r="114" spans="13:20" x14ac:dyDescent="0.25">
      <c r="N114" t="s">
        <v>1372</v>
      </c>
      <c r="O114" s="71" t="s">
        <v>1389</v>
      </c>
      <c r="P114" s="71" t="s">
        <v>9</v>
      </c>
      <c r="Q114" s="71" t="s">
        <v>42</v>
      </c>
    </row>
    <row r="115" spans="13:20" x14ac:dyDescent="0.25">
      <c r="N115" t="s">
        <v>1373</v>
      </c>
      <c r="O115" s="71" t="s">
        <v>1390</v>
      </c>
      <c r="P115" s="71" t="s">
        <v>9</v>
      </c>
      <c r="Q115" s="71" t="s">
        <v>42</v>
      </c>
    </row>
    <row r="116" spans="13:20" x14ac:dyDescent="0.25">
      <c r="N116" t="s">
        <v>1285</v>
      </c>
      <c r="O116" s="71" t="s">
        <v>1313</v>
      </c>
      <c r="P116" s="71" t="s">
        <v>9</v>
      </c>
      <c r="Q116" s="71" t="s">
        <v>42</v>
      </c>
    </row>
    <row r="117" spans="13:20" x14ac:dyDescent="0.25">
      <c r="N117" t="s">
        <v>1286</v>
      </c>
      <c r="O117" s="71" t="s">
        <v>1314</v>
      </c>
      <c r="P117" s="71" t="s">
        <v>9</v>
      </c>
      <c r="Q117" s="71" t="s">
        <v>42</v>
      </c>
    </row>
    <row r="118" spans="13:20" x14ac:dyDescent="0.25">
      <c r="N118" t="s">
        <v>1287</v>
      </c>
      <c r="O118" s="71" t="s">
        <v>1315</v>
      </c>
      <c r="P118" s="71" t="s">
        <v>9</v>
      </c>
      <c r="Q118" s="71" t="s">
        <v>42</v>
      </c>
    </row>
    <row r="119" spans="13:20" x14ac:dyDescent="0.25">
      <c r="N119" t="s">
        <v>1288</v>
      </c>
      <c r="O119" s="71" t="s">
        <v>1316</v>
      </c>
      <c r="P119" s="71" t="s">
        <v>9</v>
      </c>
      <c r="Q119" s="71" t="s">
        <v>42</v>
      </c>
    </row>
    <row r="120" spans="13:20" x14ac:dyDescent="0.25">
      <c r="N120" t="s">
        <v>1289</v>
      </c>
      <c r="O120" s="71" t="s">
        <v>1317</v>
      </c>
      <c r="P120" s="71" t="s">
        <v>9</v>
      </c>
      <c r="Q120" s="71" t="s">
        <v>42</v>
      </c>
    </row>
    <row r="121" spans="13:20" x14ac:dyDescent="0.25">
      <c r="N121" t="s">
        <v>1290</v>
      </c>
      <c r="O121" s="71" t="s">
        <v>1318</v>
      </c>
      <c r="P121" s="71" t="s">
        <v>9</v>
      </c>
      <c r="Q121" s="71" t="s">
        <v>42</v>
      </c>
    </row>
    <row r="122" spans="13:20" x14ac:dyDescent="0.25">
      <c r="N122" t="s">
        <v>1291</v>
      </c>
      <c r="O122" s="71" t="s">
        <v>1319</v>
      </c>
      <c r="P122" s="71" t="s">
        <v>9</v>
      </c>
      <c r="Q122" s="71" t="s">
        <v>42</v>
      </c>
    </row>
    <row r="123" spans="13:20" x14ac:dyDescent="0.25">
      <c r="N123" t="s">
        <v>1292</v>
      </c>
      <c r="O123" s="71" t="s">
        <v>1320</v>
      </c>
      <c r="P123" s="71" t="s">
        <v>9</v>
      </c>
      <c r="Q123" s="71" t="s">
        <v>42</v>
      </c>
    </row>
    <row r="124" spans="13:20" x14ac:dyDescent="0.25">
      <c r="N124" t="s">
        <v>1293</v>
      </c>
      <c r="O124" s="71" t="s">
        <v>1321</v>
      </c>
      <c r="P124" s="71" t="s">
        <v>9</v>
      </c>
      <c r="Q124" s="71" t="s">
        <v>42</v>
      </c>
    </row>
    <row r="125" spans="13:20" x14ac:dyDescent="0.25">
      <c r="N125" t="s">
        <v>1294</v>
      </c>
      <c r="O125" s="71" t="s">
        <v>1322</v>
      </c>
      <c r="P125" s="71" t="s">
        <v>9</v>
      </c>
      <c r="Q125" s="71" t="s">
        <v>42</v>
      </c>
    </row>
    <row r="126" spans="13:20" x14ac:dyDescent="0.25">
      <c r="N126" t="s">
        <v>1295</v>
      </c>
      <c r="O126" s="71" t="s">
        <v>1323</v>
      </c>
      <c r="P126" s="71" t="s">
        <v>9</v>
      </c>
      <c r="Q126" s="71" t="s">
        <v>42</v>
      </c>
      <c r="R126" s="1"/>
    </row>
    <row r="127" spans="13:20" x14ac:dyDescent="0.25">
      <c r="N127" t="s">
        <v>1296</v>
      </c>
      <c r="O127" s="71" t="s">
        <v>1324</v>
      </c>
      <c r="P127" s="71" t="s">
        <v>9</v>
      </c>
      <c r="Q127" s="71" t="s">
        <v>42</v>
      </c>
      <c r="R127" s="1"/>
    </row>
    <row r="128" spans="13:20" x14ac:dyDescent="0.25">
      <c r="M128" s="1"/>
      <c r="N128" t="s">
        <v>1297</v>
      </c>
      <c r="O128" s="71" t="s">
        <v>1325</v>
      </c>
      <c r="P128" s="71" t="s">
        <v>9</v>
      </c>
      <c r="Q128" s="71" t="s">
        <v>42</v>
      </c>
      <c r="R128" s="1"/>
      <c r="S128" s="1"/>
      <c r="T128" s="1"/>
    </row>
    <row r="129" spans="13:20" x14ac:dyDescent="0.25">
      <c r="M129" s="1"/>
      <c r="N129" t="s">
        <v>1298</v>
      </c>
      <c r="O129" s="71" t="s">
        <v>1326</v>
      </c>
      <c r="P129" s="71" t="s">
        <v>9</v>
      </c>
      <c r="Q129" s="71" t="s">
        <v>42</v>
      </c>
      <c r="R129" s="1"/>
      <c r="S129" s="1"/>
      <c r="T129" s="1"/>
    </row>
    <row r="130" spans="13:20" x14ac:dyDescent="0.25">
      <c r="M130" s="1"/>
      <c r="N130" t="str" cm="1">
        <f t="array" ref="N130:N136">+"FTE-FUEL-GAS-"&amp;B4:B10</f>
        <v>FTE-FUEL-GAS-CAM1</v>
      </c>
      <c r="O130" s="71" t="s">
        <v>1232</v>
      </c>
      <c r="P130" s="71" t="s">
        <v>9</v>
      </c>
      <c r="Q130" s="71" t="s">
        <v>42</v>
      </c>
      <c r="R130" s="1"/>
      <c r="S130" s="1"/>
      <c r="T130" s="1"/>
    </row>
    <row r="131" spans="13:20" x14ac:dyDescent="0.25">
      <c r="M131" s="1"/>
      <c r="N131" t="str">
        <v>FTE-FUEL-GAS-CAM2</v>
      </c>
      <c r="O131" s="71" t="s">
        <v>1233</v>
      </c>
      <c r="P131" s="71" t="s">
        <v>9</v>
      </c>
      <c r="Q131" s="71" t="s">
        <v>42</v>
      </c>
      <c r="R131" s="1"/>
      <c r="S131" s="1"/>
      <c r="T131" s="1"/>
    </row>
    <row r="132" spans="13:20" x14ac:dyDescent="0.25">
      <c r="M132" s="1"/>
      <c r="N132" t="str">
        <v>FTE-FUEL-GAS-CAM3</v>
      </c>
      <c r="O132" s="71" t="s">
        <v>1234</v>
      </c>
      <c r="P132" s="71" t="s">
        <v>9</v>
      </c>
      <c r="Q132" s="71" t="s">
        <v>42</v>
      </c>
      <c r="R132" s="1"/>
      <c r="S132" s="1"/>
      <c r="T132" s="1"/>
    </row>
    <row r="133" spans="13:20" x14ac:dyDescent="0.25">
      <c r="M133" s="1"/>
      <c r="N133" t="str">
        <v>FTE-FUEL-GAS-CAM4</v>
      </c>
      <c r="O133" s="71" t="s">
        <v>1235</v>
      </c>
      <c r="P133" s="71" t="s">
        <v>9</v>
      </c>
      <c r="Q133" s="71" t="s">
        <v>42</v>
      </c>
      <c r="R133" s="1"/>
      <c r="S133" s="1"/>
      <c r="T133" s="1"/>
    </row>
    <row r="134" spans="13:20" x14ac:dyDescent="0.25">
      <c r="M134" s="1"/>
      <c r="N134" t="str">
        <v>FTE-FUEL-GAS-CAM5</v>
      </c>
      <c r="O134" s="71" t="s">
        <v>1236</v>
      </c>
      <c r="P134" s="71" t="s">
        <v>9</v>
      </c>
      <c r="Q134" s="71" t="s">
        <v>42</v>
      </c>
      <c r="R134" s="1"/>
      <c r="S134" s="1"/>
      <c r="T134" s="1"/>
    </row>
    <row r="135" spans="13:20" x14ac:dyDescent="0.25">
      <c r="M135" s="1"/>
      <c r="N135" t="str">
        <v>FTE-FUEL-GAS-CAM6</v>
      </c>
      <c r="O135" s="71" t="s">
        <v>1237</v>
      </c>
      <c r="P135" s="71" t="s">
        <v>9</v>
      </c>
      <c r="Q135" s="71" t="s">
        <v>42</v>
      </c>
      <c r="R135" s="1"/>
      <c r="S135" s="1"/>
      <c r="T135" s="1"/>
    </row>
    <row r="136" spans="13:20" x14ac:dyDescent="0.25">
      <c r="M136" s="1"/>
      <c r="N136" t="str">
        <v>FTE-FUEL-GAS-CAM7</v>
      </c>
      <c r="O136" s="71" t="s">
        <v>1238</v>
      </c>
      <c r="P136" s="71" t="s">
        <v>9</v>
      </c>
      <c r="Q136" s="71" t="s">
        <v>42</v>
      </c>
      <c r="R136" s="1"/>
      <c r="S136" s="1"/>
      <c r="T136" s="1"/>
    </row>
    <row r="137" spans="13:20" x14ac:dyDescent="0.25">
      <c r="M137" s="1"/>
      <c r="N137" t="str" cm="1">
        <f t="array" ref="N137:N143">+"FTE-FUEL-DSL-"&amp;$B$4:$B$10</f>
        <v>FTE-FUEL-DSL-CAM1</v>
      </c>
      <c r="O137" s="71" t="s">
        <v>1239</v>
      </c>
      <c r="P137" s="71" t="s">
        <v>9</v>
      </c>
      <c r="Q137" s="71" t="s">
        <v>42</v>
      </c>
      <c r="R137" s="1"/>
      <c r="S137" s="1"/>
      <c r="T137" s="1"/>
    </row>
    <row r="138" spans="13:20" x14ac:dyDescent="0.25">
      <c r="M138" s="1"/>
      <c r="N138" t="str">
        <v>FTE-FUEL-DSL-CAM2</v>
      </c>
      <c r="O138" s="71" t="s">
        <v>1240</v>
      </c>
      <c r="P138" s="71" t="s">
        <v>9</v>
      </c>
      <c r="Q138" s="71" t="s">
        <v>42</v>
      </c>
      <c r="R138" s="1"/>
      <c r="S138" s="1"/>
      <c r="T138" s="1"/>
    </row>
    <row r="139" spans="13:20" x14ac:dyDescent="0.25">
      <c r="M139" s="1"/>
      <c r="N139" t="str">
        <v>FTE-FUEL-DSL-CAM3</v>
      </c>
      <c r="O139" s="71" t="s">
        <v>1241</v>
      </c>
      <c r="P139" s="71" t="s">
        <v>9</v>
      </c>
      <c r="Q139" s="71" t="s">
        <v>42</v>
      </c>
      <c r="S139" s="1"/>
      <c r="T139" s="1"/>
    </row>
    <row r="140" spans="13:20" x14ac:dyDescent="0.25">
      <c r="M140" s="1"/>
      <c r="N140" t="str">
        <v>FTE-FUEL-DSL-CAM4</v>
      </c>
      <c r="O140" s="71" t="s">
        <v>1242</v>
      </c>
      <c r="P140" s="71" t="s">
        <v>9</v>
      </c>
      <c r="Q140" s="71" t="s">
        <v>42</v>
      </c>
      <c r="S140" s="1"/>
      <c r="T140" s="1"/>
    </row>
    <row r="141" spans="13:20" x14ac:dyDescent="0.25">
      <c r="N141" t="str">
        <v>FTE-FUEL-DSL-CAM5</v>
      </c>
      <c r="O141" s="71" t="s">
        <v>1243</v>
      </c>
      <c r="P141" s="71" t="s">
        <v>9</v>
      </c>
      <c r="Q141" s="71" t="s">
        <v>42</v>
      </c>
    </row>
    <row r="142" spans="13:20" x14ac:dyDescent="0.25">
      <c r="N142" t="str">
        <v>FTE-FUEL-DSL-CAM6</v>
      </c>
      <c r="O142" s="71" t="s">
        <v>1244</v>
      </c>
      <c r="P142" s="71" t="s">
        <v>9</v>
      </c>
      <c r="Q142" s="71" t="s">
        <v>42</v>
      </c>
    </row>
    <row r="143" spans="13:20" x14ac:dyDescent="0.25">
      <c r="N143" t="str">
        <v>FTE-FUEL-DSL-CAM7</v>
      </c>
      <c r="O143" s="71" t="s">
        <v>1245</v>
      </c>
      <c r="P143" s="71" t="s">
        <v>9</v>
      </c>
      <c r="Q143" s="71" t="s">
        <v>42</v>
      </c>
    </row>
    <row r="144" spans="13:20" x14ac:dyDescent="0.25">
      <c r="N144" t="str" cm="1">
        <f t="array" ref="N144:N150">+"FTE-FUEL-OIL-"&amp;$B$4:$B$10</f>
        <v>FTE-FUEL-OIL-CAM1</v>
      </c>
      <c r="O144" s="71" t="s">
        <v>1374</v>
      </c>
      <c r="P144" s="71" t="s">
        <v>9</v>
      </c>
      <c r="Q144" s="71" t="s">
        <v>42</v>
      </c>
    </row>
    <row r="145" spans="14:17" x14ac:dyDescent="0.25">
      <c r="N145" t="str">
        <v>FTE-FUEL-OIL-CAM2</v>
      </c>
      <c r="O145" s="71" t="s">
        <v>1375</v>
      </c>
      <c r="P145" s="71" t="s">
        <v>9</v>
      </c>
      <c r="Q145" s="71" t="s">
        <v>42</v>
      </c>
    </row>
    <row r="146" spans="14:17" x14ac:dyDescent="0.25">
      <c r="N146" t="str">
        <v>FTE-FUEL-OIL-CAM3</v>
      </c>
      <c r="O146" s="71" t="s">
        <v>1376</v>
      </c>
      <c r="P146" s="71" t="s">
        <v>9</v>
      </c>
      <c r="Q146" s="71" t="s">
        <v>42</v>
      </c>
    </row>
    <row r="147" spans="14:17" x14ac:dyDescent="0.25">
      <c r="N147" s="1" t="str">
        <v>FTE-FUEL-OIL-CAM4</v>
      </c>
      <c r="O147" s="71" t="s">
        <v>1377</v>
      </c>
      <c r="P147" s="71" t="s">
        <v>9</v>
      </c>
      <c r="Q147" s="71" t="s">
        <v>42</v>
      </c>
    </row>
    <row r="148" spans="14:17" x14ac:dyDescent="0.25">
      <c r="N148" s="1" t="str">
        <v>FTE-FUEL-OIL-CAM5</v>
      </c>
      <c r="O148" s="71" t="s">
        <v>1378</v>
      </c>
      <c r="P148" s="71" t="s">
        <v>9</v>
      </c>
      <c r="Q148" s="71" t="s">
        <v>42</v>
      </c>
    </row>
    <row r="149" spans="14:17" x14ac:dyDescent="0.25">
      <c r="N149" s="1" t="str">
        <v>FTE-FUEL-OIL-CAM6</v>
      </c>
      <c r="O149" s="71" t="s">
        <v>1379</v>
      </c>
      <c r="P149" s="71" t="s">
        <v>9</v>
      </c>
      <c r="Q149" s="71" t="s">
        <v>42</v>
      </c>
    </row>
    <row r="150" spans="14:17" x14ac:dyDescent="0.25">
      <c r="N150" s="1" t="str">
        <v>FTE-FUEL-OIL-CAM7</v>
      </c>
      <c r="O150" s="71" t="s">
        <v>1380</v>
      </c>
      <c r="P150" s="71" t="s">
        <v>9</v>
      </c>
      <c r="Q150"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91" zoomScale="145" zoomScaleNormal="145" workbookViewId="0">
      <selection activeCell="E102" sqref="E102"/>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56" t="s">
        <v>277</v>
      </c>
      <c r="G2" s="857"/>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58" t="s">
        <v>503</v>
      </c>
      <c r="E7" s="145" t="s">
        <v>52</v>
      </c>
      <c r="F7" s="215">
        <f>E46</f>
        <v>6.0871741676095334</v>
      </c>
      <c r="G7" s="204">
        <f>F46</f>
        <v>77.841777688967127</v>
      </c>
      <c r="J7" s="124">
        <f>IF(E62&lt;$S$49,D44*(100%-$Q$49),D44*(100%-$Q$49))</f>
        <v>0</v>
      </c>
    </row>
    <row r="8" spans="2:41" ht="15" x14ac:dyDescent="0.25">
      <c r="B8" s="210" t="s">
        <v>411</v>
      </c>
      <c r="C8" s="229" t="s">
        <v>493</v>
      </c>
      <c r="D8" s="859"/>
      <c r="E8" s="19" t="s">
        <v>67</v>
      </c>
      <c r="F8" s="220"/>
      <c r="G8" s="218"/>
    </row>
    <row r="9" spans="2:41" ht="15" x14ac:dyDescent="0.25">
      <c r="B9" s="211" t="s">
        <v>407</v>
      </c>
      <c r="C9" s="230" t="s">
        <v>493</v>
      </c>
      <c r="D9" s="860"/>
      <c r="E9" s="153" t="s">
        <v>53</v>
      </c>
      <c r="F9" s="221"/>
      <c r="G9" s="219"/>
      <c r="J9" s="124">
        <f>1013*(1000/F7)</f>
        <v>166415.47820173684</v>
      </c>
      <c r="K9" s="124" t="s">
        <v>986</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986</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84" t="s">
        <v>277</v>
      </c>
      <c r="F41" s="885"/>
      <c r="G41" s="884" t="s">
        <v>483</v>
      </c>
      <c r="H41" s="887"/>
      <c r="I41" s="887"/>
      <c r="J41" s="887"/>
      <c r="K41" s="887"/>
      <c r="L41" s="887"/>
      <c r="M41" s="887"/>
      <c r="N41" s="885"/>
    </row>
    <row r="42" spans="2:43" ht="15" x14ac:dyDescent="0.25">
      <c r="B42"/>
      <c r="C42"/>
      <c r="D42"/>
      <c r="E42" s="175" t="s">
        <v>403</v>
      </c>
      <c r="F42" s="186" t="s">
        <v>404</v>
      </c>
      <c r="G42" s="172"/>
      <c r="K42" s="886" t="s">
        <v>330</v>
      </c>
      <c r="L42" s="886"/>
      <c r="M42" s="886"/>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75">
        <f>+G114</f>
        <v>6.0871741676095334</v>
      </c>
      <c r="F46" s="878">
        <f>+L114*1000</f>
        <v>77.841777688967127</v>
      </c>
      <c r="G46" s="869">
        <v>6.0871741676095334</v>
      </c>
      <c r="H46" s="872" t="s">
        <v>473</v>
      </c>
      <c r="I46" s="872">
        <v>40670.462586675276</v>
      </c>
      <c r="J46" s="881" t="s">
        <v>479</v>
      </c>
      <c r="K46" s="124">
        <v>77841.778000000006</v>
      </c>
      <c r="L46" s="124">
        <v>3</v>
      </c>
      <c r="M46" s="124">
        <v>0.6</v>
      </c>
      <c r="N46" s="179">
        <f>+SUMPRODUCT($K$43:$M$43,K46:M46)/1000</f>
        <v>78.084778</v>
      </c>
    </row>
    <row r="47" spans="2:43" ht="15" x14ac:dyDescent="0.25">
      <c r="B47" s="148" t="s">
        <v>411</v>
      </c>
      <c r="C47" t="s">
        <v>463</v>
      </c>
      <c r="D47" s="19" t="s">
        <v>67</v>
      </c>
      <c r="E47" s="876"/>
      <c r="F47" s="879"/>
      <c r="G47" s="870"/>
      <c r="H47" s="873"/>
      <c r="I47" s="873"/>
      <c r="J47" s="882"/>
      <c r="N47" s="179"/>
    </row>
    <row r="48" spans="2:43" ht="15" x14ac:dyDescent="0.25">
      <c r="B48" s="151" t="s">
        <v>407</v>
      </c>
      <c r="C48" s="152" t="s">
        <v>463</v>
      </c>
      <c r="D48" s="153" t="s">
        <v>53</v>
      </c>
      <c r="E48" s="877"/>
      <c r="F48" s="880"/>
      <c r="G48" s="871"/>
      <c r="H48" s="874"/>
      <c r="I48" s="874"/>
      <c r="J48" s="883"/>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E101" s="435">
        <f>+G109/H109</f>
        <v>3.6000000000000005</v>
      </c>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64" t="s">
        <v>244</v>
      </c>
      <c r="C106" s="865"/>
      <c r="D106" s="865"/>
      <c r="E106" s="865"/>
      <c r="F106" s="865"/>
      <c r="G106" s="865"/>
      <c r="H106" s="865"/>
      <c r="I106" s="865"/>
      <c r="J106" s="865"/>
      <c r="K106" s="865"/>
      <c r="L106" s="866"/>
      <c r="M106" s="133"/>
      <c r="N106" s="133"/>
      <c r="P106" s="38">
        <f>+P105/42</f>
        <v>833563.54687623237</v>
      </c>
    </row>
    <row r="107" spans="2:23" ht="12.75" customHeight="1" x14ac:dyDescent="0.2">
      <c r="B107" s="76" t="s">
        <v>245</v>
      </c>
      <c r="C107" s="77" t="s">
        <v>246</v>
      </c>
      <c r="D107" s="861" t="s">
        <v>247</v>
      </c>
      <c r="E107" s="862"/>
      <c r="F107" s="862"/>
      <c r="G107" s="862"/>
      <c r="H107" s="862"/>
      <c r="I107" s="862"/>
      <c r="J107" s="863"/>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64" t="s">
        <v>289</v>
      </c>
      <c r="C123" s="865"/>
      <c r="D123" s="865"/>
      <c r="E123" s="865"/>
      <c r="F123" s="865"/>
      <c r="G123" s="865"/>
      <c r="H123" s="865"/>
      <c r="I123" s="865"/>
      <c r="J123" s="865"/>
      <c r="K123" s="865"/>
      <c r="L123" s="866"/>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67"/>
      <c r="C140" s="867"/>
      <c r="D140" s="867"/>
      <c r="E140" s="867"/>
      <c r="G140" s="868" t="s">
        <v>425</v>
      </c>
      <c r="H140" s="868"/>
      <c r="I140" s="868"/>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F35" zoomScale="115" zoomScaleNormal="115" workbookViewId="0">
      <selection activeCell="K60" sqref="K60:M60"/>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0.125</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125000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0.125</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34.722222222222221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0.25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34.722222222222221</v>
      </c>
      <c r="M51" s="73">
        <f>+L51</f>
        <v>34.722222222222221</v>
      </c>
      <c r="N51" s="73">
        <f t="shared" ref="N51:S51" si="11">+M51</f>
        <v>34.722222222222221</v>
      </c>
      <c r="O51" s="73">
        <f t="shared" si="11"/>
        <v>34.722222222222221</v>
      </c>
      <c r="P51" s="73">
        <f t="shared" si="11"/>
        <v>34.722222222222221</v>
      </c>
      <c r="Q51" s="73">
        <f t="shared" si="11"/>
        <v>34.722222222222221</v>
      </c>
      <c r="R51" s="73">
        <f t="shared" si="11"/>
        <v>34.722222222222221</v>
      </c>
      <c r="S51" s="73">
        <f t="shared" si="11"/>
        <v>34.722222222222221</v>
      </c>
    </row>
    <row r="52" spans="9:23" x14ac:dyDescent="0.25">
      <c r="I52" t="s">
        <v>522</v>
      </c>
      <c r="J52" s="249" t="str">
        <f t="shared" ref="J52" si="12">+RIGHT(I52,3)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3">+J21</f>
        <v>IMP-GSL</v>
      </c>
      <c r="J53" s="22"/>
      <c r="K53" s="22" t="str">
        <f t="shared" ref="K53:K58" si="14">+RIGHT(I53,3)</f>
        <v>GSL</v>
      </c>
      <c r="L53" s="271">
        <f>+L40+($E$47*L40)</f>
        <v>26.245557442552499</v>
      </c>
      <c r="M53" s="25">
        <f t="shared" ref="L53:S63" si="15">+M40+($E$47*M40)</f>
        <v>25.994911975987502</v>
      </c>
      <c r="N53" s="25">
        <f t="shared" si="15"/>
        <v>25.896103238508754</v>
      </c>
      <c r="O53" s="25">
        <f t="shared" si="15"/>
        <v>27.752582918238751</v>
      </c>
      <c r="P53" s="25">
        <f t="shared" si="15"/>
        <v>29.460206753347499</v>
      </c>
      <c r="Q53" s="25">
        <f t="shared" si="15"/>
        <v>30.74641930254375</v>
      </c>
      <c r="R53" s="25">
        <f t="shared" si="15"/>
        <v>32.357645409667498</v>
      </c>
      <c r="S53" s="25">
        <f t="shared" si="15"/>
        <v>33.942451117916249</v>
      </c>
    </row>
    <row r="54" spans="9:23" x14ac:dyDescent="0.25">
      <c r="I54" t="str">
        <f t="shared" si="13"/>
        <v>IMP-DSL</v>
      </c>
      <c r="J54" s="22"/>
      <c r="K54" s="22" t="str">
        <f t="shared" si="14"/>
        <v>DSL</v>
      </c>
      <c r="L54" s="272">
        <f>+L41+($E$47*L41)</f>
        <v>26.131282701176254</v>
      </c>
      <c r="M54" s="25">
        <f t="shared" si="15"/>
        <v>25.274309221541248</v>
      </c>
      <c r="N54" s="25">
        <f t="shared" si="15"/>
        <v>25.788339999922499</v>
      </c>
      <c r="O54" s="25">
        <f t="shared" si="15"/>
        <v>27.41258911262625</v>
      </c>
      <c r="P54" s="25">
        <f t="shared" si="15"/>
        <v>28.85316432321375</v>
      </c>
      <c r="Q54" s="25">
        <f t="shared" si="15"/>
        <v>29.844287081943751</v>
      </c>
      <c r="R54" s="25">
        <f t="shared" si="15"/>
        <v>31.363147237646245</v>
      </c>
      <c r="S54" s="25">
        <f t="shared" si="15"/>
        <v>32.351207362695</v>
      </c>
    </row>
    <row r="55" spans="9:23" x14ac:dyDescent="0.25">
      <c r="I55" t="str">
        <f t="shared" si="13"/>
        <v>IMP-KER</v>
      </c>
      <c r="J55" s="22"/>
      <c r="K55" s="22" t="str">
        <f t="shared" si="14"/>
        <v>KER</v>
      </c>
      <c r="L55" s="25">
        <f t="shared" si="15"/>
        <v>17.346292740269998</v>
      </c>
      <c r="M55" s="25">
        <f t="shared" si="15"/>
        <v>17.119292938312501</v>
      </c>
      <c r="N55" s="25">
        <f t="shared" si="15"/>
        <v>18.072825274822499</v>
      </c>
      <c r="O55" s="25">
        <f t="shared" si="15"/>
        <v>19.743999622425001</v>
      </c>
      <c r="P55" s="25">
        <f t="shared" si="15"/>
        <v>21.489795602437496</v>
      </c>
      <c r="Q55" s="25">
        <f t="shared" si="15"/>
        <v>22.745170925538751</v>
      </c>
      <c r="R55" s="25">
        <f t="shared" si="15"/>
        <v>24.5254164991875</v>
      </c>
      <c r="S55" s="25">
        <f t="shared" si="15"/>
        <v>25.897622115251249</v>
      </c>
    </row>
    <row r="56" spans="9:23" x14ac:dyDescent="0.25">
      <c r="I56" t="str">
        <f t="shared" si="13"/>
        <v>IMP-LPG</v>
      </c>
      <c r="J56" s="22"/>
      <c r="K56" s="22" t="str">
        <f t="shared" si="14"/>
        <v>LPG</v>
      </c>
      <c r="L56" s="25">
        <f t="shared" si="15"/>
        <v>21.938809688932501</v>
      </c>
      <c r="M56" s="25">
        <f t="shared" si="15"/>
        <v>21.083930884867499</v>
      </c>
      <c r="N56" s="25">
        <f t="shared" si="15"/>
        <v>24.841165145939996</v>
      </c>
      <c r="O56" s="25">
        <f t="shared" si="15"/>
        <v>27.528196721658745</v>
      </c>
      <c r="P56" s="25">
        <f t="shared" si="15"/>
        <v>28.614656838105002</v>
      </c>
      <c r="Q56" s="25">
        <f t="shared" si="15"/>
        <v>30.515624678272502</v>
      </c>
      <c r="R56" s="25">
        <f t="shared" si="15"/>
        <v>32.347125825738757</v>
      </c>
      <c r="S56" s="25">
        <f t="shared" si="15"/>
        <v>34.282256544900001</v>
      </c>
    </row>
    <row r="57" spans="9:23" x14ac:dyDescent="0.25">
      <c r="I57" t="str">
        <f t="shared" si="13"/>
        <v>IMP-HFO</v>
      </c>
      <c r="J57" s="22"/>
      <c r="K57" s="22" t="str">
        <f t="shared" si="14"/>
        <v>HFO</v>
      </c>
      <c r="L57" s="25">
        <f t="shared" si="15"/>
        <v>11.551883412273749</v>
      </c>
      <c r="M57" s="25">
        <f t="shared" si="15"/>
        <v>12.0757454224875</v>
      </c>
      <c r="N57" s="25">
        <f t="shared" si="15"/>
        <v>11.701892039321249</v>
      </c>
      <c r="O57" s="25">
        <f t="shared" si="15"/>
        <v>13.471820624925002</v>
      </c>
      <c r="P57" s="25">
        <f t="shared" si="15"/>
        <v>15.043822510275</v>
      </c>
      <c r="Q57" s="25">
        <f t="shared" si="15"/>
        <v>16.721215722168751</v>
      </c>
      <c r="R57" s="25">
        <f t="shared" si="15"/>
        <v>17.874615414240001</v>
      </c>
      <c r="S57" s="25">
        <f t="shared" si="15"/>
        <v>18.8621577942525</v>
      </c>
    </row>
    <row r="58" spans="9:23" x14ac:dyDescent="0.25">
      <c r="I58" t="str">
        <f t="shared" si="13"/>
        <v>IMP-ETH</v>
      </c>
      <c r="J58" s="22"/>
      <c r="K58" s="22" t="str">
        <f t="shared" si="14"/>
        <v>ETH</v>
      </c>
      <c r="L58" s="25">
        <f t="shared" si="15"/>
        <v>19.355462190721926</v>
      </c>
      <c r="M58" s="25">
        <f t="shared" si="15"/>
        <v>18.846051901838585</v>
      </c>
      <c r="N58" s="25">
        <f t="shared" si="15"/>
        <v>21.05302964777934</v>
      </c>
      <c r="O58" s="25">
        <f t="shared" si="15"/>
        <v>24.500207798181819</v>
      </c>
      <c r="P58" s="25">
        <f t="shared" si="15"/>
        <v>24.684782020742336</v>
      </c>
      <c r="Q58" s="25">
        <f t="shared" si="15"/>
        <v>25.380685241381933</v>
      </c>
      <c r="R58" s="25">
        <f t="shared" si="15"/>
        <v>26.761525629374468</v>
      </c>
      <c r="S58" s="25">
        <f t="shared" si="15"/>
        <v>30.188928470401773</v>
      </c>
    </row>
    <row r="59" spans="9:23" x14ac:dyDescent="0.25">
      <c r="I59" t="str">
        <f t="shared" si="13"/>
        <v>IMP-BDSL</v>
      </c>
      <c r="J59" s="22"/>
      <c r="K59" s="22" t="str">
        <f>+RIGHT(I59,4)</f>
        <v>BDSL</v>
      </c>
      <c r="L59" s="25">
        <f t="shared" si="15"/>
        <v>33.769766410199665</v>
      </c>
      <c r="M59" s="25">
        <f t="shared" si="15"/>
        <v>32.662289423403784</v>
      </c>
      <c r="N59" s="25">
        <f t="shared" si="15"/>
        <v>33.326577491926599</v>
      </c>
      <c r="O59" s="25">
        <f t="shared" si="15"/>
        <v>35.425613875070184</v>
      </c>
      <c r="P59" s="25">
        <f t="shared" si="15"/>
        <v>37.287286297131367</v>
      </c>
      <c r="Q59" s="25">
        <f t="shared" si="15"/>
        <v>38.568125987585525</v>
      </c>
      <c r="R59" s="25">
        <f t="shared" si="15"/>
        <v>40.530966972254234</v>
      </c>
      <c r="S59" s="25">
        <f t="shared" si="15"/>
        <v>41.80784878489586</v>
      </c>
    </row>
    <row r="60" spans="9:23" x14ac:dyDescent="0.25">
      <c r="I60" t="str">
        <f t="shared" si="13"/>
        <v>IMP-GAS</v>
      </c>
      <c r="J60" s="22"/>
      <c r="K60" s="22" t="str">
        <f>+RIGHT(I60,3)</f>
        <v>GAS</v>
      </c>
      <c r="L60" s="25">
        <f t="shared" si="15"/>
        <v>5.9614087595400003</v>
      </c>
      <c r="M60" s="25">
        <f t="shared" si="15"/>
        <v>5.6403618157574993</v>
      </c>
      <c r="N60" s="25">
        <f t="shared" si="15"/>
        <v>6.1593105795974985</v>
      </c>
      <c r="O60" s="25">
        <f t="shared" si="15"/>
        <v>6.7283858302537496</v>
      </c>
      <c r="P60" s="25">
        <f t="shared" si="15"/>
        <v>6.8001557182649996</v>
      </c>
      <c r="Q60" s="25">
        <f t="shared" si="15"/>
        <v>6.8501068589362504</v>
      </c>
      <c r="R60" s="25">
        <f t="shared" si="15"/>
        <v>6.92888940797625</v>
      </c>
      <c r="S60" s="25">
        <f t="shared" si="15"/>
        <v>7.1296974719100001</v>
      </c>
    </row>
    <row r="61" spans="9:23" x14ac:dyDescent="0.25">
      <c r="I61" t="str">
        <f t="shared" si="13"/>
        <v>IMP-LOIL</v>
      </c>
      <c r="J61" s="22"/>
      <c r="K61" s="22" t="str">
        <f>+RIGHT(I61,4)</f>
        <v>LOIL</v>
      </c>
      <c r="L61" s="25">
        <f t="shared" si="15"/>
        <v>11.775331229711625</v>
      </c>
      <c r="M61" s="25">
        <f t="shared" si="15"/>
        <v>11.121436086029737</v>
      </c>
      <c r="N61" s="25">
        <f t="shared" si="15"/>
        <v>13.511868844553376</v>
      </c>
      <c r="O61" s="25">
        <f t="shared" si="15"/>
        <v>14.931092887611694</v>
      </c>
      <c r="P61" s="25">
        <f t="shared" si="15"/>
        <v>16.609017773535232</v>
      </c>
      <c r="Q61" s="25">
        <f t="shared" si="15"/>
        <v>17.944627779639923</v>
      </c>
      <c r="R61" s="25">
        <f t="shared" si="15"/>
        <v>19.538416220090525</v>
      </c>
      <c r="S61" s="25">
        <f t="shared" si="15"/>
        <v>21.081243667623401</v>
      </c>
    </row>
    <row r="62" spans="9:23" x14ac:dyDescent="0.25">
      <c r="I62" t="str">
        <f t="shared" si="13"/>
        <v>IMP-MOIL</v>
      </c>
      <c r="J62" s="22"/>
      <c r="K62" s="22" t="str">
        <f>+RIGHT(I62,4)</f>
        <v>MOIL</v>
      </c>
      <c r="L62" s="25">
        <f t="shared" si="15"/>
        <v>10.833488947313199</v>
      </c>
      <c r="M62" s="25">
        <f t="shared" si="15"/>
        <v>10.23189518544048</v>
      </c>
      <c r="N62" s="25">
        <f t="shared" si="15"/>
        <v>12.43113071975975</v>
      </c>
      <c r="O62" s="25">
        <f t="shared" si="15"/>
        <v>13.736839042039362</v>
      </c>
      <c r="P62" s="25">
        <f t="shared" si="15"/>
        <v>15.280556186930202</v>
      </c>
      <c r="Q62" s="25">
        <f t="shared" si="15"/>
        <v>16.509338287135332</v>
      </c>
      <c r="R62" s="25">
        <f t="shared" si="15"/>
        <v>17.975648585941251</v>
      </c>
      <c r="S62" s="25">
        <f t="shared" si="15"/>
        <v>19.395073974017421</v>
      </c>
    </row>
    <row r="63" spans="9:23" x14ac:dyDescent="0.25">
      <c r="I63" t="str">
        <f t="shared" si="13"/>
        <v>IMP-HOIL</v>
      </c>
      <c r="J63" s="22"/>
      <c r="K63" s="22" t="str">
        <f>+RIGHT(I63,4)</f>
        <v>HOIL</v>
      </c>
      <c r="L63" s="25">
        <f t="shared" si="15"/>
        <v>8.9498043825163514</v>
      </c>
      <c r="M63" s="25">
        <f t="shared" si="15"/>
        <v>8.4528133842619742</v>
      </c>
      <c r="N63" s="25">
        <f t="shared" si="15"/>
        <v>10.269654470172512</v>
      </c>
      <c r="O63" s="25">
        <f t="shared" si="15"/>
        <v>11.3483313508947</v>
      </c>
      <c r="P63" s="25">
        <f t="shared" si="15"/>
        <v>12.623633013720156</v>
      </c>
      <c r="Q63" s="25">
        <f t="shared" si="15"/>
        <v>13.638759302126157</v>
      </c>
      <c r="R63" s="25">
        <f t="shared" si="15"/>
        <v>14.850113317642712</v>
      </c>
      <c r="S63" s="25">
        <f t="shared" si="15"/>
        <v>16.02273458680547</v>
      </c>
    </row>
    <row r="64" spans="9:23" x14ac:dyDescent="0.25">
      <c r="I64" t="str">
        <f t="shared" si="13"/>
        <v>IMP-SIN</v>
      </c>
      <c r="J64" s="22"/>
      <c r="K64" s="23" t="s">
        <v>129</v>
      </c>
      <c r="L64" s="74">
        <f>+L51+($E$47*L51)</f>
        <v>43.402777777777779</v>
      </c>
      <c r="M64" s="74">
        <f>+L64</f>
        <v>43.402777777777779</v>
      </c>
      <c r="N64" s="74">
        <f t="shared" ref="N64:S64" si="16">+M64</f>
        <v>43.402777777777779</v>
      </c>
      <c r="O64" s="74">
        <f t="shared" si="16"/>
        <v>43.402777777777779</v>
      </c>
      <c r="P64" s="74">
        <f t="shared" si="16"/>
        <v>43.402777777777779</v>
      </c>
      <c r="Q64" s="74">
        <f t="shared" si="16"/>
        <v>43.402777777777779</v>
      </c>
      <c r="R64" s="74">
        <f t="shared" si="16"/>
        <v>43.402777777777779</v>
      </c>
      <c r="S64" s="74">
        <f t="shared" si="16"/>
        <v>43.402777777777779</v>
      </c>
    </row>
    <row r="65" spans="9:19" x14ac:dyDescent="0.25">
      <c r="I65" t="s">
        <v>524</v>
      </c>
      <c r="K65" s="250" t="str">
        <f>+J52</f>
        <v>AVG</v>
      </c>
      <c r="L65" s="25">
        <f>+L52*(100%+$E$47)</f>
        <v>26.813605072517298</v>
      </c>
      <c r="M65" s="25">
        <f t="shared" ref="M65:S65" si="17">+M52*(100%+$E$47)</f>
        <v>26.467245218403331</v>
      </c>
      <c r="N65" s="25">
        <f t="shared" si="17"/>
        <v>27.575799941828908</v>
      </c>
      <c r="O65" s="25">
        <f t="shared" si="17"/>
        <v>30.125703942815584</v>
      </c>
      <c r="P65" s="25">
        <f t="shared" si="17"/>
        <v>32.789466799591537</v>
      </c>
      <c r="Q65" s="25">
        <f t="shared" si="17"/>
        <v>34.704938134888266</v>
      </c>
      <c r="R65" s="25">
        <f t="shared" si="17"/>
        <v>37.421264721338183</v>
      </c>
      <c r="S65" s="25">
        <f t="shared" si="17"/>
        <v>39.514997547956227</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8">+K75/$J$80</f>
        <v>9.1439224830851291</v>
      </c>
      <c r="M75" s="63">
        <f>+(L75-L74)/L74</f>
        <v>-7.9984355770983381E-2</v>
      </c>
    </row>
    <row r="76" spans="9:19" x14ac:dyDescent="0.25">
      <c r="I76" t="s">
        <v>216</v>
      </c>
      <c r="J76" t="s">
        <v>217</v>
      </c>
      <c r="K76" s="71">
        <f>+K75-9</f>
        <v>42.761001999999998</v>
      </c>
      <c r="L76" s="71">
        <f t="shared" si="18"/>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9">+J108</f>
        <v>9.9389069659747609</v>
      </c>
      <c r="K105">
        <f t="shared" si="19"/>
        <v>9.3869901772428523</v>
      </c>
      <c r="L105">
        <f t="shared" si="19"/>
        <v>10.287079260646848</v>
      </c>
      <c r="M105">
        <f t="shared" si="19"/>
        <v>10.535673289409495</v>
      </c>
      <c r="N105">
        <f t="shared" si="19"/>
        <v>10.74174170797278</v>
      </c>
      <c r="O105">
        <f t="shared" si="19"/>
        <v>11.129993971580372</v>
      </c>
      <c r="P105">
        <f t="shared" si="19"/>
        <v>11.404622491095539</v>
      </c>
      <c r="Q105">
        <f t="shared" si="19"/>
        <v>11.693615001593368</v>
      </c>
      <c r="R105">
        <f t="shared" si="19"/>
        <v>11.97288183063062</v>
      </c>
      <c r="S105">
        <f t="shared" si="19"/>
        <v>12.106750658115047</v>
      </c>
      <c r="T105">
        <f t="shared" si="19"/>
        <v>12.377995487022886</v>
      </c>
      <c r="U105">
        <f t="shared" si="19"/>
        <v>12.602511149398413</v>
      </c>
      <c r="V105">
        <f t="shared" si="19"/>
        <v>12.89947849257279</v>
      </c>
      <c r="W105">
        <f t="shared" si="19"/>
        <v>13.05019617018589</v>
      </c>
      <c r="X105">
        <f t="shared" si="19"/>
        <v>13.528408425775462</v>
      </c>
      <c r="Y105">
        <f t="shared" si="19"/>
        <v>13.746138157938017</v>
      </c>
      <c r="Z105">
        <f t="shared" si="19"/>
        <v>14.018754906092827</v>
      </c>
      <c r="AA105">
        <f t="shared" si="19"/>
        <v>14.383410900612422</v>
      </c>
      <c r="AB105">
        <f t="shared" si="19"/>
        <v>14.451363477705129</v>
      </c>
      <c r="AC105">
        <f t="shared" si="19"/>
        <v>14.722348267322275</v>
      </c>
      <c r="AD105">
        <f t="shared" si="19"/>
        <v>14.97849385828558</v>
      </c>
      <c r="AE105">
        <f t="shared" si="19"/>
        <v>15.146069572197943</v>
      </c>
      <c r="AF105">
        <f t="shared" si="19"/>
        <v>15.324567642948036</v>
      </c>
      <c r="AG105">
        <f t="shared" si="19"/>
        <v>15.726956186501802</v>
      </c>
      <c r="AH105">
        <f t="shared" si="19"/>
        <v>15.920432485064548</v>
      </c>
      <c r="AI105">
        <f t="shared" si="19"/>
        <v>16.14669086999627</v>
      </c>
      <c r="AJ105">
        <f t="shared" si="19"/>
        <v>16.491298400506025</v>
      </c>
      <c r="AK105">
        <f t="shared" si="19"/>
        <v>16.614746224078669</v>
      </c>
      <c r="AL105">
        <f t="shared" si="19"/>
        <v>17.032564177747016</v>
      </c>
      <c r="AM105">
        <f t="shared" si="19"/>
        <v>17.354044993811897</v>
      </c>
      <c r="AN105">
        <f t="shared" si="19"/>
        <v>17.615031873336019</v>
      </c>
      <c r="AO105">
        <f t="shared" si="19"/>
        <v>17.793513868287572</v>
      </c>
    </row>
    <row r="106" spans="9:41" x14ac:dyDescent="0.25">
      <c r="I106" t="s">
        <v>67</v>
      </c>
      <c r="J106">
        <f>+J105*(100%+$M$75)</f>
        <v>9.143949895233531</v>
      </c>
      <c r="K106">
        <f t="shared" ref="K106:AO106" si="20">+K105*(100%+$M$75)</f>
        <v>8.6361778152875335</v>
      </c>
      <c r="L106">
        <f t="shared" si="20"/>
        <v>9.4642738532189661</v>
      </c>
      <c r="M106">
        <f t="shared" si="20"/>
        <v>9.6929842487425191</v>
      </c>
      <c r="N106">
        <f t="shared" si="20"/>
        <v>9.8825704176022739</v>
      </c>
      <c r="O106">
        <f t="shared" si="20"/>
        <v>10.239768574028588</v>
      </c>
      <c r="P106">
        <f t="shared" si="20"/>
        <v>10.492431108333994</v>
      </c>
      <c r="Q106">
        <f t="shared" si="20"/>
        <v>10.758308739057016</v>
      </c>
      <c r="R106">
        <f t="shared" si="20"/>
        <v>11.015238590685517</v>
      </c>
      <c r="S106">
        <f t="shared" si="20"/>
        <v>11.138400006245785</v>
      </c>
      <c r="T106">
        <f t="shared" si="20"/>
        <v>11.387949492257221</v>
      </c>
      <c r="U106">
        <f t="shared" si="20"/>
        <v>11.594507414017146</v>
      </c>
      <c r="V106">
        <f t="shared" si="20"/>
        <v>11.8677220155627</v>
      </c>
      <c r="W106">
        <f t="shared" si="20"/>
        <v>12.006384636828617</v>
      </c>
      <c r="X106">
        <f t="shared" si="20"/>
        <v>12.446347393233069</v>
      </c>
      <c r="Y106">
        <f t="shared" si="20"/>
        <v>12.646662153036411</v>
      </c>
      <c r="Z106">
        <f t="shared" si="20"/>
        <v>12.897473826217679</v>
      </c>
      <c r="AA106">
        <f t="shared" si="20"/>
        <v>13.232963045937597</v>
      </c>
      <c r="AB106">
        <f t="shared" si="20"/>
        <v>13.295480479928566</v>
      </c>
      <c r="AC106">
        <f t="shared" si="20"/>
        <v>13.544790725724448</v>
      </c>
      <c r="AD106">
        <f t="shared" si="20"/>
        <v>13.780448676610977</v>
      </c>
      <c r="AE106">
        <f t="shared" si="20"/>
        <v>13.934620955003197</v>
      </c>
      <c r="AF106">
        <f t="shared" si="20"/>
        <v>14.098841972557979</v>
      </c>
      <c r="AG106">
        <f t="shared" si="20"/>
        <v>14.469045727685973</v>
      </c>
      <c r="AH106">
        <f t="shared" si="20"/>
        <v>14.647046949151225</v>
      </c>
      <c r="AI106">
        <f t="shared" si="20"/>
        <v>14.855208202926399</v>
      </c>
      <c r="AJ106">
        <f t="shared" si="20"/>
        <v>15.172252522114501</v>
      </c>
      <c r="AK106">
        <f t="shared" si="20"/>
        <v>15.285826451047358</v>
      </c>
      <c r="AL106">
        <f t="shared" si="20"/>
        <v>15.670225504861991</v>
      </c>
      <c r="AM106">
        <f t="shared" si="20"/>
        <v>15.965992884961192</v>
      </c>
      <c r="AN106">
        <f t="shared" si="20"/>
        <v>16.206104897061898</v>
      </c>
      <c r="AO106">
        <f t="shared" si="20"/>
        <v>16.370311124630533</v>
      </c>
    </row>
    <row r="107" spans="9:41" x14ac:dyDescent="0.25">
      <c r="I107" t="s">
        <v>226</v>
      </c>
      <c r="J107">
        <f>+J105*(100%+$M$76)</f>
        <v>7.5540357537510738</v>
      </c>
      <c r="K107">
        <f t="shared" ref="K107:AO107" si="21">+K105*(100%+$M$76)</f>
        <v>7.1345530913769002</v>
      </c>
      <c r="L107">
        <f t="shared" si="21"/>
        <v>7.8186630383632059</v>
      </c>
      <c r="M107">
        <f t="shared" si="21"/>
        <v>8.0076061674085715</v>
      </c>
      <c r="N107">
        <f t="shared" si="21"/>
        <v>8.1642278368612686</v>
      </c>
      <c r="O107">
        <f t="shared" si="21"/>
        <v>8.4593177789250227</v>
      </c>
      <c r="P107">
        <f t="shared" si="21"/>
        <v>8.668048342810911</v>
      </c>
      <c r="Q107">
        <f t="shared" si="21"/>
        <v>8.8876962139843165</v>
      </c>
      <c r="R107">
        <f t="shared" si="21"/>
        <v>9.0999521107953179</v>
      </c>
      <c r="S107">
        <f t="shared" si="21"/>
        <v>9.2016987025072687</v>
      </c>
      <c r="T107">
        <f t="shared" si="21"/>
        <v>9.4078575027258964</v>
      </c>
      <c r="U107">
        <f t="shared" si="21"/>
        <v>9.5784999432546165</v>
      </c>
      <c r="V107">
        <f t="shared" si="21"/>
        <v>9.8042090615425241</v>
      </c>
      <c r="W107">
        <f t="shared" si="21"/>
        <v>9.9187615701140768</v>
      </c>
      <c r="X107">
        <f t="shared" si="21"/>
        <v>10.282225328148286</v>
      </c>
      <c r="Y107">
        <f t="shared" si="21"/>
        <v>10.447710143233209</v>
      </c>
      <c r="Z107">
        <f t="shared" si="21"/>
        <v>10.65491166646739</v>
      </c>
      <c r="AA107">
        <f t="shared" si="21"/>
        <v>10.932067336587954</v>
      </c>
      <c r="AB107">
        <f t="shared" si="21"/>
        <v>10.983714484375447</v>
      </c>
      <c r="AC107">
        <f t="shared" si="21"/>
        <v>11.189675642528805</v>
      </c>
      <c r="AD107">
        <f t="shared" si="21"/>
        <v>11.384358313261776</v>
      </c>
      <c r="AE107">
        <f t="shared" si="21"/>
        <v>11.511723720613711</v>
      </c>
      <c r="AF107">
        <f t="shared" si="21"/>
        <v>11.647390631777874</v>
      </c>
      <c r="AG107">
        <f t="shared" si="21"/>
        <v>11.953224810054323</v>
      </c>
      <c r="AH107">
        <f t="shared" si="21"/>
        <v>12.100275877324583</v>
      </c>
      <c r="AI107">
        <f t="shared" si="21"/>
        <v>12.272242868786664</v>
      </c>
      <c r="AJ107">
        <f t="shared" si="21"/>
        <v>12.534160765331462</v>
      </c>
      <c r="AK107">
        <f t="shared" si="21"/>
        <v>12.627986904984743</v>
      </c>
      <c r="AL107">
        <f t="shared" si="21"/>
        <v>12.945548159091949</v>
      </c>
      <c r="AM107">
        <f t="shared" si="21"/>
        <v>13.189888667259792</v>
      </c>
      <c r="AN107">
        <f t="shared" si="21"/>
        <v>13.388250944513667</v>
      </c>
      <c r="AO107">
        <f t="shared" si="21"/>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979</v>
      </c>
    </row>
    <row r="114" spans="8:17" x14ac:dyDescent="0.25">
      <c r="J114">
        <v>2019</v>
      </c>
      <c r="K114">
        <v>2020</v>
      </c>
      <c r="L114">
        <v>2025</v>
      </c>
      <c r="M114">
        <v>2030</v>
      </c>
      <c r="N114">
        <v>2035</v>
      </c>
      <c r="O114">
        <v>2040</v>
      </c>
      <c r="P114">
        <v>2045</v>
      </c>
      <c r="Q114">
        <v>2050</v>
      </c>
    </row>
    <row r="115" spans="8:17" x14ac:dyDescent="0.25">
      <c r="H115" t="s">
        <v>45</v>
      </c>
      <c r="I115" t="s">
        <v>976</v>
      </c>
      <c r="J115" s="70">
        <f>+J97*$R$3/1000000</f>
        <v>20.996445954041999</v>
      </c>
      <c r="K115" s="70">
        <f t="shared" ref="K115" si="22">+K97*$R$3/1000000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3">+J98*$R$3/1000000</f>
        <v>20.905026160941002</v>
      </c>
      <c r="K116" s="70">
        <f t="shared" si="23"/>
        <v>20.219447377232999</v>
      </c>
      <c r="L116" s="70">
        <f t="shared" ref="L116:L126" si="24">+P98*$R$3/1000000</f>
        <v>20.630671999937999</v>
      </c>
      <c r="M116" s="70">
        <f t="shared" ref="M116:M126" si="25">+U98*$R$3/1000000</f>
        <v>21.930071290101001</v>
      </c>
      <c r="N116" s="70">
        <f t="shared" ref="N116:N125" si="26">+Z98*$R$3/1000000</f>
        <v>23.082531458571001</v>
      </c>
      <c r="O116" s="70">
        <f t="shared" ref="O116:O126" si="27">+AE98*$R$3/1000000</f>
        <v>23.875429665555</v>
      </c>
      <c r="P116" s="70">
        <f t="shared" ref="P116:P126" si="28">+AJ98*$R$3/1000000</f>
        <v>25.090517790116998</v>
      </c>
      <c r="Q116" s="70">
        <f t="shared" ref="Q116:Q126" si="29">+AO98*$R$3/1000000</f>
        <v>25.880965890156002</v>
      </c>
    </row>
    <row r="117" spans="8:17" x14ac:dyDescent="0.25">
      <c r="H117" t="s">
        <v>48</v>
      </c>
      <c r="I117" t="s">
        <v>977</v>
      </c>
      <c r="J117" s="70">
        <f t="shared" si="23"/>
        <v>13.877034192216</v>
      </c>
      <c r="K117" s="70">
        <f t="shared" si="23"/>
        <v>13.695434350650002</v>
      </c>
      <c r="L117" s="70">
        <f t="shared" si="24"/>
        <v>14.458260219857999</v>
      </c>
      <c r="M117" s="70">
        <f t="shared" si="25"/>
        <v>15.795199697939999</v>
      </c>
      <c r="N117" s="70">
        <f t="shared" si="26"/>
        <v>17.191836481949998</v>
      </c>
      <c r="O117" s="70">
        <f t="shared" si="27"/>
        <v>18.196136740431001</v>
      </c>
      <c r="P117" s="70">
        <f t="shared" si="28"/>
        <v>19.62033319935</v>
      </c>
      <c r="Q117" s="70">
        <f t="shared" si="29"/>
        <v>20.718097692200999</v>
      </c>
    </row>
    <row r="118" spans="8:17" x14ac:dyDescent="0.25">
      <c r="H118" t="s">
        <v>49</v>
      </c>
      <c r="I118" t="s">
        <v>49</v>
      </c>
      <c r="J118" s="70">
        <f t="shared" si="23"/>
        <v>17.551047751146001</v>
      </c>
      <c r="K118" s="70">
        <f t="shared" si="23"/>
        <v>16.867144707893999</v>
      </c>
      <c r="L118" s="70">
        <f t="shared" si="24"/>
        <v>19.872932116751997</v>
      </c>
      <c r="M118" s="70">
        <f t="shared" si="25"/>
        <v>22.022557377326997</v>
      </c>
      <c r="N118" s="70">
        <f t="shared" si="26"/>
        <v>22.891725470484001</v>
      </c>
      <c r="O118" s="70">
        <f t="shared" si="27"/>
        <v>24.412499742618003</v>
      </c>
      <c r="P118" s="70">
        <f t="shared" si="28"/>
        <v>25.877700660591003</v>
      </c>
      <c r="Q118" s="70">
        <f t="shared" si="29"/>
        <v>27.425805235919999</v>
      </c>
    </row>
    <row r="119" spans="8:17" x14ac:dyDescent="0.25">
      <c r="H119" t="s">
        <v>50</v>
      </c>
      <c r="I119" t="s">
        <v>207</v>
      </c>
      <c r="J119" s="70">
        <f t="shared" si="23"/>
        <v>9.2415067298189992</v>
      </c>
      <c r="K119" s="70">
        <f t="shared" si="23"/>
        <v>9.6605963379900004</v>
      </c>
      <c r="L119" s="70">
        <f t="shared" si="24"/>
        <v>9.3615136314569991</v>
      </c>
      <c r="M119" s="70">
        <f t="shared" si="25"/>
        <v>10.777456499940001</v>
      </c>
      <c r="N119" s="70">
        <f t="shared" si="26"/>
        <v>12.03505800822</v>
      </c>
      <c r="O119" s="70">
        <f t="shared" si="27"/>
        <v>13.376972577735</v>
      </c>
      <c r="P119" s="70">
        <f t="shared" si="28"/>
        <v>14.299692331392</v>
      </c>
      <c r="Q119" s="70">
        <f t="shared" si="29"/>
        <v>15.089726235401999</v>
      </c>
    </row>
    <row r="120" spans="8:17" x14ac:dyDescent="0.25">
      <c r="H120" t="s">
        <v>43</v>
      </c>
      <c r="I120" t="s">
        <v>208</v>
      </c>
      <c r="J120" s="70">
        <f t="shared" si="23"/>
        <v>15.484369752577541</v>
      </c>
      <c r="K120" s="70">
        <f t="shared" si="23"/>
        <v>15.076841521470868</v>
      </c>
      <c r="L120" s="70">
        <f t="shared" si="24"/>
        <v>16.842423718223472</v>
      </c>
      <c r="M120" s="70">
        <f t="shared" si="25"/>
        <v>19.600166238545455</v>
      </c>
      <c r="N120" s="70">
        <f t="shared" si="26"/>
        <v>19.747825616593868</v>
      </c>
      <c r="O120" s="70">
        <f t="shared" si="27"/>
        <v>20.304548193105546</v>
      </c>
      <c r="P120" s="70">
        <f t="shared" si="28"/>
        <v>21.409220503499576</v>
      </c>
      <c r="Q120" s="70">
        <f t="shared" si="29"/>
        <v>24.151142776321418</v>
      </c>
    </row>
    <row r="121" spans="8:17" x14ac:dyDescent="0.25">
      <c r="H121" t="s">
        <v>44</v>
      </c>
      <c r="I121" t="s">
        <v>90</v>
      </c>
      <c r="J121" s="70">
        <f t="shared" si="23"/>
        <v>27.015813128159731</v>
      </c>
      <c r="K121" s="70">
        <f>+K103*$R$3/1000000</f>
        <v>26.129831538723028</v>
      </c>
      <c r="L121" s="70">
        <f t="shared" si="24"/>
        <v>26.661261993541277</v>
      </c>
      <c r="M121" s="70">
        <f t="shared" si="25"/>
        <v>28.340491100056148</v>
      </c>
      <c r="N121" s="70">
        <f t="shared" si="26"/>
        <v>29.829829037705093</v>
      </c>
      <c r="O121" s="70">
        <f t="shared" si="27"/>
        <v>30.854500790068418</v>
      </c>
      <c r="P121" s="70">
        <f t="shared" si="28"/>
        <v>32.424773577803386</v>
      </c>
      <c r="Q121" s="70">
        <f t="shared" si="29"/>
        <v>33.446279027916688</v>
      </c>
    </row>
    <row r="122" spans="8:17" x14ac:dyDescent="0.25">
      <c r="H122" t="s">
        <v>51</v>
      </c>
      <c r="I122" t="s">
        <v>978</v>
      </c>
      <c r="J122" s="70">
        <f t="shared" si="23"/>
        <v>4.769127007632</v>
      </c>
      <c r="K122" s="70">
        <f t="shared" si="23"/>
        <v>4.5122894526059998</v>
      </c>
      <c r="L122" s="70">
        <f t="shared" si="24"/>
        <v>4.9274484636779992</v>
      </c>
      <c r="M122" s="70">
        <f t="shared" si="25"/>
        <v>5.3827086642029993</v>
      </c>
      <c r="N122" s="70">
        <f t="shared" si="26"/>
        <v>5.4401245746119997</v>
      </c>
      <c r="O122" s="70">
        <f t="shared" si="27"/>
        <v>5.4800854871490001</v>
      </c>
      <c r="P122" s="70">
        <f t="shared" si="28"/>
        <v>5.5431115263809998</v>
      </c>
      <c r="Q122" s="70">
        <f t="shared" si="29"/>
        <v>5.7037579775280003</v>
      </c>
    </row>
    <row r="123" spans="8:17" x14ac:dyDescent="0.25">
      <c r="H123" t="s">
        <v>52</v>
      </c>
      <c r="I123" t="s">
        <v>52</v>
      </c>
      <c r="J123" s="70">
        <f>+J105*$R$3/1000000</f>
        <v>9.4202649837693002</v>
      </c>
      <c r="K123" s="70">
        <f t="shared" si="23"/>
        <v>8.8971488688237894</v>
      </c>
      <c r="L123" s="70">
        <f t="shared" si="24"/>
        <v>10.809495075642701</v>
      </c>
      <c r="M123" s="70">
        <f t="shared" si="25"/>
        <v>11.944874310089356</v>
      </c>
      <c r="N123" s="70">
        <f t="shared" si="26"/>
        <v>13.287214218828185</v>
      </c>
      <c r="O123" s="70">
        <f t="shared" si="27"/>
        <v>14.355702223711937</v>
      </c>
      <c r="P123" s="70">
        <f t="shared" si="28"/>
        <v>15.630732976072419</v>
      </c>
      <c r="Q123" s="70">
        <f t="shared" si="29"/>
        <v>16.864994934098721</v>
      </c>
    </row>
    <row r="124" spans="8:17" x14ac:dyDescent="0.25">
      <c r="H124" t="s">
        <v>67</v>
      </c>
      <c r="I124" t="s">
        <v>67</v>
      </c>
      <c r="J124" s="70">
        <f t="shared" si="23"/>
        <v>8.6667911578505592</v>
      </c>
      <c r="K124" s="70">
        <f t="shared" si="23"/>
        <v>8.1855161483523844</v>
      </c>
      <c r="L124" s="70">
        <f t="shared" si="24"/>
        <v>9.9449045758078007</v>
      </c>
      <c r="M124" s="70">
        <f t="shared" si="25"/>
        <v>10.989471233631489</v>
      </c>
      <c r="N124" s="70">
        <f t="shared" si="26"/>
        <v>12.224444949544161</v>
      </c>
      <c r="O124" s="70">
        <f t="shared" si="27"/>
        <v>13.207470629708267</v>
      </c>
      <c r="P124" s="70">
        <f t="shared" si="28"/>
        <v>14.380518868753001</v>
      </c>
      <c r="Q124" s="70">
        <f t="shared" si="29"/>
        <v>15.516059179213938</v>
      </c>
    </row>
    <row r="125" spans="8:17" x14ac:dyDescent="0.25">
      <c r="H125" t="s">
        <v>226</v>
      </c>
      <c r="I125" t="s">
        <v>226</v>
      </c>
      <c r="J125" s="70">
        <f t="shared" si="23"/>
        <v>7.1598435060130816</v>
      </c>
      <c r="K125" s="70">
        <f t="shared" si="23"/>
        <v>6.7622507074095797</v>
      </c>
      <c r="L125" s="70">
        <f t="shared" si="24"/>
        <v>8.215723576138009</v>
      </c>
      <c r="M125" s="70">
        <f t="shared" si="25"/>
        <v>9.0786650807157603</v>
      </c>
      <c r="N125" s="70">
        <f t="shared" si="26"/>
        <v>10.098906410976124</v>
      </c>
      <c r="O125" s="70">
        <f t="shared" si="27"/>
        <v>10.911007441700926</v>
      </c>
      <c r="P125" s="70">
        <f t="shared" si="28"/>
        <v>11.88009065411417</v>
      </c>
      <c r="Q125" s="70">
        <f t="shared" si="29"/>
        <v>12.818187669444375</v>
      </c>
    </row>
    <row r="126" spans="8:17" x14ac:dyDescent="0.25">
      <c r="H126" t="s">
        <v>212</v>
      </c>
      <c r="I126" t="s">
        <v>212</v>
      </c>
      <c r="J126" s="70">
        <f>+J108*$R$3/1000000</f>
        <v>9.4202649837693002</v>
      </c>
      <c r="K126" s="70">
        <f t="shared" ref="K126" si="30">+K108*$R$3/1000000</f>
        <v>8.8971488688237894</v>
      </c>
      <c r="L126" s="70">
        <f t="shared" si="24"/>
        <v>10.809495075642701</v>
      </c>
      <c r="M126" s="70">
        <f t="shared" si="25"/>
        <v>11.944874310089356</v>
      </c>
      <c r="N126" s="70">
        <f>+Z108*$R$3/1000000</f>
        <v>13.287214218828185</v>
      </c>
      <c r="O126" s="70">
        <f t="shared" si="27"/>
        <v>14.355702223711937</v>
      </c>
      <c r="P126" s="70">
        <f t="shared" si="28"/>
        <v>15.630732976072419</v>
      </c>
      <c r="Q126" s="70">
        <f t="shared" si="29"/>
        <v>16.864994934098721</v>
      </c>
    </row>
    <row r="127" spans="8:17" x14ac:dyDescent="0.25">
      <c r="H127" t="s">
        <v>518</v>
      </c>
      <c r="I127" t="s">
        <v>980</v>
      </c>
      <c r="J127" s="70">
        <f>+J109*$R$3/1000000</f>
        <v>21.450884058013838</v>
      </c>
      <c r="K127" s="70">
        <f>+K109*$R$3/1000000</f>
        <v>21.173796174722664</v>
      </c>
      <c r="L127" s="70">
        <f>+P109*$R$3/1000000</f>
        <v>22.060639953463127</v>
      </c>
      <c r="M127" s="70">
        <f t="shared" ref="M127" si="31">+U109*$R$3/1000000</f>
        <v>24.100563154252466</v>
      </c>
      <c r="N127" s="70">
        <f>+Z109*$R$3/1000000</f>
        <v>26.231573439673227</v>
      </c>
      <c r="O127" s="70">
        <f t="shared" ref="O127" si="32">+AE109*$R$3/1000000</f>
        <v>27.763950507910614</v>
      </c>
      <c r="P127" s="70">
        <f t="shared" ref="P127" si="33">+AJ109*$R$3/1000000</f>
        <v>29.937011777070548</v>
      </c>
      <c r="Q127" s="70">
        <f>+AO109*$R$3/1000000</f>
        <v>31.611998038364984</v>
      </c>
    </row>
    <row r="132" spans="9:17" x14ac:dyDescent="0.25">
      <c r="I132" t="s">
        <v>981</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980</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976</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977</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978</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982</v>
      </c>
    </row>
    <row r="168" spans="9:17" x14ac:dyDescent="0.25">
      <c r="I168" t="s">
        <v>981</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980</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976</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977</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978</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983</v>
      </c>
    </row>
    <row r="187" spans="9:17" x14ac:dyDescent="0.25">
      <c r="I187" t="s">
        <v>981</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980</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976</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977</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978</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984</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980</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978</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985</v>
      </c>
    </row>
    <row r="222" spans="8:17" x14ac:dyDescent="0.25">
      <c r="I222" s="19" t="s">
        <v>981</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980</v>
      </c>
      <c r="I224" t="s">
        <v>518</v>
      </c>
      <c r="J224" s="531">
        <v>21.475872844615932</v>
      </c>
      <c r="K224" s="531">
        <v>21.173796174722664</v>
      </c>
      <c r="L224" s="531">
        <v>23.09908472316074</v>
      </c>
      <c r="M224" s="531">
        <v>25.352291121728861</v>
      </c>
      <c r="N224" s="531">
        <v>28.770631310279356</v>
      </c>
      <c r="O224" s="531">
        <v>30.877675811857468</v>
      </c>
      <c r="P224" s="531">
        <v>33.171074715211802</v>
      </c>
      <c r="Q224" s="531">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978</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21" zoomScaleNormal="100" workbookViewId="0">
      <selection activeCell="H16" sqref="H16"/>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88" t="s">
        <v>576</v>
      </c>
      <c r="E5" s="888"/>
      <c r="F5" s="888"/>
    </row>
    <row r="6" spans="2:10" x14ac:dyDescent="0.25">
      <c r="B6" s="286"/>
      <c r="C6" s="287"/>
      <c r="D6" s="287" t="s">
        <v>573</v>
      </c>
      <c r="E6" s="287" t="s">
        <v>577</v>
      </c>
      <c r="F6" s="287" t="s">
        <v>575</v>
      </c>
    </row>
    <row r="7" spans="2:10" x14ac:dyDescent="0.25">
      <c r="B7" s="889" t="s">
        <v>579</v>
      </c>
      <c r="C7" s="287" t="s">
        <v>572</v>
      </c>
      <c r="D7" s="288">
        <v>62846</v>
      </c>
      <c r="E7" s="288">
        <v>105000</v>
      </c>
      <c r="F7" s="288">
        <f>+E7+D7</f>
        <v>167846</v>
      </c>
    </row>
    <row r="8" spans="2:10" x14ac:dyDescent="0.25">
      <c r="B8" s="889"/>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90" t="s">
        <v>582</v>
      </c>
      <c r="C45" t="s">
        <v>587</v>
      </c>
    </row>
    <row r="46" spans="2:9" x14ac:dyDescent="0.25">
      <c r="B46" s="890"/>
      <c r="D46" s="19" t="s">
        <v>573</v>
      </c>
      <c r="E46" t="s">
        <v>577</v>
      </c>
      <c r="F46" t="s">
        <v>590</v>
      </c>
    </row>
    <row r="47" spans="2:9" x14ac:dyDescent="0.25">
      <c r="B47" s="890"/>
      <c r="C47" t="s">
        <v>85</v>
      </c>
      <c r="D47" s="283">
        <v>62000</v>
      </c>
      <c r="E47" s="282">
        <v>27000</v>
      </c>
      <c r="F47" s="283">
        <v>113000</v>
      </c>
      <c r="G47" s="291"/>
      <c r="I47" s="291"/>
    </row>
    <row r="48" spans="2:9" x14ac:dyDescent="0.25">
      <c r="B48" s="890"/>
      <c r="C48" t="s">
        <v>86</v>
      </c>
      <c r="D48" s="283">
        <v>64000</v>
      </c>
      <c r="E48" s="282">
        <v>77000</v>
      </c>
      <c r="F48" s="283">
        <v>113300</v>
      </c>
      <c r="H48" s="291"/>
      <c r="I48" s="291"/>
    </row>
    <row r="49" spans="2:15" x14ac:dyDescent="0.25">
      <c r="B49" s="890"/>
      <c r="C49" t="s">
        <v>586</v>
      </c>
      <c r="D49" s="283">
        <v>21000</v>
      </c>
      <c r="E49" s="282">
        <v>7000</v>
      </c>
      <c r="F49" s="283">
        <v>36200</v>
      </c>
      <c r="H49" s="291"/>
      <c r="I49" s="291"/>
    </row>
    <row r="50" spans="2:15" x14ac:dyDescent="0.25">
      <c r="B50" s="890"/>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7" zoomScale="115" zoomScaleNormal="115" workbookViewId="0">
      <selection activeCell="V24" sqref="V24"/>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6" t="s">
        <v>612</v>
      </c>
      <c r="M7" s="891"/>
      <c r="N7" s="891"/>
      <c r="O7" s="891"/>
      <c r="P7" s="891"/>
      <c r="Q7" s="891"/>
      <c r="R7" s="891"/>
      <c r="S7" s="891"/>
      <c r="T7" s="891"/>
      <c r="U7" s="857"/>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6" t="s">
        <v>722</v>
      </c>
      <c r="O9" s="897"/>
      <c r="P9" s="898"/>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92"/>
      <c r="S10" s="892"/>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3"/>
      <c r="P12" s="360"/>
      <c r="R12" s="19"/>
      <c r="S12" s="895"/>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4"/>
      <c r="P13" s="362"/>
      <c r="R13" s="19"/>
      <c r="S13" s="892"/>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975</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29">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v>5.67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56" t="s">
        <v>667</v>
      </c>
      <c r="M28" s="891"/>
      <c r="N28" s="891"/>
      <c r="O28" s="891"/>
      <c r="P28" s="891"/>
      <c r="Q28" s="891"/>
      <c r="R28" s="891"/>
      <c r="S28" s="891"/>
      <c r="T28" s="891"/>
      <c r="U28" s="857"/>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56" t="s">
        <v>666</v>
      </c>
      <c r="M48" s="891"/>
      <c r="N48" s="891"/>
      <c r="O48" s="891"/>
      <c r="P48" s="891"/>
      <c r="Q48" s="891"/>
      <c r="R48" s="891"/>
      <c r="S48" s="891"/>
      <c r="T48" s="891"/>
      <c r="U48" s="857"/>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56" t="s">
        <v>668</v>
      </c>
      <c r="M81" s="891"/>
      <c r="N81" s="891"/>
      <c r="O81" s="891"/>
      <c r="P81" s="891"/>
      <c r="Q81" s="891"/>
      <c r="R81" s="891"/>
      <c r="S81" s="891"/>
      <c r="T81" s="891"/>
      <c r="U81" s="857"/>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6" t="s">
        <v>673</v>
      </c>
      <c r="M104" s="891"/>
      <c r="N104" s="891"/>
      <c r="O104" s="891"/>
      <c r="P104" s="891"/>
      <c r="Q104" s="891"/>
      <c r="R104" s="891"/>
      <c r="S104" s="891"/>
      <c r="T104" s="891"/>
      <c r="U104" s="857"/>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6" t="s">
        <v>679</v>
      </c>
      <c r="M128" s="891"/>
      <c r="N128" s="891"/>
      <c r="O128" s="891"/>
      <c r="P128" s="891"/>
      <c r="Q128" s="891"/>
      <c r="R128" s="891"/>
      <c r="S128" s="891"/>
      <c r="T128" s="891"/>
      <c r="U128" s="857"/>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6" t="s">
        <v>711</v>
      </c>
      <c r="M162" s="891"/>
      <c r="N162" s="891"/>
      <c r="O162" s="891"/>
      <c r="P162" s="891"/>
      <c r="Q162" s="891"/>
      <c r="R162" s="891"/>
      <c r="S162" s="891"/>
      <c r="T162" s="891"/>
      <c r="U162" s="857"/>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6" zoomScale="115" zoomScaleNormal="115" workbookViewId="0">
      <selection activeCell="T21" sqref="T21"/>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6" t="s">
        <v>612</v>
      </c>
      <c r="M7" s="891"/>
      <c r="N7" s="891"/>
      <c r="O7" s="891"/>
      <c r="P7" s="891"/>
      <c r="Q7" s="891"/>
      <c r="R7" s="891"/>
      <c r="S7" s="891"/>
      <c r="T7" s="891"/>
      <c r="U7" s="857"/>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6" t="s">
        <v>613</v>
      </c>
      <c r="O9" s="897"/>
      <c r="P9" s="898"/>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92"/>
      <c r="S10" s="892"/>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3"/>
      <c r="P12" s="360"/>
      <c r="R12" s="19"/>
      <c r="S12" s="895"/>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4"/>
      <c r="P13" s="362"/>
      <c r="R13" s="19"/>
      <c r="S13" s="892"/>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+N41</f>
        <v>REF2</v>
      </c>
      <c r="U23" s="460" t="str">
        <f>+O170</f>
        <v>CO2e-REF2</v>
      </c>
      <c r="V23" s="462">
        <v>5.67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56" t="s">
        <v>667</v>
      </c>
      <c r="M28" s="891"/>
      <c r="N28" s="891"/>
      <c r="O28" s="891"/>
      <c r="P28" s="891"/>
      <c r="Q28" s="891"/>
      <c r="R28" s="891"/>
      <c r="S28" s="891"/>
      <c r="T28" s="891"/>
      <c r="U28" s="857"/>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56" t="s">
        <v>666</v>
      </c>
      <c r="M48" s="891"/>
      <c r="N48" s="891"/>
      <c r="O48" s="891"/>
      <c r="P48" s="891"/>
      <c r="Q48" s="891"/>
      <c r="R48" s="891"/>
      <c r="S48" s="891"/>
      <c r="T48" s="891"/>
      <c r="U48" s="857"/>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68">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56" t="s">
        <v>668</v>
      </c>
      <c r="M81" s="891"/>
      <c r="N81" s="891"/>
      <c r="O81" s="891"/>
      <c r="P81" s="891"/>
      <c r="Q81" s="891"/>
      <c r="R81" s="891"/>
      <c r="S81" s="891"/>
      <c r="T81" s="891"/>
      <c r="U81" s="857"/>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6" t="s">
        <v>673</v>
      </c>
      <c r="M104" s="891"/>
      <c r="N104" s="891"/>
      <c r="O104" s="891"/>
      <c r="P104" s="891"/>
      <c r="Q104" s="891"/>
      <c r="R104" s="891"/>
      <c r="S104" s="891"/>
      <c r="T104" s="891"/>
      <c r="U104" s="857"/>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6" t="s">
        <v>679</v>
      </c>
      <c r="M128" s="891"/>
      <c r="N128" s="891"/>
      <c r="O128" s="891"/>
      <c r="P128" s="891"/>
      <c r="Q128" s="891"/>
      <c r="R128" s="891"/>
      <c r="S128" s="891"/>
      <c r="T128" s="891"/>
      <c r="U128" s="857"/>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6" t="s">
        <v>711</v>
      </c>
      <c r="M162" s="891"/>
      <c r="N162" s="891"/>
      <c r="O162" s="891"/>
      <c r="P162" s="891"/>
      <c r="Q162" s="891"/>
      <c r="R162" s="891"/>
      <c r="S162" s="891"/>
      <c r="T162" s="891"/>
      <c r="U162" s="857"/>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B64"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99" t="s">
        <v>783</v>
      </c>
      <c r="E2" s="899"/>
      <c r="F2" s="899"/>
      <c r="G2" s="899"/>
      <c r="H2" s="899"/>
    </row>
    <row r="3" spans="1:23" ht="15.75" thickTop="1" x14ac:dyDescent="0.25">
      <c r="D3" s="468"/>
      <c r="E3" s="900" t="s">
        <v>784</v>
      </c>
      <c r="F3" s="900"/>
      <c r="G3" s="900" t="s">
        <v>785</v>
      </c>
      <c r="H3" s="900"/>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901" t="s">
        <v>793</v>
      </c>
      <c r="O11" s="901"/>
      <c r="P11" s="901"/>
      <c r="Q11" s="901"/>
      <c r="R11" s="901"/>
      <c r="S11" s="901"/>
      <c r="T11" s="901"/>
      <c r="U11" s="901"/>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3" customFormat="1" x14ac:dyDescent="0.25">
      <c r="C33" s="473" t="s">
        <v>1157</v>
      </c>
      <c r="D33" s="736" t="s">
        <v>815</v>
      </c>
      <c r="E33" s="736" t="s">
        <v>1158</v>
      </c>
      <c r="F33" s="736" t="s">
        <v>1111</v>
      </c>
      <c r="G33" s="737" t="s">
        <v>1128</v>
      </c>
      <c r="H33" s="735" t="s">
        <v>665</v>
      </c>
      <c r="I33" s="738" t="s">
        <v>51</v>
      </c>
      <c r="J33" s="476" t="str">
        <f t="shared" si="5"/>
        <v>Doesn't Apply</v>
      </c>
      <c r="K33" s="739">
        <f t="shared" ref="K33:K35" si="6">+SUM(O33:U33)-T33</f>
        <v>2.9418904109589041</v>
      </c>
      <c r="L33" s="739">
        <f t="shared" ref="L33:L35" si="7">+P33+O33+R33+Q33</f>
        <v>0</v>
      </c>
      <c r="M33" s="739">
        <f t="shared" ref="M33:M35" si="8">+S33-T33+U33</f>
        <v>2.9418904109589041</v>
      </c>
      <c r="N33" s="739">
        <v>2.9418904109589041</v>
      </c>
      <c r="O33" s="739">
        <v>0</v>
      </c>
      <c r="P33" s="739">
        <v>0</v>
      </c>
      <c r="Q33" s="739">
        <v>0</v>
      </c>
      <c r="R33" s="739">
        <v>0</v>
      </c>
      <c r="S33" s="739">
        <v>0</v>
      </c>
      <c r="T33" s="739">
        <v>0</v>
      </c>
      <c r="U33" s="739">
        <v>2.9418904109589041</v>
      </c>
      <c r="V33" s="739">
        <v>0</v>
      </c>
      <c r="W33" s="740">
        <f t="shared" ref="W33:W35" si="9">+K33-P33</f>
        <v>2.9418904109589041</v>
      </c>
    </row>
    <row r="34" spans="2:23" s="563" customFormat="1" x14ac:dyDescent="0.25">
      <c r="C34" s="473" t="s">
        <v>1159</v>
      </c>
      <c r="D34" s="736" t="s">
        <v>815</v>
      </c>
      <c r="E34" s="736" t="s">
        <v>1160</v>
      </c>
      <c r="F34" s="736" t="s">
        <v>1111</v>
      </c>
      <c r="G34" s="737" t="s">
        <v>1156</v>
      </c>
      <c r="H34" s="735" t="s">
        <v>665</v>
      </c>
      <c r="I34" s="738" t="s">
        <v>51</v>
      </c>
      <c r="J34" s="476" t="str">
        <f t="shared" si="5"/>
        <v>Doesn't Apply</v>
      </c>
      <c r="K34" s="739">
        <f t="shared" si="6"/>
        <v>6.2215616438356163</v>
      </c>
      <c r="L34" s="739">
        <f t="shared" si="7"/>
        <v>0.13172602739726028</v>
      </c>
      <c r="M34" s="739">
        <f t="shared" si="8"/>
        <v>6.0898356164383562</v>
      </c>
      <c r="N34" s="739">
        <v>6.2215890410958909</v>
      </c>
      <c r="O34" s="739">
        <v>0</v>
      </c>
      <c r="P34" s="739">
        <v>0</v>
      </c>
      <c r="Q34" s="739">
        <v>1.1643835616438357E-2</v>
      </c>
      <c r="R34" s="739">
        <v>0.12008219178082191</v>
      </c>
      <c r="S34" s="739">
        <v>0</v>
      </c>
      <c r="T34" s="739">
        <v>0</v>
      </c>
      <c r="U34" s="739">
        <v>6.0898356164383562</v>
      </c>
      <c r="V34" s="739">
        <v>6.111890410958905</v>
      </c>
      <c r="W34" s="740">
        <f t="shared" si="9"/>
        <v>6.2215616438356163</v>
      </c>
    </row>
    <row r="35" spans="2:23" s="563" customFormat="1" x14ac:dyDescent="0.25">
      <c r="C35" s="473" t="s">
        <v>1159</v>
      </c>
      <c r="D35" s="736" t="s">
        <v>815</v>
      </c>
      <c r="E35" s="736" t="s">
        <v>1160</v>
      </c>
      <c r="F35" s="736" t="s">
        <v>1111</v>
      </c>
      <c r="G35" s="737" t="s">
        <v>1134</v>
      </c>
      <c r="H35" s="735" t="s">
        <v>665</v>
      </c>
      <c r="I35" s="738" t="s">
        <v>51</v>
      </c>
      <c r="J35" s="476" t="str">
        <f t="shared" si="5"/>
        <v>Doesn't Apply</v>
      </c>
      <c r="K35" s="739">
        <f t="shared" si="6"/>
        <v>28.099424657534254</v>
      </c>
      <c r="L35" s="739">
        <f t="shared" si="7"/>
        <v>0.58819178082191781</v>
      </c>
      <c r="M35" s="739">
        <f t="shared" si="8"/>
        <v>27.511232876712334</v>
      </c>
      <c r="N35" s="739">
        <v>28.099315068493151</v>
      </c>
      <c r="O35" s="739">
        <v>0</v>
      </c>
      <c r="P35" s="739">
        <v>0</v>
      </c>
      <c r="Q35" s="739">
        <v>5.0520547945205482E-2</v>
      </c>
      <c r="R35" s="739">
        <v>0.53767123287671237</v>
      </c>
      <c r="S35" s="739">
        <v>0</v>
      </c>
      <c r="T35" s="739">
        <v>0</v>
      </c>
      <c r="U35" s="739">
        <v>27.511232876712334</v>
      </c>
      <c r="V35" s="739">
        <v>27.609561643835615</v>
      </c>
      <c r="W35" s="740">
        <f t="shared" si="9"/>
        <v>28.099424657534254</v>
      </c>
    </row>
    <row r="38" spans="2:23" x14ac:dyDescent="0.25">
      <c r="B38" s="734"/>
      <c r="C38" t="s">
        <v>1155</v>
      </c>
    </row>
    <row r="56" spans="5:22" x14ac:dyDescent="0.25">
      <c r="V56" s="75"/>
    </row>
    <row r="59" spans="5:22" x14ac:dyDescent="0.25">
      <c r="G59" s="855" t="s">
        <v>51</v>
      </c>
      <c r="H59" s="855"/>
      <c r="J59" s="902" t="s">
        <v>270</v>
      </c>
      <c r="K59" s="902"/>
    </row>
    <row r="60" spans="5:22" x14ac:dyDescent="0.25">
      <c r="F60" s="474"/>
      <c r="H60" s="63"/>
      <c r="K60" s="63"/>
    </row>
    <row r="61" spans="5:22" x14ac:dyDescent="0.25">
      <c r="E61" t="s">
        <v>1026</v>
      </c>
      <c r="F61" s="474" t="s">
        <v>837</v>
      </c>
      <c r="G61">
        <f>+SUMIF($F$13:$F$32,$F61,$M$13:$M$32)</f>
        <v>179.22638356164384</v>
      </c>
      <c r="H61" s="63">
        <f>+G61/$G$66</f>
        <v>0.22717460191782315</v>
      </c>
      <c r="J61">
        <f>+SUMIF($F$13:$F$32,F61,$V$13:$V$32)</f>
        <v>0</v>
      </c>
      <c r="K61" s="63">
        <f>+J61/$J$66</f>
        <v>0</v>
      </c>
    </row>
    <row r="62" spans="5:22" x14ac:dyDescent="0.25">
      <c r="E62" t="s">
        <v>1027</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1028</v>
      </c>
      <c r="F64" s="474" t="s">
        <v>817</v>
      </c>
      <c r="G64">
        <f>+SUMIF($F$13:$F$32,$F64,$M$13:$M$32)</f>
        <v>6.1789589041095905</v>
      </c>
      <c r="H64" s="63">
        <f>+G64/$G$66</f>
        <v>7.8320083316577652E-3</v>
      </c>
      <c r="J64">
        <f>+SUMIF($F$13:$F$32,F64,$V$13:$V$32)</f>
        <v>73780.315945205512</v>
      </c>
      <c r="K64" s="63">
        <f>+J64/$J$66</f>
        <v>0.15931540544359332</v>
      </c>
    </row>
    <row r="65" spans="5:12" x14ac:dyDescent="0.25">
      <c r="E65" t="s">
        <v>1029</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55" t="s">
        <v>1126</v>
      </c>
      <c r="F103" s="855"/>
    </row>
    <row r="104" spans="5:15" x14ac:dyDescent="0.25">
      <c r="E104" s="19"/>
      <c r="F104" s="19" t="s">
        <v>815</v>
      </c>
      <c r="G104" t="s">
        <v>1143</v>
      </c>
      <c r="H104" t="s">
        <v>1144</v>
      </c>
      <c r="I104" t="s">
        <v>1145</v>
      </c>
      <c r="J104" t="s">
        <v>1146</v>
      </c>
      <c r="K104" t="s">
        <v>1147</v>
      </c>
      <c r="L104" t="s">
        <v>1148</v>
      </c>
      <c r="M104" t="s">
        <v>1149</v>
      </c>
      <c r="N104" t="s">
        <v>1150</v>
      </c>
      <c r="O104" t="s">
        <v>1151</v>
      </c>
    </row>
    <row r="105" spans="5:15" x14ac:dyDescent="0.25">
      <c r="E105" s="19" t="s">
        <v>1127</v>
      </c>
      <c r="F105" s="19" t="s">
        <v>1154</v>
      </c>
    </row>
    <row r="106" spans="5:15" x14ac:dyDescent="0.25">
      <c r="E106" s="20" t="s">
        <v>1128</v>
      </c>
      <c r="F106" s="19" t="s">
        <v>1153</v>
      </c>
      <c r="G106" s="433">
        <v>2.9418904109589041</v>
      </c>
      <c r="H106" s="433">
        <v>0</v>
      </c>
      <c r="I106" s="433">
        <v>0</v>
      </c>
      <c r="J106" s="433">
        <v>0</v>
      </c>
      <c r="K106" s="433">
        <v>0</v>
      </c>
      <c r="L106" s="433">
        <v>0</v>
      </c>
      <c r="M106" s="433">
        <v>0</v>
      </c>
      <c r="N106" s="433">
        <v>2.9418904109589041</v>
      </c>
      <c r="O106" s="733">
        <v>0</v>
      </c>
    </row>
    <row r="107" spans="5:15" x14ac:dyDescent="0.25">
      <c r="E107" s="20" t="s">
        <v>1129</v>
      </c>
      <c r="F107" s="19" t="s">
        <v>1152</v>
      </c>
      <c r="G107">
        <v>6.2215890410958909</v>
      </c>
      <c r="H107">
        <v>0</v>
      </c>
      <c r="I107">
        <v>0</v>
      </c>
      <c r="J107">
        <v>1.1643835616438357E-2</v>
      </c>
      <c r="K107">
        <v>0.12008219178082191</v>
      </c>
      <c r="L107">
        <v>0</v>
      </c>
      <c r="M107">
        <v>0</v>
      </c>
      <c r="N107">
        <v>6.0898356164383562</v>
      </c>
      <c r="O107" s="75">
        <v>6.111890410958905</v>
      </c>
    </row>
    <row r="108" spans="5:15" x14ac:dyDescent="0.25">
      <c r="E108" s="19" t="s">
        <v>1130</v>
      </c>
      <c r="F108" s="19" t="s">
        <v>1154</v>
      </c>
    </row>
    <row r="109" spans="5:15" x14ac:dyDescent="0.25">
      <c r="E109" s="19" t="s">
        <v>1131</v>
      </c>
      <c r="F109" s="19" t="s">
        <v>1154</v>
      </c>
    </row>
    <row r="110" spans="5:15" x14ac:dyDescent="0.25">
      <c r="E110" s="19" t="s">
        <v>1132</v>
      </c>
      <c r="F110" s="19" t="s">
        <v>1154</v>
      </c>
    </row>
    <row r="111" spans="5:15" x14ac:dyDescent="0.25">
      <c r="E111" s="19" t="s">
        <v>1133</v>
      </c>
      <c r="F111" s="19" t="s">
        <v>1154</v>
      </c>
    </row>
    <row r="112" spans="5:15" x14ac:dyDescent="0.25">
      <c r="E112" s="20" t="s">
        <v>1134</v>
      </c>
      <c r="F112" s="19" t="s">
        <v>1153</v>
      </c>
      <c r="G112">
        <v>28.099315068493151</v>
      </c>
      <c r="H112">
        <v>0</v>
      </c>
      <c r="I112">
        <v>0</v>
      </c>
      <c r="J112">
        <v>5.0520547945205482E-2</v>
      </c>
      <c r="K112">
        <v>0.53767123287671237</v>
      </c>
      <c r="L112">
        <v>0</v>
      </c>
      <c r="M112">
        <v>0</v>
      </c>
      <c r="N112">
        <v>27.511232876712334</v>
      </c>
      <c r="O112">
        <v>27.609561643835615</v>
      </c>
    </row>
    <row r="113" spans="5:6" x14ac:dyDescent="0.25">
      <c r="E113" s="19" t="s">
        <v>1135</v>
      </c>
      <c r="F113" s="19" t="s">
        <v>1154</v>
      </c>
    </row>
    <row r="114" spans="5:6" x14ac:dyDescent="0.25">
      <c r="E114" s="19" t="s">
        <v>1136</v>
      </c>
      <c r="F114" s="19"/>
    </row>
    <row r="115" spans="5:6" x14ac:dyDescent="0.25">
      <c r="E115" s="19" t="s">
        <v>1137</v>
      </c>
      <c r="F115" s="19" t="s">
        <v>1154</v>
      </c>
    </row>
    <row r="116" spans="5:6" x14ac:dyDescent="0.25">
      <c r="E116" s="19" t="s">
        <v>1138</v>
      </c>
      <c r="F116" s="19" t="s">
        <v>1154</v>
      </c>
    </row>
    <row r="117" spans="5:6" x14ac:dyDescent="0.25">
      <c r="E117" s="19" t="s">
        <v>1139</v>
      </c>
      <c r="F117" s="19" t="s">
        <v>1154</v>
      </c>
    </row>
    <row r="118" spans="5:6" x14ac:dyDescent="0.25">
      <c r="E118" s="19" t="s">
        <v>1140</v>
      </c>
      <c r="F118" s="19" t="s">
        <v>1154</v>
      </c>
    </row>
    <row r="119" spans="5:6" x14ac:dyDescent="0.25">
      <c r="E119" s="19" t="s">
        <v>1141</v>
      </c>
      <c r="F119" s="19" t="s">
        <v>1154</v>
      </c>
    </row>
    <row r="120" spans="5:6" x14ac:dyDescent="0.25">
      <c r="E120" s="19" t="s">
        <v>1142</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97" priority="22">
      <formula>LEN(TRIM(F13))=0</formula>
    </cfRule>
  </conditionalFormatting>
  <conditionalFormatting sqref="H13:I24">
    <cfRule type="containsText" dxfId="96" priority="19" operator="containsText" text="Oil and Gas">
      <formula>NOT(ISERROR(SEARCH("Oil and Gas",H13)))</formula>
    </cfRule>
    <cfRule type="containsText" dxfId="95" priority="20" operator="containsText" text="Gas">
      <formula>NOT(ISERROR(SEARCH("Gas",H13)))</formula>
    </cfRule>
    <cfRule type="containsText" dxfId="94" priority="21" operator="containsText" text="Oil">
      <formula>NOT(ISERROR(SEARCH("Oil",H13)))</formula>
    </cfRule>
  </conditionalFormatting>
  <conditionalFormatting sqref="H25:I32">
    <cfRule type="containsText" dxfId="93" priority="12" operator="containsText" text="Oil and Gas">
      <formula>NOT(ISERROR(SEARCH("Oil and Gas",H25)))</formula>
    </cfRule>
    <cfRule type="containsText" dxfId="92" priority="13" operator="containsText" text="Gas">
      <formula>NOT(ISERROR(SEARCH("Gas",H25)))</formula>
    </cfRule>
    <cfRule type="containsText" dxfId="91" priority="14" operator="containsText" text="Oil">
      <formula>NOT(ISERROR(SEARCH("Oil",H25)))</formula>
    </cfRule>
  </conditionalFormatting>
  <conditionalFormatting sqref="N13:V32">
    <cfRule type="cellIs" dxfId="90" priority="11" operator="equal">
      <formula>0</formula>
    </cfRule>
  </conditionalFormatting>
  <conditionalFormatting sqref="F60">
    <cfRule type="containsBlanks" dxfId="89" priority="10">
      <formula>LEN(TRIM(F60))=0</formula>
    </cfRule>
  </conditionalFormatting>
  <conditionalFormatting sqref="F61">
    <cfRule type="containsBlanks" dxfId="88" priority="9">
      <formula>LEN(TRIM(F61))=0</formula>
    </cfRule>
  </conditionalFormatting>
  <conditionalFormatting sqref="F62">
    <cfRule type="containsBlanks" dxfId="87" priority="8">
      <formula>LEN(TRIM(F62))=0</formula>
    </cfRule>
  </conditionalFormatting>
  <conditionalFormatting sqref="F63">
    <cfRule type="containsBlanks" dxfId="86" priority="7">
      <formula>LEN(TRIM(F63))=0</formula>
    </cfRule>
  </conditionalFormatting>
  <conditionalFormatting sqref="F64">
    <cfRule type="containsBlanks" dxfId="85" priority="6">
      <formula>LEN(TRIM(F64))=0</formula>
    </cfRule>
  </conditionalFormatting>
  <conditionalFormatting sqref="F65">
    <cfRule type="containsBlanks" dxfId="84" priority="5">
      <formula>LEN(TRIM(F65))=0</formula>
    </cfRule>
  </conditionalFormatting>
  <conditionalFormatting sqref="H33:I35">
    <cfRule type="containsText" dxfId="83" priority="2" operator="containsText" text="Oil and Gas">
      <formula>NOT(ISERROR(SEARCH("Oil and Gas",H33)))</formula>
    </cfRule>
    <cfRule type="containsText" dxfId="82" priority="3" operator="containsText" text="Gas">
      <formula>NOT(ISERROR(SEARCH("Gas",H33)))</formula>
    </cfRule>
    <cfRule type="containsText" dxfId="81" priority="4" operator="containsText" text="Oil">
      <formula>NOT(ISERROR(SEARCH("Oil",H33)))</formula>
    </cfRule>
  </conditionalFormatting>
  <conditionalFormatting sqref="N33:V35">
    <cfRule type="cellIs" dxfId="80"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F55" zoomScaleNormal="100" workbookViewId="0">
      <selection activeCell="F108" sqref="F108"/>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598" t="s">
        <v>911</v>
      </c>
      <c r="P4" s="598"/>
      <c r="Q4" s="598"/>
      <c r="R4" s="598"/>
      <c r="S4" s="598"/>
      <c r="T4" s="598"/>
      <c r="U4" s="598"/>
      <c r="V4" s="598"/>
      <c r="W4" s="598"/>
      <c r="X4" s="598"/>
      <c r="Y4" s="51"/>
      <c r="Z4" s="51"/>
      <c r="AA4" s="51"/>
      <c r="AC4" s="597" t="s">
        <v>916</v>
      </c>
      <c r="AD4" s="597"/>
      <c r="AE4" s="597"/>
      <c r="AF4" s="597"/>
      <c r="AG4" s="597"/>
      <c r="AH4" s="597"/>
      <c r="AI4" s="597"/>
      <c r="AJ4" s="597"/>
      <c r="AK4" s="597"/>
      <c r="AL4" s="597"/>
      <c r="AM4" s="24"/>
      <c r="AN4" s="24"/>
      <c r="AO4" s="596"/>
      <c r="AV4" s="514" t="s">
        <v>916</v>
      </c>
      <c r="AW4" s="514"/>
      <c r="AX4" s="514"/>
      <c r="AY4" s="514"/>
      <c r="AZ4" s="514"/>
      <c r="BA4" s="514"/>
      <c r="BB4" s="514"/>
      <c r="BC4" s="514"/>
      <c r="BD4" s="514"/>
      <c r="BE4" s="514"/>
      <c r="BF4" s="515"/>
      <c r="BG4" s="515"/>
      <c r="BH4" s="515"/>
    </row>
    <row r="5" spans="8:61" ht="18.75" x14ac:dyDescent="0.25">
      <c r="H5" s="512" t="s">
        <v>795</v>
      </c>
      <c r="I5" s="512" t="s">
        <v>796</v>
      </c>
      <c r="J5" s="468" t="s">
        <v>797</v>
      </c>
      <c r="K5" s="512" t="s">
        <v>798</v>
      </c>
      <c r="L5" s="512" t="s">
        <v>799</v>
      </c>
      <c r="N5">
        <v>2019</v>
      </c>
      <c r="O5" s="503">
        <v>2020</v>
      </c>
      <c r="P5" s="504">
        <v>2023</v>
      </c>
      <c r="Q5" s="504">
        <v>2025</v>
      </c>
      <c r="R5" s="504">
        <v>2027</v>
      </c>
      <c r="S5" s="504">
        <v>2030</v>
      </c>
      <c r="T5" s="504">
        <v>2033</v>
      </c>
      <c r="U5" s="504">
        <v>2035</v>
      </c>
      <c r="V5" s="504">
        <v>2037</v>
      </c>
      <c r="W5" s="504">
        <v>2040</v>
      </c>
      <c r="X5" s="504">
        <v>2043</v>
      </c>
      <c r="Y5" s="499">
        <v>2045</v>
      </c>
      <c r="Z5" s="499">
        <v>2047</v>
      </c>
      <c r="AA5" s="500">
        <v>2050</v>
      </c>
      <c r="AB5" s="51" t="s">
        <v>912</v>
      </c>
      <c r="AC5" s="591">
        <v>2020</v>
      </c>
      <c r="AD5" s="592">
        <v>2023</v>
      </c>
      <c r="AE5" s="592">
        <v>2025</v>
      </c>
      <c r="AF5" s="592">
        <v>2027</v>
      </c>
      <c r="AG5" s="592">
        <v>2030</v>
      </c>
      <c r="AH5" s="592">
        <v>2033</v>
      </c>
      <c r="AI5" s="592">
        <v>2035</v>
      </c>
      <c r="AJ5" s="592">
        <v>2037</v>
      </c>
      <c r="AK5" s="592">
        <v>2040</v>
      </c>
      <c r="AL5" s="592">
        <v>2043</v>
      </c>
      <c r="AM5" s="593">
        <v>2045</v>
      </c>
      <c r="AN5" s="593">
        <v>2047</v>
      </c>
      <c r="AO5" s="594">
        <v>2050</v>
      </c>
      <c r="AP5" s="513"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3" t="s">
        <v>917</v>
      </c>
    </row>
    <row r="6" spans="8:61" ht="15.75" x14ac:dyDescent="0.25">
      <c r="H6" s="473" t="e" vm="1">
        <v>#VALUE!</v>
      </c>
      <c r="I6" s="474" t="s">
        <v>815</v>
      </c>
      <c r="J6" s="474" t="s">
        <v>836</v>
      </c>
      <c r="K6" s="474" t="s">
        <v>837</v>
      </c>
      <c r="L6" s="475" t="s">
        <v>838</v>
      </c>
      <c r="M6" s="505">
        <f>+F50</f>
        <v>28.68</v>
      </c>
      <c r="O6" s="505">
        <f>+AE50</f>
        <v>18483.601194567513</v>
      </c>
      <c r="P6" s="505">
        <f t="shared" ref="P6:AA6" si="0">+AF50</f>
        <v>14640.064399328548</v>
      </c>
      <c r="Q6" s="505">
        <f t="shared" si="0"/>
        <v>12077.70653583575</v>
      </c>
      <c r="R6" s="505">
        <f t="shared" si="0"/>
        <v>0</v>
      </c>
      <c r="S6" s="505">
        <f t="shared" si="0"/>
        <v>0</v>
      </c>
      <c r="T6" s="505">
        <f t="shared" si="0"/>
        <v>0</v>
      </c>
      <c r="U6" s="505">
        <f t="shared" si="0"/>
        <v>0</v>
      </c>
      <c r="V6" s="505">
        <f t="shared" si="0"/>
        <v>0</v>
      </c>
      <c r="W6" s="505">
        <f t="shared" si="0"/>
        <v>0</v>
      </c>
      <c r="X6" s="505">
        <f t="shared" si="0"/>
        <v>0</v>
      </c>
      <c r="Y6" s="502">
        <f t="shared" si="0"/>
        <v>0</v>
      </c>
      <c r="Z6" s="502">
        <f t="shared" si="0"/>
        <v>0</v>
      </c>
      <c r="AA6" s="502">
        <f t="shared" si="0"/>
        <v>0</v>
      </c>
      <c r="AB6" s="502">
        <f>+SLOPE(O6:AA6,O$5:AA$5)</f>
        <v>-510.41980077296512</v>
      </c>
      <c r="AC6" s="595">
        <f>+O6*$T$2*365/1000</f>
        <v>38.455132285297715</v>
      </c>
      <c r="AD6" s="595">
        <f t="shared" ref="AD6:AE6" si="1">+P6*$T$2*365/1000</f>
        <v>30.458653982803046</v>
      </c>
      <c r="AE6" s="595">
        <f t="shared" si="1"/>
        <v>25.127668447806283</v>
      </c>
      <c r="AF6" s="595"/>
      <c r="AG6" s="595"/>
      <c r="AH6" s="595"/>
      <c r="AI6" s="595"/>
      <c r="AJ6" s="595"/>
      <c r="AK6" s="595"/>
      <c r="AL6" s="595"/>
      <c r="AM6" s="595"/>
      <c r="AN6" s="595"/>
      <c r="AO6" s="595"/>
      <c r="AP6" s="507">
        <f>+SLOPE(AC6:AO6,AC$5:AO$5)</f>
        <v>-2.6654927674982813</v>
      </c>
      <c r="AQ6" s="506" t="s">
        <v>838</v>
      </c>
      <c r="AS6" s="75"/>
      <c r="AT6" s="525" t="s">
        <v>919</v>
      </c>
      <c r="AU6" s="516">
        <f>+M6+M7</f>
        <v>43.6</v>
      </c>
      <c r="AV6" s="516">
        <f>+AC6+AC7</f>
        <v>45.816389720978073</v>
      </c>
      <c r="AW6" s="517">
        <f t="shared" ref="AW6:BC6" si="2">+AD6+AD7</f>
        <v>36.93438053993998</v>
      </c>
      <c r="AX6" s="517">
        <f t="shared" si="2"/>
        <v>31.01304108591415</v>
      </c>
      <c r="AY6" s="517">
        <f t="shared" si="2"/>
        <v>5.2950187190789215</v>
      </c>
      <c r="AZ6" s="517">
        <f t="shared" si="2"/>
        <v>4.4094878405355011</v>
      </c>
      <c r="BA6" s="517">
        <f t="shared" si="2"/>
        <v>3.5239569619919613</v>
      </c>
      <c r="BB6" s="517">
        <f t="shared" si="2"/>
        <v>2.9336030429630142</v>
      </c>
      <c r="BC6" s="517">
        <f t="shared" si="2"/>
        <v>2.3432491239340676</v>
      </c>
      <c r="BD6" s="517"/>
      <c r="BE6" s="517"/>
      <c r="BF6" s="517"/>
      <c r="BG6" s="517"/>
      <c r="BH6" s="518"/>
      <c r="BI6">
        <f t="shared" ref="BI6:BI11" si="3">+SLOPE(AV6:BH6,AV$5:BH$5)</f>
        <v>-2.6851115732294639</v>
      </c>
    </row>
    <row r="7" spans="8:61" ht="15.75" x14ac:dyDescent="0.25">
      <c r="H7" s="473" t="e" vm="1">
        <v>#VALUE!</v>
      </c>
      <c r="I7" s="474" t="s">
        <v>815</v>
      </c>
      <c r="J7" s="474" t="s">
        <v>836</v>
      </c>
      <c r="K7" s="474" t="s">
        <v>837</v>
      </c>
      <c r="L7" s="475" t="s">
        <v>839</v>
      </c>
      <c r="M7" s="505">
        <f>+F42</f>
        <v>14.92</v>
      </c>
      <c r="O7" s="505">
        <f>+AE42</f>
        <v>3538.2155422640499</v>
      </c>
      <c r="P7" s="505">
        <f t="shared" ref="P7:AA7" si="4">+AF42</f>
        <v>3112.5818587536342</v>
      </c>
      <c r="Q7" s="505">
        <f t="shared" si="4"/>
        <v>2828.8260697466321</v>
      </c>
      <c r="R7" s="505">
        <f>+AH42</f>
        <v>2545.0702807396883</v>
      </c>
      <c r="S7" s="505">
        <f t="shared" si="4"/>
        <v>2119.4365972292726</v>
      </c>
      <c r="T7" s="505">
        <f t="shared" si="4"/>
        <v>1693.8029137187987</v>
      </c>
      <c r="U7" s="505">
        <f t="shared" si="4"/>
        <v>1410.0471247118548</v>
      </c>
      <c r="V7" s="505">
        <f t="shared" si="4"/>
        <v>1126.291335704911</v>
      </c>
      <c r="W7" s="505">
        <f t="shared" si="4"/>
        <v>0</v>
      </c>
      <c r="X7" s="505">
        <f t="shared" si="4"/>
        <v>0</v>
      </c>
      <c r="Y7" s="502">
        <f t="shared" si="4"/>
        <v>0</v>
      </c>
      <c r="Z7" s="502">
        <f t="shared" si="4"/>
        <v>0</v>
      </c>
      <c r="AA7" s="502">
        <f t="shared" si="4"/>
        <v>0</v>
      </c>
      <c r="AB7" s="502">
        <f t="shared" ref="AB7:AB28" si="5">+SLOPE(O7:AA7,O$5:AA$5)</f>
        <v>-134.16836701473517</v>
      </c>
      <c r="AC7" s="595">
        <f t="shared" ref="AC7:AC24" si="6">+O7*$T$2*365/1000</f>
        <v>7.361257435680356</v>
      </c>
      <c r="AD7" s="595">
        <f t="shared" ref="AD7:AD25" si="7">+P7*$T$2*365/1000</f>
        <v>6.4757265571369373</v>
      </c>
      <c r="AE7" s="595">
        <f t="shared" ref="AE7:AE25" si="8">+Q7*$T$2*365/1000</f>
        <v>5.8853726381078681</v>
      </c>
      <c r="AF7" s="595">
        <f t="shared" ref="AF7:AF25" si="9">+R7*$T$2*365/1000</f>
        <v>5.2950187190789215</v>
      </c>
      <c r="AG7" s="595">
        <f t="shared" ref="AG7:AG25" si="10">+S7*$T$2*365/1000</f>
        <v>4.4094878405355011</v>
      </c>
      <c r="AH7" s="595">
        <f t="shared" ref="AH7:AH25" si="11">+T7*$T$2*365/1000</f>
        <v>3.5239569619919613</v>
      </c>
      <c r="AI7" s="595">
        <f t="shared" ref="AI7:AI25" si="12">+U7*$T$2*365/1000</f>
        <v>2.9336030429630142</v>
      </c>
      <c r="AJ7" s="595">
        <f t="shared" ref="AJ7:AJ25" si="13">+V7*$T$2*365/1000</f>
        <v>2.3432491239340676</v>
      </c>
      <c r="AK7" s="595"/>
      <c r="AL7" s="595"/>
      <c r="AM7" s="595"/>
      <c r="AN7" s="595"/>
      <c r="AO7" s="595"/>
      <c r="AP7" s="507">
        <f t="shared" ref="AP7:AP28" si="14">+SLOPE(AC7:AO7,AC$5:AO$5)</f>
        <v>-0.29517695951448913</v>
      </c>
      <c r="AQ7" t="s">
        <v>839</v>
      </c>
      <c r="AT7" s="526" t="s">
        <v>918</v>
      </c>
      <c r="AU7" s="519">
        <f>+M8+M9+M10+M11+M12</f>
        <v>352.93895363113921</v>
      </c>
      <c r="AV7" s="519">
        <f t="shared" ref="AV7:BH7" si="15">+AC8+AC9+AC10+AC11+AC12</f>
        <v>301.36815227622213</v>
      </c>
      <c r="AW7" s="520">
        <f t="shared" si="15"/>
        <v>242.4264960500318</v>
      </c>
      <c r="AX7" s="520">
        <f t="shared" si="15"/>
        <v>171.85349200804063</v>
      </c>
      <c r="AY7" s="520">
        <f t="shared" si="15"/>
        <v>144.12763630355897</v>
      </c>
      <c r="AZ7" s="520">
        <f t="shared" si="15"/>
        <v>105.8236587820916</v>
      </c>
      <c r="BA7" s="520">
        <f t="shared" si="15"/>
        <v>70.344739436893036</v>
      </c>
      <c r="BB7" s="520">
        <f t="shared" si="15"/>
        <v>40.133944941341369</v>
      </c>
      <c r="BC7" s="520">
        <f t="shared" si="15"/>
        <v>26.750010300979817</v>
      </c>
      <c r="BD7" s="520">
        <f t="shared" si="15"/>
        <v>15.011164110721554</v>
      </c>
      <c r="BE7" s="520">
        <f t="shared" si="15"/>
        <v>11.223685114326383</v>
      </c>
      <c r="BF7" s="520">
        <f t="shared" si="15"/>
        <v>8.6986991167298644</v>
      </c>
      <c r="BG7" s="520">
        <f t="shared" si="15"/>
        <v>6.3213973707030426</v>
      </c>
      <c r="BH7" s="521">
        <f t="shared" si="15"/>
        <v>2.9625197140667652</v>
      </c>
      <c r="BI7">
        <f t="shared" si="3"/>
        <v>-9.382008134021282</v>
      </c>
    </row>
    <row r="8" spans="8:61" x14ac:dyDescent="0.25">
      <c r="H8" s="473" t="e" vm="2">
        <v>#VALUE!</v>
      </c>
      <c r="I8" s="474" t="s">
        <v>815</v>
      </c>
      <c r="J8" s="474" t="s">
        <v>849</v>
      </c>
      <c r="K8" s="474" t="s">
        <v>822</v>
      </c>
      <c r="L8" s="475" t="s">
        <v>850</v>
      </c>
      <c r="M8" s="505">
        <f>+F61</f>
        <v>3.84</v>
      </c>
      <c r="O8" s="505">
        <f>+AE61</f>
        <v>4827.9957140304614</v>
      </c>
      <c r="P8" s="505">
        <f t="shared" ref="P8:AA8" si="16">+AF61</f>
        <v>2686.6182510862127</v>
      </c>
      <c r="Q8" s="505">
        <f t="shared" si="16"/>
        <v>1259.0332757900469</v>
      </c>
      <c r="R8" s="505">
        <f t="shared" si="16"/>
        <v>0</v>
      </c>
      <c r="S8" s="505">
        <f t="shared" si="16"/>
        <v>0</v>
      </c>
      <c r="T8" s="505">
        <f t="shared" si="16"/>
        <v>0</v>
      </c>
      <c r="U8" s="505">
        <f t="shared" si="16"/>
        <v>0</v>
      </c>
      <c r="V8" s="505">
        <f t="shared" si="16"/>
        <v>0</v>
      </c>
      <c r="W8" s="505">
        <f t="shared" si="16"/>
        <v>0</v>
      </c>
      <c r="X8" s="505">
        <f t="shared" si="16"/>
        <v>0</v>
      </c>
      <c r="Y8" s="502">
        <f t="shared" si="16"/>
        <v>0</v>
      </c>
      <c r="Z8" s="502">
        <f t="shared" si="16"/>
        <v>0</v>
      </c>
      <c r="AA8" s="502">
        <f t="shared" si="16"/>
        <v>0</v>
      </c>
      <c r="AB8" s="502">
        <f t="shared" si="5"/>
        <v>-104.31466857775084</v>
      </c>
      <c r="AC8" s="595">
        <f t="shared" si="6"/>
        <v>10.044645083040376</v>
      </c>
      <c r="AD8" s="595">
        <f t="shared" si="7"/>
        <v>5.5895092713848653</v>
      </c>
      <c r="AE8" s="595">
        <f t="shared" si="8"/>
        <v>2.6194187302811924</v>
      </c>
      <c r="AF8" s="595"/>
      <c r="AG8" s="595"/>
      <c r="AH8" s="595"/>
      <c r="AI8" s="595"/>
      <c r="AJ8" s="595"/>
      <c r="AK8" s="595"/>
      <c r="AL8" s="595"/>
      <c r="AM8" s="595"/>
      <c r="AN8" s="595"/>
      <c r="AO8" s="595"/>
      <c r="AP8" s="507">
        <f t="shared" si="14"/>
        <v>-1.4850452705518367</v>
      </c>
      <c r="AQ8" t="s">
        <v>850</v>
      </c>
      <c r="AT8" s="527" t="s">
        <v>920</v>
      </c>
      <c r="AU8" s="519">
        <f>+M13+M14+M15+M16+M17</f>
        <v>1061.9250522587006</v>
      </c>
      <c r="AV8" s="519">
        <f t="shared" ref="AV8:BH8" si="17">+AC13+AC14+AC15+AC16+AC17</f>
        <v>608.13099036155506</v>
      </c>
      <c r="AW8" s="520">
        <f t="shared" si="17"/>
        <v>522.49516194613284</v>
      </c>
      <c r="AX8" s="520">
        <f t="shared" si="17"/>
        <v>465.4046096691859</v>
      </c>
      <c r="AY8" s="520">
        <f t="shared" si="17"/>
        <v>408.31405739223914</v>
      </c>
      <c r="AZ8" s="520">
        <f t="shared" si="17"/>
        <v>322.94891794545288</v>
      </c>
      <c r="BA8" s="520">
        <f t="shared" si="17"/>
        <v>238.8461909306553</v>
      </c>
      <c r="BB8" s="520">
        <f t="shared" si="17"/>
        <v>182.7777062541233</v>
      </c>
      <c r="BC8" s="520">
        <f t="shared" si="17"/>
        <v>108.5477198417107</v>
      </c>
      <c r="BD8" s="520">
        <f t="shared" si="17"/>
        <v>81.980543736094816</v>
      </c>
      <c r="BE8" s="520">
        <f t="shared" si="17"/>
        <v>69.118940327005319</v>
      </c>
      <c r="BF8" s="520">
        <f t="shared" si="17"/>
        <v>57.053872779304349</v>
      </c>
      <c r="BG8" s="520">
        <f t="shared" si="17"/>
        <v>51.833914283484027</v>
      </c>
      <c r="BH8" s="521">
        <f t="shared" si="17"/>
        <v>40.640370330935419</v>
      </c>
      <c r="BI8">
        <f t="shared" si="3"/>
        <v>-19.949111557879402</v>
      </c>
    </row>
    <row r="9" spans="8:61" ht="30" x14ac:dyDescent="0.25">
      <c r="H9" s="473" t="e" vm="3">
        <v>#VALUE!</v>
      </c>
      <c r="I9" s="474" t="s">
        <v>815</v>
      </c>
      <c r="J9" s="474" t="s">
        <v>821</v>
      </c>
      <c r="K9" s="474" t="s">
        <v>822</v>
      </c>
      <c r="L9" s="475" t="s">
        <v>823</v>
      </c>
      <c r="M9" s="505">
        <f>+F51+F52+F53</f>
        <v>175.65971432336164</v>
      </c>
      <c r="O9" s="505">
        <f>+AE51+AE52+AE53</f>
        <v>57199.273556603264</v>
      </c>
      <c r="P9" s="505">
        <f t="shared" ref="P9:AA9" si="18">+AF51+AF52+AF53</f>
        <v>48216.942760049453</v>
      </c>
      <c r="Q9" s="505">
        <f t="shared" si="18"/>
        <v>42228.72222901287</v>
      </c>
      <c r="R9" s="505">
        <f t="shared" si="18"/>
        <v>36240.501697976375</v>
      </c>
      <c r="S9" s="505">
        <f t="shared" si="18"/>
        <v>27258.170901422563</v>
      </c>
      <c r="T9" s="505">
        <f t="shared" si="18"/>
        <v>18275.840104868665</v>
      </c>
      <c r="U9" s="505">
        <f t="shared" si="18"/>
        <v>9120.5378289312648</v>
      </c>
      <c r="V9" s="505">
        <f t="shared" si="18"/>
        <v>8053.1278169640864</v>
      </c>
      <c r="W9" s="505">
        <f t="shared" si="18"/>
        <v>6452.0127990135225</v>
      </c>
      <c r="X9" s="505">
        <f t="shared" si="18"/>
        <v>4850.897781062813</v>
      </c>
      <c r="Y9" s="502">
        <f t="shared" si="18"/>
        <v>3783.4877690957801</v>
      </c>
      <c r="Z9" s="502">
        <f t="shared" si="18"/>
        <v>2787.0627374554751</v>
      </c>
      <c r="AA9" s="502">
        <f t="shared" si="18"/>
        <v>1391.9565345775336</v>
      </c>
      <c r="AB9" s="502">
        <f t="shared" si="5"/>
        <v>-1905.9730485977291</v>
      </c>
      <c r="AC9" s="595">
        <f t="shared" si="6"/>
        <v>119.00308863451311</v>
      </c>
      <c r="AD9" s="595">
        <f t="shared" si="7"/>
        <v>100.31534941228288</v>
      </c>
      <c r="AE9" s="595">
        <f t="shared" si="8"/>
        <v>87.856856597461288</v>
      </c>
      <c r="AF9" s="595">
        <f t="shared" si="9"/>
        <v>75.398363782639848</v>
      </c>
      <c r="AG9" s="595">
        <f t="shared" si="10"/>
        <v>56.710624560409649</v>
      </c>
      <c r="AH9" s="595">
        <f t="shared" si="11"/>
        <v>38.022885338179258</v>
      </c>
      <c r="AI9" s="595">
        <f t="shared" si="12"/>
        <v>18.975278953091497</v>
      </c>
      <c r="AJ9" s="595">
        <f t="shared" si="13"/>
        <v>16.754532423193783</v>
      </c>
      <c r="AK9" s="595">
        <f t="shared" ref="AK9:AK25" si="19">+W9*$T$2*365/1000</f>
        <v>13.423412628347632</v>
      </c>
      <c r="AL9" s="595">
        <f t="shared" ref="AL9:AL25" si="20">+X9*$T$2*365/1000</f>
        <v>10.092292833501183</v>
      </c>
      <c r="AM9" s="595">
        <f t="shared" ref="AM9:AM25" si="21">+Y9*$T$2*365/1000</f>
        <v>7.8715463036037701</v>
      </c>
      <c r="AN9" s="595">
        <f t="shared" ref="AN9:AN25" si="22">+Z9*$T$2*365/1000</f>
        <v>5.7984840252761156</v>
      </c>
      <c r="AO9" s="595">
        <f t="shared" ref="AO9:AO25" si="23">+AA9*$T$2*365/1000</f>
        <v>2.8959655701885585</v>
      </c>
      <c r="AP9" s="507">
        <f t="shared" si="14"/>
        <v>-3.9653769276075757</v>
      </c>
      <c r="AQ9" t="s">
        <v>823</v>
      </c>
      <c r="AT9" s="527" t="s">
        <v>921</v>
      </c>
      <c r="AU9" s="519">
        <f>+M18</f>
        <v>7.3</v>
      </c>
      <c r="AV9" s="519">
        <f t="shared" ref="AV9:BD9" si="24">+AC18</f>
        <v>3.8691863439810894</v>
      </c>
      <c r="AW9" s="520">
        <f t="shared" si="24"/>
        <v>3.4185516111034171</v>
      </c>
      <c r="AX9" s="520">
        <f t="shared" si="24"/>
        <v>3.1181284558516555</v>
      </c>
      <c r="AY9" s="520">
        <f t="shared" si="24"/>
        <v>2.8177053005998336</v>
      </c>
      <c r="AZ9" s="520">
        <f t="shared" si="24"/>
        <v>2.3670705677222217</v>
      </c>
      <c r="BA9" s="520">
        <f t="shared" si="24"/>
        <v>1.9164358348445492</v>
      </c>
      <c r="BB9" s="520">
        <f t="shared" si="24"/>
        <v>1.616012679592727</v>
      </c>
      <c r="BC9" s="520">
        <f t="shared" si="24"/>
        <v>1.3155895243409652</v>
      </c>
      <c r="BD9" s="520">
        <f t="shared" si="24"/>
        <v>0.86495479146329268</v>
      </c>
      <c r="BE9" s="520"/>
      <c r="BF9" s="520"/>
      <c r="BG9" s="520"/>
      <c r="BH9" s="521"/>
      <c r="BI9">
        <f t="shared" si="3"/>
        <v>-0.15021157762588969</v>
      </c>
    </row>
    <row r="10" spans="8:61" x14ac:dyDescent="0.25">
      <c r="H10" s="473" t="e" vm="3">
        <v>#VALUE!</v>
      </c>
      <c r="I10" s="474" t="s">
        <v>815</v>
      </c>
      <c r="J10" s="474" t="s">
        <v>824</v>
      </c>
      <c r="K10" s="474" t="s">
        <v>822</v>
      </c>
      <c r="L10" s="475" t="s">
        <v>825</v>
      </c>
      <c r="M10" s="505">
        <f>+F54+F55</f>
        <v>27.95</v>
      </c>
      <c r="O10" s="505">
        <f>+AE54+AE55</f>
        <v>28513.982927143341</v>
      </c>
      <c r="P10" s="505">
        <f t="shared" ref="P10:AA10" si="25">+AF54+AF55</f>
        <v>20426.088212779025</v>
      </c>
      <c r="Q10" s="505">
        <f t="shared" si="25"/>
        <v>0</v>
      </c>
      <c r="R10" s="505">
        <f t="shared" si="25"/>
        <v>0</v>
      </c>
      <c r="S10" s="505">
        <f t="shared" si="25"/>
        <v>0</v>
      </c>
      <c r="T10" s="505">
        <f t="shared" si="25"/>
        <v>0</v>
      </c>
      <c r="U10" s="505">
        <f t="shared" si="25"/>
        <v>0</v>
      </c>
      <c r="V10" s="505">
        <f t="shared" si="25"/>
        <v>0</v>
      </c>
      <c r="W10" s="505">
        <f t="shared" si="25"/>
        <v>0</v>
      </c>
      <c r="X10" s="505">
        <f t="shared" si="25"/>
        <v>0</v>
      </c>
      <c r="Y10" s="502">
        <f t="shared" si="25"/>
        <v>0</v>
      </c>
      <c r="Z10" s="502">
        <f t="shared" si="25"/>
        <v>0</v>
      </c>
      <c r="AA10" s="502">
        <f t="shared" si="25"/>
        <v>0</v>
      </c>
      <c r="AB10" s="502">
        <f t="shared" si="5"/>
        <v>-598.59679934208043</v>
      </c>
      <c r="AC10" s="595">
        <f t="shared" si="6"/>
        <v>59.323341479921723</v>
      </c>
      <c r="AD10" s="595">
        <f t="shared" si="7"/>
        <v>42.496476526686763</v>
      </c>
      <c r="AE10" s="595"/>
      <c r="AF10" s="595"/>
      <c r="AG10" s="595"/>
      <c r="AH10" s="595"/>
      <c r="AI10" s="595"/>
      <c r="AJ10" s="595"/>
      <c r="AK10" s="595"/>
      <c r="AL10" s="595"/>
      <c r="AM10" s="595"/>
      <c r="AN10" s="595"/>
      <c r="AO10" s="595"/>
      <c r="AP10" s="507">
        <f t="shared" si="14"/>
        <v>-5.6089549844116533</v>
      </c>
      <c r="AQ10" t="s">
        <v>825</v>
      </c>
      <c r="AT10" s="527" t="s">
        <v>923</v>
      </c>
      <c r="AU10" s="519">
        <f>+M19+M21+M22</f>
        <v>173.04420386519871</v>
      </c>
      <c r="AV10" s="519">
        <f t="shared" ref="AV10:BG10" si="26">+AC19+AC21+AC22</f>
        <v>120.10488082771383</v>
      </c>
      <c r="AW10" s="520">
        <f t="shared" si="26"/>
        <v>102.2710976328155</v>
      </c>
      <c r="AX10" s="520">
        <f t="shared" si="26"/>
        <v>90.38190883621688</v>
      </c>
      <c r="AY10" s="520">
        <f t="shared" si="26"/>
        <v>78.492720039619002</v>
      </c>
      <c r="AZ10" s="520">
        <f t="shared" si="26"/>
        <v>60.658936844720685</v>
      </c>
      <c r="BA10" s="520">
        <f t="shared" si="26"/>
        <v>42.82515364982315</v>
      </c>
      <c r="BB10" s="520">
        <f t="shared" si="26"/>
        <v>29.271790257160674</v>
      </c>
      <c r="BC10" s="520">
        <f t="shared" si="26"/>
        <v>19.864940326937376</v>
      </c>
      <c r="BD10" s="520">
        <f t="shared" si="26"/>
        <v>13.68927126234288</v>
      </c>
      <c r="BE10" s="520">
        <f t="shared" si="26"/>
        <v>9.6070650611223698</v>
      </c>
      <c r="BF10" s="520">
        <f t="shared" si="26"/>
        <v>6.8855942603083893</v>
      </c>
      <c r="BG10" s="520">
        <f t="shared" si="26"/>
        <v>4.1641234594948973</v>
      </c>
      <c r="BH10" s="521"/>
      <c r="BI10">
        <f t="shared" si="3"/>
        <v>-4.4565773241322679</v>
      </c>
    </row>
    <row r="11" spans="8:61" ht="15.75" x14ac:dyDescent="0.25">
      <c r="H11" s="473" t="e" vm="3">
        <v>#VALUE!</v>
      </c>
      <c r="I11" s="474" t="s">
        <v>815</v>
      </c>
      <c r="J11" s="474" t="s">
        <v>826</v>
      </c>
      <c r="K11" s="474" t="s">
        <v>822</v>
      </c>
      <c r="L11" s="475" t="s">
        <v>827</v>
      </c>
      <c r="M11" s="505">
        <f>+F65+F66</f>
        <v>130.80000000000001</v>
      </c>
      <c r="O11" s="505">
        <f>+AE65+AE66</f>
        <v>48633.343378444086</v>
      </c>
      <c r="P11" s="505">
        <f t="shared" ref="P11:AA11" si="27">+AF65+AF66</f>
        <v>40676.95037223761</v>
      </c>
      <c r="Q11" s="505">
        <f t="shared" si="27"/>
        <v>35372.688368100266</v>
      </c>
      <c r="R11" s="505">
        <f t="shared" si="27"/>
        <v>30068.426363962935</v>
      </c>
      <c r="S11" s="505">
        <f t="shared" si="27"/>
        <v>22112.03335775646</v>
      </c>
      <c r="T11" s="505">
        <f t="shared" si="27"/>
        <v>14260.641422443092</v>
      </c>
      <c r="U11" s="505">
        <f t="shared" si="27"/>
        <v>9041.2476984513924</v>
      </c>
      <c r="V11" s="505">
        <f t="shared" si="27"/>
        <v>3821.8539744596928</v>
      </c>
      <c r="W11" s="505">
        <f t="shared" si="27"/>
        <v>0</v>
      </c>
      <c r="X11" s="505">
        <f t="shared" si="27"/>
        <v>0</v>
      </c>
      <c r="Y11" s="502">
        <f t="shared" si="27"/>
        <v>0</v>
      </c>
      <c r="Z11" s="502">
        <f t="shared" si="27"/>
        <v>0</v>
      </c>
      <c r="AA11" s="502">
        <f t="shared" si="27"/>
        <v>0</v>
      </c>
      <c r="AB11" s="502">
        <f t="shared" si="5"/>
        <v>-1728.9462557126046</v>
      </c>
      <c r="AC11" s="595">
        <f t="shared" si="6"/>
        <v>101.18167089885293</v>
      </c>
      <c r="AD11" s="595">
        <f t="shared" si="7"/>
        <v>84.628395249440345</v>
      </c>
      <c r="AE11" s="595">
        <f t="shared" si="8"/>
        <v>73.5928781498326</v>
      </c>
      <c r="AF11" s="595">
        <f t="shared" si="9"/>
        <v>62.557361050224884</v>
      </c>
      <c r="AG11" s="595">
        <f t="shared" si="10"/>
        <v>46.004085400812315</v>
      </c>
      <c r="AH11" s="595">
        <f t="shared" si="11"/>
        <v>29.669264479392854</v>
      </c>
      <c r="AI11" s="595">
        <f t="shared" si="12"/>
        <v>18.810315836628124</v>
      </c>
      <c r="AJ11" s="595">
        <f t="shared" si="13"/>
        <v>7.9513671938633914</v>
      </c>
      <c r="AK11" s="595">
        <f t="shared" si="19"/>
        <v>0</v>
      </c>
      <c r="AL11" s="595"/>
      <c r="AM11" s="595"/>
      <c r="AN11" s="595"/>
      <c r="AO11" s="595"/>
      <c r="AP11" s="507">
        <f t="shared" si="14"/>
        <v>-5.2489972859455927</v>
      </c>
      <c r="AQ11" t="s">
        <v>827</v>
      </c>
      <c r="AT11" s="528" t="s">
        <v>922</v>
      </c>
      <c r="AU11" s="522">
        <f>+M23+M24+M25</f>
        <v>46.312306574380422</v>
      </c>
      <c r="AV11" s="522">
        <f t="shared" ref="AV11:BH11" si="28">+AC23+AC24+AC25</f>
        <v>22.745366925853645</v>
      </c>
      <c r="AW11" s="523">
        <f t="shared" si="28"/>
        <v>20.041242648559983</v>
      </c>
      <c r="AX11" s="523">
        <f t="shared" si="28"/>
        <v>18.238493130364368</v>
      </c>
      <c r="AY11" s="523">
        <f t="shared" si="28"/>
        <v>16.435743612168579</v>
      </c>
      <c r="AZ11" s="523">
        <f t="shared" si="28"/>
        <v>13.731619334875035</v>
      </c>
      <c r="BA11" s="523">
        <f t="shared" si="28"/>
        <v>11.226900362824599</v>
      </c>
      <c r="BB11" s="523">
        <f t="shared" si="28"/>
        <v>9.6970968264457511</v>
      </c>
      <c r="BC11" s="523">
        <f t="shared" si="28"/>
        <v>8.1672932900669633</v>
      </c>
      <c r="BD11" s="523">
        <f t="shared" si="28"/>
        <v>5.9100822889242215</v>
      </c>
      <c r="BE11" s="523">
        <f t="shared" si="28"/>
        <v>4.5094031449974228</v>
      </c>
      <c r="BF11" s="523">
        <f t="shared" si="28"/>
        <v>3.5362145742389126</v>
      </c>
      <c r="BG11" s="523">
        <f t="shared" si="28"/>
        <v>2.6600653984253664</v>
      </c>
      <c r="BH11" s="524">
        <f t="shared" si="28"/>
        <v>1.345841634704988</v>
      </c>
      <c r="BI11">
        <f t="shared" si="3"/>
        <v>-0.72707065395261417</v>
      </c>
    </row>
    <row r="12" spans="8:61" ht="15.75" x14ac:dyDescent="0.25">
      <c r="H12" s="473" t="e" vm="3">
        <v>#VALUE!</v>
      </c>
      <c r="I12" s="474" t="s">
        <v>815</v>
      </c>
      <c r="J12" s="474" t="s">
        <v>826</v>
      </c>
      <c r="K12" s="474" t="s">
        <v>822</v>
      </c>
      <c r="L12" s="475" t="s">
        <v>828</v>
      </c>
      <c r="M12" s="505">
        <f>+F59+F60</f>
        <v>14.689239307777516</v>
      </c>
      <c r="O12" s="505">
        <f>+AE59+AE60</f>
        <v>5679.11856760105</v>
      </c>
      <c r="P12" s="505">
        <f t="shared" ref="P12:AA12" si="29">+AF59+AF60</f>
        <v>4516.5900457759853</v>
      </c>
      <c r="Q12" s="505">
        <f t="shared" si="29"/>
        <v>3741.5710312259325</v>
      </c>
      <c r="R12" s="505">
        <f t="shared" si="29"/>
        <v>2966.5520166759088</v>
      </c>
      <c r="S12" s="505">
        <f t="shared" si="29"/>
        <v>1494.3277197162388</v>
      </c>
      <c r="T12" s="505">
        <f t="shared" si="29"/>
        <v>1274.9769859749649</v>
      </c>
      <c r="U12" s="505">
        <f t="shared" si="29"/>
        <v>1128.7431634807726</v>
      </c>
      <c r="V12" s="505">
        <f t="shared" si="29"/>
        <v>982.50934098660946</v>
      </c>
      <c r="W12" s="505">
        <f t="shared" si="29"/>
        <v>763.15860724533559</v>
      </c>
      <c r="X12" s="505">
        <f t="shared" si="29"/>
        <v>543.80787350406172</v>
      </c>
      <c r="Y12" s="502">
        <f t="shared" si="29"/>
        <v>397.57405100989854</v>
      </c>
      <c r="Z12" s="502">
        <f t="shared" si="29"/>
        <v>251.34022851570626</v>
      </c>
      <c r="AA12" s="502">
        <f t="shared" si="29"/>
        <v>31.989494774432387</v>
      </c>
      <c r="AB12" s="502">
        <f t="shared" si="5"/>
        <v>-171.66604777525708</v>
      </c>
      <c r="AC12" s="595">
        <f t="shared" si="6"/>
        <v>11.815406179893985</v>
      </c>
      <c r="AD12" s="595">
        <f t="shared" si="7"/>
        <v>9.3967655902369387</v>
      </c>
      <c r="AE12" s="595">
        <f t="shared" si="8"/>
        <v>7.7843385304655532</v>
      </c>
      <c r="AF12" s="595">
        <f t="shared" si="9"/>
        <v>6.1719114706942282</v>
      </c>
      <c r="AG12" s="595">
        <f t="shared" si="10"/>
        <v>3.1089488208696352</v>
      </c>
      <c r="AH12" s="595">
        <f t="shared" si="11"/>
        <v>2.6525896193209144</v>
      </c>
      <c r="AI12" s="595">
        <f t="shared" si="12"/>
        <v>2.3483501516217475</v>
      </c>
      <c r="AJ12" s="595">
        <f t="shared" si="13"/>
        <v>2.0441106839226411</v>
      </c>
      <c r="AK12" s="595">
        <f t="shared" si="19"/>
        <v>1.5877514823739207</v>
      </c>
      <c r="AL12" s="595">
        <f t="shared" si="20"/>
        <v>1.1313922808252004</v>
      </c>
      <c r="AM12" s="595">
        <f t="shared" si="21"/>
        <v>0.8271528131260939</v>
      </c>
      <c r="AN12" s="595">
        <f t="shared" si="22"/>
        <v>0.52291334542692691</v>
      </c>
      <c r="AO12" s="595">
        <f t="shared" si="23"/>
        <v>6.6554143878206573E-2</v>
      </c>
      <c r="AP12" s="507">
        <f t="shared" si="14"/>
        <v>-0.35715121239642228</v>
      </c>
      <c r="AQ12" t="s">
        <v>828</v>
      </c>
      <c r="AT12" s="510"/>
    </row>
    <row r="13" spans="8:61" x14ac:dyDescent="0.25">
      <c r="H13" s="473" t="e" vm="4">
        <v>#VALUE!</v>
      </c>
      <c r="I13" s="474" t="s">
        <v>815</v>
      </c>
      <c r="J13" s="474" t="s">
        <v>840</v>
      </c>
      <c r="K13" s="474" t="s">
        <v>822</v>
      </c>
      <c r="L13" s="475" t="s">
        <v>841</v>
      </c>
      <c r="M13" s="505">
        <f>+F67</f>
        <v>272.89999999999998</v>
      </c>
      <c r="O13" s="505">
        <f>+AE67</f>
        <v>101621.62162162177</v>
      </c>
      <c r="P13" s="505">
        <f t="shared" ref="P13:AA13" si="30">+AF67</f>
        <v>84756.756756756455</v>
      </c>
      <c r="Q13" s="505">
        <f t="shared" si="30"/>
        <v>73513.513513512909</v>
      </c>
      <c r="R13" s="505">
        <f t="shared" si="30"/>
        <v>62270.270270269364</v>
      </c>
      <c r="S13" s="505">
        <f t="shared" si="30"/>
        <v>45405.405405405909</v>
      </c>
      <c r="T13" s="505">
        <f t="shared" si="30"/>
        <v>28540.540540540591</v>
      </c>
      <c r="U13" s="505">
        <f t="shared" si="30"/>
        <v>17297.297297297046</v>
      </c>
      <c r="V13" s="505">
        <f t="shared" si="30"/>
        <v>0</v>
      </c>
      <c r="W13" s="505">
        <f t="shared" si="30"/>
        <v>0</v>
      </c>
      <c r="X13" s="505">
        <f t="shared" si="30"/>
        <v>0</v>
      </c>
      <c r="Y13" s="502">
        <f t="shared" si="30"/>
        <v>0</v>
      </c>
      <c r="Z13" s="502">
        <f t="shared" si="30"/>
        <v>0</v>
      </c>
      <c r="AA13" s="502">
        <f t="shared" si="30"/>
        <v>0</v>
      </c>
      <c r="AB13" s="502">
        <f t="shared" si="5"/>
        <v>-3611.0416466288243</v>
      </c>
      <c r="AC13" s="595">
        <f t="shared" si="6"/>
        <v>211.4237837837841</v>
      </c>
      <c r="AD13" s="595">
        <f t="shared" si="7"/>
        <v>176.33643243243182</v>
      </c>
      <c r="AE13" s="595">
        <f t="shared" si="8"/>
        <v>152.94486486486363</v>
      </c>
      <c r="AF13" s="595">
        <f t="shared" si="9"/>
        <v>129.55329729729542</v>
      </c>
      <c r="AG13" s="595">
        <f t="shared" si="10"/>
        <v>94.465945945946999</v>
      </c>
      <c r="AH13" s="595">
        <f t="shared" si="11"/>
        <v>59.378594594594702</v>
      </c>
      <c r="AI13" s="595">
        <f t="shared" si="12"/>
        <v>35.9870270270265</v>
      </c>
      <c r="AJ13" s="595"/>
      <c r="AK13" s="595"/>
      <c r="AL13" s="595"/>
      <c r="AM13" s="595"/>
      <c r="AN13" s="595"/>
      <c r="AO13" s="595"/>
      <c r="AP13" s="507">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5">
        <f>+F46+F45+F47</f>
        <v>459.04505225870071</v>
      </c>
      <c r="O14" s="505">
        <f>+AE46+AE45+AE47</f>
        <v>104196.74339982207</v>
      </c>
      <c r="P14" s="505">
        <f t="shared" ref="P14:AA14" si="31">+AF46+AF45+AF47</f>
        <v>91549.650787922772</v>
      </c>
      <c r="Q14" s="505">
        <f t="shared" si="31"/>
        <v>83118.25571332348</v>
      </c>
      <c r="R14" s="505">
        <f t="shared" si="31"/>
        <v>74686.860638724189</v>
      </c>
      <c r="S14" s="505">
        <f t="shared" si="31"/>
        <v>62039.768026825594</v>
      </c>
      <c r="T14" s="505">
        <f t="shared" si="31"/>
        <v>49392.675414926314</v>
      </c>
      <c r="U14" s="505">
        <f t="shared" si="31"/>
        <v>40961.280340327015</v>
      </c>
      <c r="V14" s="505">
        <f t="shared" si="31"/>
        <v>29854.546512339461</v>
      </c>
      <c r="W14" s="505">
        <f t="shared" si="31"/>
        <v>27470.868534586669</v>
      </c>
      <c r="X14" s="505">
        <f t="shared" si="31"/>
        <v>25050.419885017211</v>
      </c>
      <c r="Y14" s="502">
        <f t="shared" si="31"/>
        <v>23474.28389575053</v>
      </c>
      <c r="Z14" s="502">
        <f t="shared" si="31"/>
        <v>21898.14790648385</v>
      </c>
      <c r="AA14" s="502">
        <f t="shared" si="31"/>
        <v>19533.943922583712</v>
      </c>
      <c r="AB14" s="502">
        <f t="shared" si="5"/>
        <v>-2945.9181727825594</v>
      </c>
      <c r="AC14" s="595">
        <f>+O14*$T$2*365/1000</f>
        <v>216.78132464332984</v>
      </c>
      <c r="AD14" s="595">
        <f t="shared" si="7"/>
        <v>190.46904846427333</v>
      </c>
      <c r="AE14" s="595">
        <f t="shared" si="8"/>
        <v>172.92753101156953</v>
      </c>
      <c r="AF14" s="595">
        <f t="shared" si="9"/>
        <v>155.38601355886567</v>
      </c>
      <c r="AG14" s="595">
        <f t="shared" si="10"/>
        <v>129.07373737981067</v>
      </c>
      <c r="AH14" s="595">
        <f t="shared" si="11"/>
        <v>102.7614612007542</v>
      </c>
      <c r="AI14" s="595">
        <f t="shared" si="12"/>
        <v>85.219943748050355</v>
      </c>
      <c r="AJ14" s="595">
        <f t="shared" si="13"/>
        <v>62.112384018922256</v>
      </c>
      <c r="AK14" s="595">
        <f t="shared" si="19"/>
        <v>57.153141986207565</v>
      </c>
      <c r="AL14" s="595">
        <f t="shared" si="20"/>
        <v>52.117398570778313</v>
      </c>
      <c r="AM14" s="595">
        <f t="shared" si="21"/>
        <v>48.838247645108986</v>
      </c>
      <c r="AN14" s="595">
        <f t="shared" si="22"/>
        <v>45.559096719439651</v>
      </c>
      <c r="AO14" s="595">
        <f t="shared" si="23"/>
        <v>40.640370330935419</v>
      </c>
      <c r="AP14" s="507">
        <f t="shared" si="14"/>
        <v>-6.1289827584741143</v>
      </c>
      <c r="AQ14" t="s">
        <v>843</v>
      </c>
    </row>
    <row r="15" spans="8:61" x14ac:dyDescent="0.25">
      <c r="H15" s="473" t="e" vm="4">
        <v>#VALUE!</v>
      </c>
      <c r="I15" s="474" t="s">
        <v>815</v>
      </c>
      <c r="J15" s="474" t="s">
        <v>844</v>
      </c>
      <c r="K15" s="474" t="s">
        <v>822</v>
      </c>
      <c r="L15" s="475" t="s">
        <v>845</v>
      </c>
      <c r="M15" s="505">
        <f>+F48+F49</f>
        <v>236.24</v>
      </c>
      <c r="O15" s="505">
        <f>+AE48+AE49</f>
        <v>68166.815655914135</v>
      </c>
      <c r="P15" s="505">
        <f t="shared" ref="P15:AA15" si="32">+AF48+AF49</f>
        <v>58703.848843057407</v>
      </c>
      <c r="Q15" s="505">
        <f t="shared" si="32"/>
        <v>52395.20430115331</v>
      </c>
      <c r="R15" s="505">
        <f t="shared" si="32"/>
        <v>46086.559759249212</v>
      </c>
      <c r="S15" s="505">
        <f t="shared" si="32"/>
        <v>36623.592946392484</v>
      </c>
      <c r="T15" s="505">
        <f t="shared" si="32"/>
        <v>27160.626133535523</v>
      </c>
      <c r="U15" s="505">
        <f t="shared" si="32"/>
        <v>20851.981591630494</v>
      </c>
      <c r="V15" s="505">
        <f t="shared" si="32"/>
        <v>14543.337049726397</v>
      </c>
      <c r="W15" s="505">
        <f t="shared" si="32"/>
        <v>5606.7655319848564</v>
      </c>
      <c r="X15" s="505">
        <f t="shared" si="32"/>
        <v>3290.1269175105263</v>
      </c>
      <c r="Y15" s="502">
        <f t="shared" si="32"/>
        <v>0</v>
      </c>
      <c r="Z15" s="502">
        <f t="shared" si="32"/>
        <v>0</v>
      </c>
      <c r="AA15" s="502">
        <f t="shared" si="32"/>
        <v>0</v>
      </c>
      <c r="AB15" s="502">
        <f t="shared" si="5"/>
        <v>-2467.6073326872774</v>
      </c>
      <c r="AC15" s="595">
        <f t="shared" si="6"/>
        <v>141.82105997212938</v>
      </c>
      <c r="AD15" s="595">
        <f t="shared" si="7"/>
        <v>122.13335751798094</v>
      </c>
      <c r="AE15" s="595">
        <f t="shared" si="8"/>
        <v>109.00822254854945</v>
      </c>
      <c r="AF15" s="595">
        <f t="shared" si="9"/>
        <v>95.883087579117998</v>
      </c>
      <c r="AG15" s="595">
        <f t="shared" si="10"/>
        <v>76.195385124969576</v>
      </c>
      <c r="AH15" s="595">
        <f t="shared" si="11"/>
        <v>56.507682670820657</v>
      </c>
      <c r="AI15" s="595">
        <f t="shared" si="12"/>
        <v>43.382547701387246</v>
      </c>
      <c r="AJ15" s="595">
        <f t="shared" si="13"/>
        <v>30.257412731955768</v>
      </c>
      <c r="AK15" s="595">
        <f t="shared" si="19"/>
        <v>11.664875689294496</v>
      </c>
      <c r="AL15" s="595">
        <f t="shared" si="20"/>
        <v>6.8451090518806508</v>
      </c>
      <c r="AM15" s="595"/>
      <c r="AN15" s="595"/>
      <c r="AO15" s="595"/>
      <c r="AP15" s="507">
        <f t="shared" si="14"/>
        <v>-6.183690388691935</v>
      </c>
      <c r="AQ15" t="s">
        <v>845</v>
      </c>
      <c r="BI15">
        <f>15*BI11</f>
        <v>-10.906059809289212</v>
      </c>
    </row>
    <row r="16" spans="8:61" x14ac:dyDescent="0.25">
      <c r="H16" s="473" t="e" vm="4">
        <v>#VALUE!</v>
      </c>
      <c r="I16" s="474" t="s">
        <v>815</v>
      </c>
      <c r="J16" s="474" t="s">
        <v>844</v>
      </c>
      <c r="K16" s="474" t="s">
        <v>822</v>
      </c>
      <c r="L16" s="475" t="s">
        <v>846</v>
      </c>
      <c r="M16" s="505">
        <f>+F39</f>
        <v>89.87</v>
      </c>
      <c r="O16" s="505">
        <f>+AE39</f>
        <v>15609.574506649165</v>
      </c>
      <c r="P16" s="505">
        <f t="shared" ref="P16:AA16" si="33">+AF39</f>
        <v>14210.290029251133</v>
      </c>
      <c r="Q16" s="505">
        <f t="shared" si="33"/>
        <v>13277.433710985701</v>
      </c>
      <c r="R16" s="505">
        <f t="shared" si="33"/>
        <v>12344.577392720385</v>
      </c>
      <c r="S16" s="505">
        <f t="shared" si="33"/>
        <v>10945.292915322352</v>
      </c>
      <c r="T16" s="505">
        <f t="shared" si="33"/>
        <v>9546.0084379243199</v>
      </c>
      <c r="U16" s="505">
        <f t="shared" si="33"/>
        <v>8613.1521196590038</v>
      </c>
      <c r="V16" s="505">
        <f t="shared" si="33"/>
        <v>7680.2958013936877</v>
      </c>
      <c r="W16" s="505">
        <f t="shared" si="33"/>
        <v>6281.0113239956554</v>
      </c>
      <c r="X16" s="505">
        <f t="shared" si="33"/>
        <v>4881.7268465976231</v>
      </c>
      <c r="Y16" s="502">
        <f t="shared" si="33"/>
        <v>3948.870528332307</v>
      </c>
      <c r="Z16" s="502">
        <f t="shared" si="33"/>
        <v>3016.0142100669909</v>
      </c>
      <c r="AA16" s="502">
        <f t="shared" si="33"/>
        <v>0</v>
      </c>
      <c r="AB16" s="502">
        <f t="shared" si="5"/>
        <v>-488.0037338569021</v>
      </c>
      <c r="AC16" s="595">
        <f t="shared" si="6"/>
        <v>32.475719761083589</v>
      </c>
      <c r="AD16" s="595">
        <f t="shared" si="7"/>
        <v>29.56450840585698</v>
      </c>
      <c r="AE16" s="595">
        <f t="shared" si="8"/>
        <v>27.623700835705748</v>
      </c>
      <c r="AF16" s="595">
        <f t="shared" si="9"/>
        <v>25.68289326555476</v>
      </c>
      <c r="AG16" s="595">
        <f t="shared" si="10"/>
        <v>22.771681910328155</v>
      </c>
      <c r="AH16" s="595">
        <f t="shared" si="11"/>
        <v>19.860470555101546</v>
      </c>
      <c r="AI16" s="595">
        <f t="shared" si="12"/>
        <v>17.919662984950559</v>
      </c>
      <c r="AJ16" s="595">
        <f t="shared" si="13"/>
        <v>15.97885541479957</v>
      </c>
      <c r="AK16" s="595">
        <f t="shared" si="19"/>
        <v>13.067644059572961</v>
      </c>
      <c r="AL16" s="595">
        <f t="shared" si="20"/>
        <v>10.156432704346354</v>
      </c>
      <c r="AM16" s="595">
        <f t="shared" si="21"/>
        <v>8.2156251341953652</v>
      </c>
      <c r="AN16" s="595">
        <f t="shared" si="22"/>
        <v>6.2748175640443753</v>
      </c>
      <c r="AO16" s="595"/>
      <c r="AP16" s="507">
        <f t="shared" si="14"/>
        <v>-0.97040378507552527</v>
      </c>
      <c r="AQ16" t="s">
        <v>846</v>
      </c>
      <c r="BI16" s="291">
        <f>+AV11+BI15</f>
        <v>11.839307116564433</v>
      </c>
    </row>
    <row r="17" spans="8:61" x14ac:dyDescent="0.25">
      <c r="H17" s="473" t="e" vm="4">
        <v>#VALUE!</v>
      </c>
      <c r="I17" s="474" t="s">
        <v>815</v>
      </c>
      <c r="J17" s="474" t="s">
        <v>847</v>
      </c>
      <c r="K17" s="474" t="s">
        <v>822</v>
      </c>
      <c r="L17" s="475" t="s">
        <v>848</v>
      </c>
      <c r="M17" s="505">
        <f>+F40+F41</f>
        <v>3.87</v>
      </c>
      <c r="O17" s="505">
        <f>+AE40+AE41</f>
        <v>2705.6487388743917</v>
      </c>
      <c r="P17" s="505">
        <f t="shared" ref="P17:AA17" si="34">+AF40+AF41</f>
        <v>1918.6806659888607</v>
      </c>
      <c r="Q17" s="505">
        <f t="shared" si="34"/>
        <v>1394.035284065154</v>
      </c>
      <c r="R17" s="505">
        <f t="shared" si="34"/>
        <v>869.38990214144724</v>
      </c>
      <c r="S17" s="505">
        <f t="shared" si="34"/>
        <v>212.52948060442577</v>
      </c>
      <c r="T17" s="505">
        <f t="shared" si="34"/>
        <v>162.45225156654487</v>
      </c>
      <c r="U17" s="505">
        <f t="shared" si="34"/>
        <v>129.06743220795761</v>
      </c>
      <c r="V17" s="505">
        <f t="shared" si="34"/>
        <v>95.682612849370344</v>
      </c>
      <c r="W17" s="505">
        <f t="shared" si="34"/>
        <v>45.605383811489446</v>
      </c>
      <c r="X17" s="505">
        <f t="shared" si="34"/>
        <v>0</v>
      </c>
      <c r="Y17" s="502">
        <f t="shared" si="34"/>
        <v>0</v>
      </c>
      <c r="Z17" s="502">
        <f t="shared" si="34"/>
        <v>0</v>
      </c>
      <c r="AA17" s="502">
        <f t="shared" si="34"/>
        <v>0</v>
      </c>
      <c r="AB17" s="502">
        <f t="shared" si="5"/>
        <v>-76.043176952103508</v>
      </c>
      <c r="AC17" s="595">
        <f t="shared" si="6"/>
        <v>5.6291022012281715</v>
      </c>
      <c r="AD17" s="595">
        <f t="shared" si="7"/>
        <v>3.9918151255898247</v>
      </c>
      <c r="AE17" s="595">
        <f t="shared" si="8"/>
        <v>2.9002904084975532</v>
      </c>
      <c r="AF17" s="595">
        <f t="shared" si="9"/>
        <v>1.8087656914052812</v>
      </c>
      <c r="AG17" s="595">
        <f t="shared" si="10"/>
        <v>0.44216758439750781</v>
      </c>
      <c r="AH17" s="595">
        <f t="shared" si="11"/>
        <v>0.33798190938419664</v>
      </c>
      <c r="AI17" s="595">
        <f t="shared" si="12"/>
        <v>0.26852479270865581</v>
      </c>
      <c r="AJ17" s="595">
        <f t="shared" si="13"/>
        <v>0.19906767603311501</v>
      </c>
      <c r="AK17" s="595">
        <f t="shared" si="19"/>
        <v>9.4882001019803791E-2</v>
      </c>
      <c r="AL17" s="595"/>
      <c r="AM17" s="595"/>
      <c r="AN17" s="595"/>
      <c r="AO17" s="595"/>
      <c r="AP17" s="507">
        <f t="shared" si="14"/>
        <v>-0.27175577479231794</v>
      </c>
      <c r="AQ17" t="s">
        <v>848</v>
      </c>
      <c r="BH17" s="291"/>
    </row>
    <row r="18" spans="8:61" x14ac:dyDescent="0.25">
      <c r="H18" s="473" t="e" vm="5">
        <v>#VALUE!</v>
      </c>
      <c r="I18" s="474" t="s">
        <v>815</v>
      </c>
      <c r="J18" s="474" t="s">
        <v>851</v>
      </c>
      <c r="K18" s="474" t="s">
        <v>852</v>
      </c>
      <c r="L18" s="475" t="s">
        <v>851</v>
      </c>
      <c r="M18" s="505">
        <f>+F64</f>
        <v>7.3</v>
      </c>
      <c r="O18" s="505">
        <f>+AE64</f>
        <v>1859.7386897289543</v>
      </c>
      <c r="P18" s="505">
        <f t="shared" ref="P18:AA18" si="35">+AF64</f>
        <v>1643.1394429720822</v>
      </c>
      <c r="Q18" s="505">
        <f t="shared" si="35"/>
        <v>1498.7399451341771</v>
      </c>
      <c r="R18" s="505">
        <f t="shared" si="35"/>
        <v>1354.3404472962429</v>
      </c>
      <c r="S18" s="505">
        <f t="shared" si="35"/>
        <v>1137.7412005393999</v>
      </c>
      <c r="T18" s="505">
        <f t="shared" si="35"/>
        <v>921.14195378252771</v>
      </c>
      <c r="U18" s="505">
        <f t="shared" si="35"/>
        <v>776.74245594459353</v>
      </c>
      <c r="V18" s="505">
        <f t="shared" si="35"/>
        <v>632.34295810668846</v>
      </c>
      <c r="W18" s="505">
        <f t="shared" si="35"/>
        <v>415.74371134981629</v>
      </c>
      <c r="X18" s="505">
        <f t="shared" si="35"/>
        <v>199.14446459294413</v>
      </c>
      <c r="Y18" s="502">
        <f t="shared" si="35"/>
        <v>0</v>
      </c>
      <c r="Z18" s="502">
        <f t="shared" si="35"/>
        <v>0</v>
      </c>
      <c r="AA18" s="502">
        <f t="shared" si="35"/>
        <v>0</v>
      </c>
      <c r="AB18" s="502">
        <f t="shared" si="5"/>
        <v>-67.642621362871054</v>
      </c>
      <c r="AC18" s="595">
        <f t="shared" si="6"/>
        <v>3.8691863439810894</v>
      </c>
      <c r="AD18" s="595">
        <f t="shared" si="7"/>
        <v>3.4185516111034171</v>
      </c>
      <c r="AE18" s="595">
        <f t="shared" si="8"/>
        <v>3.1181284558516555</v>
      </c>
      <c r="AF18" s="595">
        <f t="shared" si="9"/>
        <v>2.8177053005998336</v>
      </c>
      <c r="AG18" s="595">
        <f t="shared" si="10"/>
        <v>2.3670705677222217</v>
      </c>
      <c r="AH18" s="595">
        <f t="shared" si="11"/>
        <v>1.9164358348445492</v>
      </c>
      <c r="AI18" s="595">
        <f t="shared" si="12"/>
        <v>1.616012679592727</v>
      </c>
      <c r="AJ18" s="595">
        <f t="shared" si="13"/>
        <v>1.3155895243409652</v>
      </c>
      <c r="AK18" s="595">
        <f t="shared" si="19"/>
        <v>0.86495479146329268</v>
      </c>
      <c r="AL18" s="595">
        <f t="shared" si="20"/>
        <v>0.41432005858562032</v>
      </c>
      <c r="AM18" s="595"/>
      <c r="AN18" s="595"/>
      <c r="AO18" s="595"/>
      <c r="AP18" s="507">
        <f t="shared" si="14"/>
        <v>-0.15021157762588988</v>
      </c>
      <c r="AQ18" t="s">
        <v>851</v>
      </c>
      <c r="BI18" s="511"/>
    </row>
    <row r="19" spans="8:61" x14ac:dyDescent="0.25">
      <c r="H19" s="473" t="e" vm="6">
        <v>#VALUE!</v>
      </c>
      <c r="I19" s="474" t="s">
        <v>815</v>
      </c>
      <c r="J19" s="474" t="s">
        <v>816</v>
      </c>
      <c r="K19" s="474" t="s">
        <v>817</v>
      </c>
      <c r="L19" s="475" t="s">
        <v>818</v>
      </c>
      <c r="M19" s="505">
        <f>+F44+F43</f>
        <v>30.656206108938417</v>
      </c>
      <c r="O19" s="505">
        <f>+AE44+AE43</f>
        <v>11630.082572906918</v>
      </c>
      <c r="P19" s="505">
        <f t="shared" ref="P19:Z19" si="36">+AF44+AF43</f>
        <v>9640.5228169767361</v>
      </c>
      <c r="Q19" s="505">
        <f t="shared" si="36"/>
        <v>8314.1496463567019</v>
      </c>
      <c r="R19" s="505">
        <f t="shared" si="36"/>
        <v>6987.7764757366676</v>
      </c>
      <c r="S19" s="505">
        <f t="shared" si="36"/>
        <v>4998.2167198064853</v>
      </c>
      <c r="T19" s="505">
        <f t="shared" si="36"/>
        <v>3008.6569638763322</v>
      </c>
      <c r="U19" s="505">
        <f t="shared" si="36"/>
        <v>882.392134489608</v>
      </c>
      <c r="V19" s="505">
        <f t="shared" si="36"/>
        <v>749.16429738342413</v>
      </c>
      <c r="W19" s="505">
        <f t="shared" si="36"/>
        <v>549.32254172416287</v>
      </c>
      <c r="X19" s="505">
        <f t="shared" si="36"/>
        <v>349.48078606487252</v>
      </c>
      <c r="Y19" s="502">
        <f t="shared" si="36"/>
        <v>216.25294895868865</v>
      </c>
      <c r="Z19" s="502">
        <f t="shared" si="36"/>
        <v>83.025111852504779</v>
      </c>
      <c r="AA19" s="502">
        <f>+AQ44+AQ43</f>
        <v>0</v>
      </c>
      <c r="AB19" s="502">
        <f t="shared" si="5"/>
        <v>-400.346974884205</v>
      </c>
      <c r="AC19" s="595">
        <f t="shared" si="6"/>
        <v>24.196386792932845</v>
      </c>
      <c r="AD19" s="595">
        <f t="shared" si="7"/>
        <v>20.057107720720101</v>
      </c>
      <c r="AE19" s="595">
        <f t="shared" si="8"/>
        <v>17.297588339245117</v>
      </c>
      <c r="AF19" s="595">
        <f t="shared" si="9"/>
        <v>14.538068957770138</v>
      </c>
      <c r="AG19" s="595">
        <f t="shared" si="10"/>
        <v>10.398789885557393</v>
      </c>
      <c r="AH19" s="595">
        <f t="shared" si="11"/>
        <v>6.2595108133447104</v>
      </c>
      <c r="AI19" s="595">
        <f t="shared" si="12"/>
        <v>1.8358168358056295</v>
      </c>
      <c r="AJ19" s="595">
        <f t="shared" si="13"/>
        <v>1.5586363207062142</v>
      </c>
      <c r="AK19" s="595">
        <f t="shared" si="19"/>
        <v>1.1428655480571208</v>
      </c>
      <c r="AL19" s="595">
        <f t="shared" si="20"/>
        <v>0.7270947754079673</v>
      </c>
      <c r="AM19" s="595">
        <f t="shared" si="21"/>
        <v>0.44991426030855169</v>
      </c>
      <c r="AN19" s="595">
        <f t="shared" si="22"/>
        <v>0.1727337452091362</v>
      </c>
      <c r="AO19" s="595"/>
      <c r="AP19" s="507">
        <f t="shared" si="14"/>
        <v>-0.92350020111029185</v>
      </c>
      <c r="AQ19" t="s">
        <v>818</v>
      </c>
    </row>
    <row r="20" spans="8:61" x14ac:dyDescent="0.25">
      <c r="H20" s="473" t="e" vm="6">
        <v>#VALUE!</v>
      </c>
      <c r="I20" s="474" t="s">
        <v>815</v>
      </c>
      <c r="J20" s="474" t="s">
        <v>819</v>
      </c>
      <c r="K20" s="474" t="s">
        <v>817</v>
      </c>
      <c r="L20" s="475" t="s">
        <v>820</v>
      </c>
      <c r="M20" s="505">
        <f>+F69</f>
        <v>5.59</v>
      </c>
      <c r="O20" s="505">
        <f>+AE69</f>
        <v>1493.6552899376111</v>
      </c>
      <c r="P20" s="505">
        <f t="shared" ref="P20:AA20" si="37">+AF69</f>
        <v>1319.8699844136281</v>
      </c>
      <c r="Q20" s="505">
        <f t="shared" si="37"/>
        <v>1204.0131140643207</v>
      </c>
      <c r="R20" s="505">
        <f t="shared" si="37"/>
        <v>1088.1562437149987</v>
      </c>
      <c r="S20" s="505">
        <f t="shared" si="37"/>
        <v>914.37093819101574</v>
      </c>
      <c r="T20" s="505">
        <f t="shared" si="37"/>
        <v>740.58563266703277</v>
      </c>
      <c r="U20" s="505">
        <f t="shared" si="37"/>
        <v>624.72876231772534</v>
      </c>
      <c r="V20" s="505">
        <f t="shared" si="37"/>
        <v>508.87189196840336</v>
      </c>
      <c r="W20" s="505">
        <f t="shared" si="37"/>
        <v>335.08658644442039</v>
      </c>
      <c r="X20" s="505">
        <f t="shared" si="37"/>
        <v>161.30128092043742</v>
      </c>
      <c r="Y20" s="502">
        <f t="shared" si="37"/>
        <v>45.444410571129993</v>
      </c>
      <c r="Z20" s="502">
        <f t="shared" si="37"/>
        <v>0</v>
      </c>
      <c r="AA20" s="502">
        <f t="shared" si="37"/>
        <v>0</v>
      </c>
      <c r="AB20" s="502">
        <f t="shared" si="5"/>
        <v>-53.917833753955819</v>
      </c>
      <c r="AC20" s="595">
        <f t="shared" si="6"/>
        <v>3.1075498307151999</v>
      </c>
      <c r="AD20" s="595">
        <f t="shared" si="7"/>
        <v>2.7459895025725531</v>
      </c>
      <c r="AE20" s="595">
        <f t="shared" si="8"/>
        <v>2.5049492838108196</v>
      </c>
      <c r="AF20" s="595">
        <f t="shared" si="9"/>
        <v>2.263909065049055</v>
      </c>
      <c r="AG20" s="595">
        <f t="shared" si="10"/>
        <v>1.9023487369064083</v>
      </c>
      <c r="AH20" s="595">
        <f t="shared" si="11"/>
        <v>1.5407884087637616</v>
      </c>
      <c r="AI20" s="595">
        <f t="shared" si="12"/>
        <v>1.2997481900020276</v>
      </c>
      <c r="AJ20" s="595">
        <f t="shared" si="13"/>
        <v>1.0587079712402634</v>
      </c>
      <c r="AK20" s="595">
        <f t="shared" si="19"/>
        <v>0.69714764309761668</v>
      </c>
      <c r="AL20" s="595">
        <f t="shared" si="20"/>
        <v>0.33558731495497007</v>
      </c>
      <c r="AM20" s="595">
        <f t="shared" si="21"/>
        <v>9.4547096193235938E-2</v>
      </c>
      <c r="AN20" s="595"/>
      <c r="AO20" s="595"/>
      <c r="AP20" s="507">
        <f t="shared" si="14"/>
        <v>-0.12052010938087906</v>
      </c>
      <c r="AQ20" t="s">
        <v>820</v>
      </c>
    </row>
    <row r="21" spans="8:61" x14ac:dyDescent="0.25">
      <c r="H21" s="473" t="e" vm="7">
        <v>#VALUE!</v>
      </c>
      <c r="I21" s="474" t="s">
        <v>815</v>
      </c>
      <c r="J21" s="474" t="s">
        <v>853</v>
      </c>
      <c r="K21" s="474" t="s">
        <v>817</v>
      </c>
      <c r="L21" s="475" t="s">
        <v>854</v>
      </c>
      <c r="M21" s="505">
        <f>+F71</f>
        <v>84.047997756260287</v>
      </c>
      <c r="O21" s="505">
        <f>+AE71</f>
        <v>17779.047619047575</v>
      </c>
      <c r="P21" s="505">
        <f t="shared" ref="P21:AA21" si="38">+AF71</f>
        <v>16016.761904761894</v>
      </c>
      <c r="Q21" s="505">
        <f t="shared" si="38"/>
        <v>14841.904761904618</v>
      </c>
      <c r="R21" s="505">
        <f t="shared" si="38"/>
        <v>13667.047619047575</v>
      </c>
      <c r="S21" s="505">
        <f t="shared" si="38"/>
        <v>11904.761904761894</v>
      </c>
      <c r="T21" s="505">
        <f t="shared" si="38"/>
        <v>10142.476190476213</v>
      </c>
      <c r="U21" s="505">
        <f t="shared" si="38"/>
        <v>8967.6190476189367</v>
      </c>
      <c r="V21" s="505">
        <f t="shared" si="38"/>
        <v>7792.7619047618937</v>
      </c>
      <c r="W21" s="505">
        <f t="shared" si="38"/>
        <v>6030.4761904762127</v>
      </c>
      <c r="X21" s="505">
        <f t="shared" si="38"/>
        <v>4268.1904761905316</v>
      </c>
      <c r="Y21" s="502">
        <f t="shared" si="38"/>
        <v>3093.3333333332557</v>
      </c>
      <c r="Z21" s="502">
        <f t="shared" si="38"/>
        <v>1918.4761904762127</v>
      </c>
      <c r="AA21" s="502">
        <f t="shared" si="38"/>
        <v>156.19047619053163</v>
      </c>
      <c r="AB21" s="502">
        <f t="shared" si="5"/>
        <v>-587.42857142856838</v>
      </c>
      <c r="AC21" s="595">
        <f t="shared" si="6"/>
        <v>36.989308571428481</v>
      </c>
      <c r="AD21" s="595">
        <f t="shared" si="7"/>
        <v>33.322873142857119</v>
      </c>
      <c r="AE21" s="595">
        <f t="shared" si="8"/>
        <v>30.878582857142554</v>
      </c>
      <c r="AF21" s="595">
        <f t="shared" si="9"/>
        <v>28.434292571428479</v>
      </c>
      <c r="AG21" s="595">
        <f t="shared" si="10"/>
        <v>24.767857142857121</v>
      </c>
      <c r="AH21" s="595">
        <f t="shared" si="11"/>
        <v>21.10142171428576</v>
      </c>
      <c r="AI21" s="595">
        <f t="shared" si="12"/>
        <v>18.657131428571201</v>
      </c>
      <c r="AJ21" s="595">
        <f t="shared" si="13"/>
        <v>16.212841142857119</v>
      </c>
      <c r="AK21" s="595">
        <f t="shared" si="19"/>
        <v>12.546405714285759</v>
      </c>
      <c r="AL21" s="595">
        <f t="shared" si="20"/>
        <v>8.8799702857144016</v>
      </c>
      <c r="AM21" s="595">
        <f t="shared" si="21"/>
        <v>6.435679999999838</v>
      </c>
      <c r="AN21" s="595">
        <f t="shared" si="22"/>
        <v>3.9913897142857606</v>
      </c>
      <c r="AO21" s="595">
        <f t="shared" si="23"/>
        <v>0.32495428571440105</v>
      </c>
      <c r="AP21" s="507">
        <f t="shared" si="14"/>
        <v>-1.2221451428571364</v>
      </c>
      <c r="AQ21" t="s">
        <v>854</v>
      </c>
    </row>
    <row r="22" spans="8:61" x14ac:dyDescent="0.25">
      <c r="H22" s="473" t="e" vm="7">
        <v>#VALUE!</v>
      </c>
      <c r="I22" s="474" t="s">
        <v>815</v>
      </c>
      <c r="J22" s="474" t="s">
        <v>855</v>
      </c>
      <c r="K22" s="474" t="s">
        <v>817</v>
      </c>
      <c r="L22" s="475" t="s">
        <v>856</v>
      </c>
      <c r="M22" s="505">
        <f>+F63+F62</f>
        <v>58.34</v>
      </c>
      <c r="O22" s="505">
        <f>+AE63+AE62</f>
        <v>28319.723846840905</v>
      </c>
      <c r="P22" s="505">
        <f t="shared" ref="P22:AA22" si="39">+AF63+AF62</f>
        <v>23499.695635298383</v>
      </c>
      <c r="Q22" s="505">
        <f t="shared" si="39"/>
        <v>20286.34349427023</v>
      </c>
      <c r="R22" s="505">
        <f t="shared" si="39"/>
        <v>17072.991353242192</v>
      </c>
      <c r="S22" s="505">
        <f t="shared" si="39"/>
        <v>12252.963141699671</v>
      </c>
      <c r="T22" s="505">
        <f t="shared" si="39"/>
        <v>7432.9349301574985</v>
      </c>
      <c r="U22" s="505">
        <f t="shared" si="39"/>
        <v>4219.5827891294612</v>
      </c>
      <c r="V22" s="505">
        <f t="shared" si="39"/>
        <v>1006.2306481009582</v>
      </c>
      <c r="W22" s="505">
        <f t="shared" si="39"/>
        <v>0</v>
      </c>
      <c r="X22" s="505">
        <f t="shared" si="39"/>
        <v>0</v>
      </c>
      <c r="Y22" s="502">
        <f t="shared" si="39"/>
        <v>0</v>
      </c>
      <c r="Z22" s="502">
        <f t="shared" si="39"/>
        <v>0</v>
      </c>
      <c r="AA22" s="502">
        <f t="shared" si="39"/>
        <v>0</v>
      </c>
      <c r="AB22" s="502">
        <f t="shared" si="5"/>
        <v>-996.7596044194355</v>
      </c>
      <c r="AC22" s="595">
        <f t="shared" si="6"/>
        <v>58.919185463352498</v>
      </c>
      <c r="AD22" s="595">
        <f t="shared" si="7"/>
        <v>48.891116769238288</v>
      </c>
      <c r="AE22" s="595">
        <f t="shared" si="8"/>
        <v>42.205737639829209</v>
      </c>
      <c r="AF22" s="595">
        <f t="shared" si="9"/>
        <v>35.520358510420387</v>
      </c>
      <c r="AG22" s="595">
        <f t="shared" si="10"/>
        <v>25.492289816306165</v>
      </c>
      <c r="AH22" s="595">
        <f t="shared" si="11"/>
        <v>15.464221122192678</v>
      </c>
      <c r="AI22" s="595">
        <f t="shared" si="12"/>
        <v>8.7788419927838444</v>
      </c>
      <c r="AJ22" s="595">
        <f t="shared" si="13"/>
        <v>2.0934628633740435</v>
      </c>
      <c r="AK22" s="595"/>
      <c r="AL22" s="595"/>
      <c r="AM22" s="595"/>
      <c r="AN22" s="595"/>
      <c r="AO22" s="595"/>
      <c r="AP22" s="507">
        <f t="shared" si="14"/>
        <v>-3.3426895647045884</v>
      </c>
      <c r="AQ22" t="s">
        <v>856</v>
      </c>
    </row>
    <row r="23" spans="8:61" x14ac:dyDescent="0.25">
      <c r="H23" s="473" t="e" vm="8">
        <v>#VALUE!</v>
      </c>
      <c r="I23" s="474" t="s">
        <v>815</v>
      </c>
      <c r="J23" s="474" t="s">
        <v>829</v>
      </c>
      <c r="K23" s="474" t="s">
        <v>830</v>
      </c>
      <c r="L23" s="475" t="s">
        <v>831</v>
      </c>
      <c r="M23" s="505">
        <f>+F56+F57+F58</f>
        <v>11.225912562946453</v>
      </c>
      <c r="O23" s="505">
        <f>+AE56+AE57+AE58</f>
        <v>3968.89577214374</v>
      </c>
      <c r="P23" s="505">
        <f t="shared" ref="P23:AA23" si="40">+AF56+AF57+AF58</f>
        <v>3300.834962928031</v>
      </c>
      <c r="Q23" s="505">
        <f t="shared" si="40"/>
        <v>2855.4610901176165</v>
      </c>
      <c r="R23" s="505">
        <f t="shared" si="40"/>
        <v>2410.0872173071148</v>
      </c>
      <c r="S23" s="505">
        <f t="shared" si="40"/>
        <v>1742.026408091464</v>
      </c>
      <c r="T23" s="505">
        <f t="shared" si="40"/>
        <v>1169.8104944504848</v>
      </c>
      <c r="U23" s="505">
        <f t="shared" si="40"/>
        <v>855.62911470271138</v>
      </c>
      <c r="V23" s="505">
        <f t="shared" si="40"/>
        <v>541.44773495493791</v>
      </c>
      <c r="W23" s="505">
        <f t="shared" si="40"/>
        <v>88.197440591869963</v>
      </c>
      <c r="X23" s="505">
        <f t="shared" si="40"/>
        <v>46.642343160281598</v>
      </c>
      <c r="Y23" s="502">
        <f t="shared" si="40"/>
        <v>18.938944872556021</v>
      </c>
      <c r="Z23" s="502">
        <f t="shared" si="40"/>
        <v>0</v>
      </c>
      <c r="AA23" s="502">
        <f t="shared" si="40"/>
        <v>0</v>
      </c>
      <c r="AB23" s="502">
        <f t="shared" si="5"/>
        <v>-138.73852930552206</v>
      </c>
      <c r="AC23" s="595">
        <f t="shared" si="6"/>
        <v>8.2572876539450526</v>
      </c>
      <c r="AD23" s="595">
        <f t="shared" si="7"/>
        <v>6.8673871403717692</v>
      </c>
      <c r="AE23" s="595">
        <f t="shared" si="8"/>
        <v>5.9407867979897011</v>
      </c>
      <c r="AF23" s="595">
        <f t="shared" si="9"/>
        <v>5.0141864556074527</v>
      </c>
      <c r="AG23" s="595">
        <f t="shared" si="10"/>
        <v>3.6242859420342906</v>
      </c>
      <c r="AH23" s="595">
        <f t="shared" si="11"/>
        <v>2.4337907337042339</v>
      </c>
      <c r="AI23" s="595">
        <f t="shared" si="12"/>
        <v>1.780136373138991</v>
      </c>
      <c r="AJ23" s="595">
        <f t="shared" si="13"/>
        <v>1.1264820125737482</v>
      </c>
      <c r="AK23" s="595">
        <f t="shared" si="19"/>
        <v>0.18349477515138546</v>
      </c>
      <c r="AL23" s="595">
        <f t="shared" si="20"/>
        <v>9.7039394944965857E-2</v>
      </c>
      <c r="AM23" s="595"/>
      <c r="AN23" s="595"/>
      <c r="AO23" s="595"/>
      <c r="AP23" s="507">
        <f t="shared" si="14"/>
        <v>-0.37469510191372613</v>
      </c>
      <c r="AQ23" t="s">
        <v>831</v>
      </c>
    </row>
    <row r="24" spans="8:61" x14ac:dyDescent="0.25">
      <c r="H24" s="473" t="e" vm="8">
        <v>#VALUE!</v>
      </c>
      <c r="I24" s="474" t="s">
        <v>815</v>
      </c>
      <c r="J24" s="474" t="s">
        <v>832</v>
      </c>
      <c r="K24" s="474" t="s">
        <v>830</v>
      </c>
      <c r="L24" s="475" t="s">
        <v>833</v>
      </c>
      <c r="M24" s="505">
        <f>+F68</f>
        <v>20.053293235445725</v>
      </c>
      <c r="O24" s="505">
        <f>+AE68</f>
        <v>3699.072721168428</v>
      </c>
      <c r="P24" s="505">
        <f t="shared" ref="P24:AA24" si="41">+AF68</f>
        <v>3390.493496084353</v>
      </c>
      <c r="Q24" s="505">
        <f t="shared" si="41"/>
        <v>3184.7740126949793</v>
      </c>
      <c r="R24" s="505">
        <f t="shared" si="41"/>
        <v>2979.0545293056057</v>
      </c>
      <c r="S24" s="505">
        <f t="shared" si="41"/>
        <v>2670.4753042215307</v>
      </c>
      <c r="T24" s="505">
        <f t="shared" si="41"/>
        <v>2361.8960791374557</v>
      </c>
      <c r="U24" s="505">
        <f t="shared" si="41"/>
        <v>2156.1765957480529</v>
      </c>
      <c r="V24" s="505">
        <f t="shared" si="41"/>
        <v>1950.4571123586793</v>
      </c>
      <c r="W24" s="505">
        <f t="shared" si="41"/>
        <v>1641.8778872746043</v>
      </c>
      <c r="X24" s="505">
        <f t="shared" si="41"/>
        <v>1333.2986621905293</v>
      </c>
      <c r="Y24" s="502">
        <f t="shared" si="41"/>
        <v>1127.5791788011556</v>
      </c>
      <c r="Z24" s="502">
        <f t="shared" si="41"/>
        <v>921.85969541178201</v>
      </c>
      <c r="AA24" s="502">
        <f t="shared" si="41"/>
        <v>613.28047032770701</v>
      </c>
      <c r="AB24" s="502">
        <f t="shared" si="5"/>
        <v>-102.85974169469101</v>
      </c>
      <c r="AC24" s="595">
        <f t="shared" si="6"/>
        <v>7.6959207963909142</v>
      </c>
      <c r="AD24" s="595">
        <f t="shared" si="7"/>
        <v>7.0539217186034957</v>
      </c>
      <c r="AE24" s="595">
        <f t="shared" si="8"/>
        <v>6.6259223334119044</v>
      </c>
      <c r="AF24" s="595">
        <f t="shared" si="9"/>
        <v>6.1979229482203131</v>
      </c>
      <c r="AG24" s="595">
        <f t="shared" si="10"/>
        <v>5.5559238704328946</v>
      </c>
      <c r="AH24" s="595">
        <f t="shared" si="11"/>
        <v>4.9139247926454761</v>
      </c>
      <c r="AI24" s="595">
        <f t="shared" si="12"/>
        <v>4.4859254074538235</v>
      </c>
      <c r="AJ24" s="595">
        <f t="shared" si="13"/>
        <v>4.0579260222622322</v>
      </c>
      <c r="AK24" s="595">
        <f t="shared" si="19"/>
        <v>3.4159269444748142</v>
      </c>
      <c r="AL24" s="595">
        <f t="shared" si="20"/>
        <v>2.7739278666873961</v>
      </c>
      <c r="AM24" s="595">
        <f t="shared" si="21"/>
        <v>2.3459284814958048</v>
      </c>
      <c r="AN24" s="595">
        <f t="shared" si="22"/>
        <v>1.9179290963042124</v>
      </c>
      <c r="AO24" s="595">
        <f t="shared" si="23"/>
        <v>1.2759300185167946</v>
      </c>
      <c r="AP24" s="507">
        <f t="shared" si="14"/>
        <v>-0.21399969259580465</v>
      </c>
      <c r="AQ24" t="s">
        <v>833</v>
      </c>
    </row>
    <row r="25" spans="8:61" x14ac:dyDescent="0.25">
      <c r="H25" s="473" t="e" vm="8">
        <v>#VALUE!</v>
      </c>
      <c r="I25" s="474" t="s">
        <v>815</v>
      </c>
      <c r="J25" s="474" t="s">
        <v>834</v>
      </c>
      <c r="K25" s="474" t="s">
        <v>830</v>
      </c>
      <c r="L25" s="480" t="s">
        <v>835</v>
      </c>
      <c r="M25" s="505">
        <f>+F70</f>
        <v>15.033100775988247</v>
      </c>
      <c r="O25" s="505">
        <f>+AE70</f>
        <v>3264.6760276460845</v>
      </c>
      <c r="P25" s="505">
        <f t="shared" ref="P25:AA25" si="42">+AF70</f>
        <v>2941.5687525040703</v>
      </c>
      <c r="Q25" s="505">
        <f t="shared" si="42"/>
        <v>2726.1639024094038</v>
      </c>
      <c r="R25" s="505">
        <f t="shared" si="42"/>
        <v>2510.7590523147373</v>
      </c>
      <c r="S25" s="505">
        <f t="shared" si="42"/>
        <v>2187.6517771727231</v>
      </c>
      <c r="T25" s="505">
        <f t="shared" si="42"/>
        <v>1864.5445020307088</v>
      </c>
      <c r="U25" s="505">
        <f t="shared" si="42"/>
        <v>1649.1396519360424</v>
      </c>
      <c r="V25" s="505">
        <f t="shared" si="42"/>
        <v>1433.7348018413759</v>
      </c>
      <c r="W25" s="505">
        <f t="shared" si="42"/>
        <v>1110.6275266993616</v>
      </c>
      <c r="X25" s="505">
        <f t="shared" si="42"/>
        <v>787.52025155734736</v>
      </c>
      <c r="Y25" s="502">
        <f t="shared" si="42"/>
        <v>572.11540146268089</v>
      </c>
      <c r="Z25" s="502">
        <f t="shared" si="42"/>
        <v>356.71055136801442</v>
      </c>
      <c r="AA25" s="502">
        <f t="shared" si="42"/>
        <v>33.603276226000162</v>
      </c>
      <c r="AB25" s="502">
        <f t="shared" si="5"/>
        <v>-107.70242504733608</v>
      </c>
      <c r="AC25" s="595">
        <f>+O25*$T$2*365/1000</f>
        <v>6.7921584755176792</v>
      </c>
      <c r="AD25" s="595">
        <f t="shared" si="7"/>
        <v>6.1199337895847181</v>
      </c>
      <c r="AE25" s="595">
        <f t="shared" si="8"/>
        <v>5.6717839989627645</v>
      </c>
      <c r="AF25" s="595">
        <f t="shared" si="9"/>
        <v>5.2236342083408118</v>
      </c>
      <c r="AG25" s="595">
        <f t="shared" si="10"/>
        <v>4.5514095224078499</v>
      </c>
      <c r="AH25" s="595">
        <f t="shared" si="11"/>
        <v>3.8791848364748893</v>
      </c>
      <c r="AI25" s="595">
        <f t="shared" si="12"/>
        <v>3.4310350458529362</v>
      </c>
      <c r="AJ25" s="595">
        <f t="shared" si="13"/>
        <v>2.9828852552309821</v>
      </c>
      <c r="AK25" s="595">
        <f t="shared" si="19"/>
        <v>2.310660569298022</v>
      </c>
      <c r="AL25" s="595">
        <f t="shared" si="20"/>
        <v>1.638435883365061</v>
      </c>
      <c r="AM25" s="595">
        <f t="shared" si="21"/>
        <v>1.1902860927431076</v>
      </c>
      <c r="AN25" s="595">
        <f t="shared" si="22"/>
        <v>0.742136302121154</v>
      </c>
      <c r="AO25" s="595">
        <f t="shared" si="23"/>
        <v>6.9911616188193332E-2</v>
      </c>
      <c r="AP25" s="507">
        <f t="shared" si="14"/>
        <v>-0.22407489531098276</v>
      </c>
      <c r="AQ25" t="s">
        <v>835</v>
      </c>
    </row>
    <row r="26" spans="8:61" s="734" customFormat="1" x14ac:dyDescent="0.25">
      <c r="H26" s="741"/>
      <c r="I26" s="742"/>
      <c r="J26" s="742"/>
      <c r="K26" s="742"/>
      <c r="L26" s="626" t="s">
        <v>1128</v>
      </c>
      <c r="M26" s="743">
        <f>+F72</f>
        <v>2.9855592436974785</v>
      </c>
      <c r="O26" s="743">
        <f>+AE72</f>
        <v>568.21101321884635</v>
      </c>
      <c r="P26" s="743">
        <f t="shared" ref="P26:AA26" si="43">+AF72</f>
        <v>515.2067606703713</v>
      </c>
      <c r="Q26" s="743">
        <f t="shared" si="43"/>
        <v>479.87059230471641</v>
      </c>
      <c r="R26" s="743">
        <f t="shared" si="43"/>
        <v>444.5344239390688</v>
      </c>
      <c r="S26" s="743">
        <f t="shared" si="43"/>
        <v>391.53017139059375</v>
      </c>
      <c r="T26" s="743">
        <f t="shared" si="43"/>
        <v>338.52591884211142</v>
      </c>
      <c r="U26" s="743">
        <f t="shared" si="43"/>
        <v>303.18975047646381</v>
      </c>
      <c r="V26" s="743">
        <f t="shared" si="43"/>
        <v>267.85358211080893</v>
      </c>
      <c r="W26" s="743">
        <f t="shared" si="43"/>
        <v>214.84932956233388</v>
      </c>
      <c r="X26" s="743">
        <f t="shared" si="43"/>
        <v>161.84507701385883</v>
      </c>
      <c r="Y26" s="743">
        <f t="shared" si="43"/>
        <v>126.50890864820394</v>
      </c>
      <c r="Z26" s="743">
        <f t="shared" si="43"/>
        <v>91.172740282556333</v>
      </c>
      <c r="AA26" s="743">
        <f t="shared" si="43"/>
        <v>38.168487734074006</v>
      </c>
      <c r="AB26" s="502">
        <f t="shared" si="5"/>
        <v>-17.668084182825687</v>
      </c>
      <c r="AC26" s="595">
        <f t="shared" ref="AC26:AC28" si="44">+O26*$T$2*365/1000</f>
        <v>1.1821630130018097</v>
      </c>
      <c r="AD26" s="595">
        <f t="shared" ref="AD26:AD28" si="45">+P26*$T$2*365/1000</f>
        <v>1.0718876655747076</v>
      </c>
      <c r="AE26" s="595">
        <f t="shared" ref="AE26:AE28" si="46">+Q26*$T$2*365/1000</f>
        <v>0.99837076728996244</v>
      </c>
      <c r="AF26" s="595">
        <f t="shared" ref="AF26:AF28" si="47">+R26*$T$2*365/1000</f>
        <v>0.9248538690052327</v>
      </c>
      <c r="AG26" s="595">
        <f t="shared" ref="AG26:AG28" si="48">+S26*$T$2*365/1000</f>
        <v>0.81457852157813038</v>
      </c>
      <c r="AH26" s="595">
        <f t="shared" ref="AH26:AH28" si="49">+T26*$T$2*365/1000</f>
        <v>0.70430317415101285</v>
      </c>
      <c r="AI26" s="595">
        <f t="shared" ref="AI26:AI28" si="50">+U26*$T$2*365/1000</f>
        <v>0.630786275866283</v>
      </c>
      <c r="AJ26" s="595">
        <f t="shared" ref="AJ26:AJ28" si="51">+V26*$T$2*365/1000</f>
        <v>0.55726937758153805</v>
      </c>
      <c r="AK26" s="595">
        <f t="shared" ref="AK26:AK28" si="52">+W26*$T$2*365/1000</f>
        <v>0.44699403015443562</v>
      </c>
      <c r="AL26" s="595">
        <f t="shared" ref="AL26:AL28" si="53">+X26*$T$2*365/1000</f>
        <v>0.3367186827273333</v>
      </c>
      <c r="AM26" s="595">
        <f t="shared" ref="AM26:AM28" si="54">+Y26*$T$2*365/1000</f>
        <v>0.26320178444258829</v>
      </c>
      <c r="AN26" s="595">
        <f t="shared" ref="AN26:AN28" si="55">+Z26*$T$2*365/1000</f>
        <v>0.18968488615785845</v>
      </c>
      <c r="AO26" s="595">
        <f t="shared" ref="AO26:AO28" si="56">+AA26*$T$2*365/1000</f>
        <v>7.9409538730740983E-2</v>
      </c>
      <c r="AP26" s="507">
        <f t="shared" si="14"/>
        <v>-3.6758449142368844E-2</v>
      </c>
      <c r="AQ26" s="626" t="s">
        <v>1128</v>
      </c>
    </row>
    <row r="27" spans="8:61" s="734" customFormat="1" x14ac:dyDescent="0.25">
      <c r="H27" s="741"/>
      <c r="I27" s="742"/>
      <c r="J27" s="742"/>
      <c r="K27" s="742"/>
      <c r="L27" s="626" t="s">
        <v>1156</v>
      </c>
      <c r="M27" s="743">
        <f t="shared" ref="M27:M28" si="57">+F73</f>
        <v>3.99</v>
      </c>
      <c r="O27" s="743">
        <f>+AE73</f>
        <v>932.35658264670928</v>
      </c>
      <c r="P27" s="743">
        <f t="shared" ref="P27:AA27" si="58">+AF73</f>
        <v>827.09395482088439</v>
      </c>
      <c r="Q27" s="743">
        <f t="shared" si="58"/>
        <v>756.91886960367265</v>
      </c>
      <c r="R27" s="743">
        <f t="shared" si="58"/>
        <v>686.7437843864609</v>
      </c>
      <c r="S27" s="743">
        <f t="shared" si="58"/>
        <v>581.48115656065056</v>
      </c>
      <c r="T27" s="743">
        <f t="shared" si="58"/>
        <v>476.21852873482567</v>
      </c>
      <c r="U27" s="743">
        <f t="shared" si="58"/>
        <v>406.04344351761392</v>
      </c>
      <c r="V27" s="743">
        <f t="shared" si="58"/>
        <v>335.86835830040218</v>
      </c>
      <c r="W27" s="743">
        <f t="shared" si="58"/>
        <v>230.60573047459184</v>
      </c>
      <c r="X27" s="743">
        <f t="shared" si="58"/>
        <v>125.34310264876694</v>
      </c>
      <c r="Y27" s="743">
        <f t="shared" si="58"/>
        <v>55.168017431555199</v>
      </c>
      <c r="Z27" s="743">
        <f t="shared" si="58"/>
        <v>-15.007067785656545</v>
      </c>
      <c r="AA27" s="743">
        <f t="shared" si="58"/>
        <v>0</v>
      </c>
      <c r="AB27" s="502">
        <f t="shared" si="5"/>
        <v>-33.482519980338964</v>
      </c>
      <c r="AC27" s="595">
        <f t="shared" si="44"/>
        <v>1.9397678701964789</v>
      </c>
      <c r="AD27" s="595">
        <f t="shared" si="45"/>
        <v>1.7207689730048501</v>
      </c>
      <c r="AE27" s="595">
        <f t="shared" si="46"/>
        <v>1.574769708210441</v>
      </c>
      <c r="AF27" s="595">
        <f t="shared" si="47"/>
        <v>1.428770443416032</v>
      </c>
      <c r="AG27" s="595">
        <f t="shared" si="48"/>
        <v>1.2097715462244334</v>
      </c>
      <c r="AH27" s="595">
        <f t="shared" si="49"/>
        <v>0.99077264903280482</v>
      </c>
      <c r="AI27" s="595">
        <f t="shared" si="50"/>
        <v>0.84477338423839576</v>
      </c>
      <c r="AJ27" s="595">
        <f t="shared" si="51"/>
        <v>0.69877411944398682</v>
      </c>
      <c r="AK27" s="595">
        <f t="shared" si="52"/>
        <v>0.47977522225238828</v>
      </c>
      <c r="AL27" s="595">
        <f t="shared" si="53"/>
        <v>0.26077632506075965</v>
      </c>
      <c r="AM27" s="595">
        <f t="shared" si="54"/>
        <v>0.11477706026635061</v>
      </c>
      <c r="AN27" s="595">
        <f t="shared" si="55"/>
        <v>-3.1222204528058441E-2</v>
      </c>
      <c r="AO27" s="595">
        <f t="shared" si="56"/>
        <v>0</v>
      </c>
      <c r="AP27" s="507">
        <f t="shared" si="14"/>
        <v>-6.9660382819095229E-2</v>
      </c>
      <c r="AQ27" s="626" t="s">
        <v>1156</v>
      </c>
    </row>
    <row r="28" spans="8:61" s="734" customFormat="1" x14ac:dyDescent="0.25">
      <c r="H28" s="741"/>
      <c r="I28" s="742"/>
      <c r="J28" s="742"/>
      <c r="K28" s="742"/>
      <c r="L28" s="626" t="s">
        <v>1134</v>
      </c>
      <c r="M28" s="743">
        <f t="shared" si="57"/>
        <v>18.809999999999999</v>
      </c>
      <c r="O28" s="743">
        <f>+AE74</f>
        <v>4573.938629676355</v>
      </c>
      <c r="P28" s="743">
        <f t="shared" ref="P28:AA28" si="59">+AF74</f>
        <v>4035.6031946195872</v>
      </c>
      <c r="Q28" s="743">
        <f t="shared" si="59"/>
        <v>3676.7129045817419</v>
      </c>
      <c r="R28" s="743">
        <f t="shared" si="59"/>
        <v>3317.8226145438966</v>
      </c>
      <c r="S28" s="743">
        <f t="shared" si="59"/>
        <v>2779.4871794871869</v>
      </c>
      <c r="T28" s="743">
        <f t="shared" si="59"/>
        <v>2241.1517444304191</v>
      </c>
      <c r="U28" s="743">
        <f t="shared" si="59"/>
        <v>1882.2614543925738</v>
      </c>
      <c r="V28" s="743">
        <f t="shared" si="59"/>
        <v>1523.3711643547867</v>
      </c>
      <c r="W28" s="743">
        <f t="shared" si="59"/>
        <v>985.03572929801885</v>
      </c>
      <c r="X28" s="743">
        <f t="shared" si="59"/>
        <v>0</v>
      </c>
      <c r="Y28" s="743">
        <f t="shared" si="59"/>
        <v>0</v>
      </c>
      <c r="Z28" s="743">
        <f t="shared" si="59"/>
        <v>0</v>
      </c>
      <c r="AA28" s="743">
        <f t="shared" si="59"/>
        <v>0</v>
      </c>
      <c r="AB28" s="502">
        <f t="shared" si="5"/>
        <v>-169.70982753900896</v>
      </c>
      <c r="AC28" s="595">
        <f t="shared" si="44"/>
        <v>9.5160793190416566</v>
      </c>
      <c r="AD28" s="595">
        <f t="shared" si="45"/>
        <v>8.3960724464060519</v>
      </c>
      <c r="AE28" s="595">
        <f t="shared" si="46"/>
        <v>7.6494011979823142</v>
      </c>
      <c r="AF28" s="595">
        <f t="shared" si="47"/>
        <v>6.9027299495585765</v>
      </c>
      <c r="AG28" s="595">
        <f t="shared" si="48"/>
        <v>5.7827230769230926</v>
      </c>
      <c r="AH28" s="595">
        <f t="shared" si="49"/>
        <v>4.662716204287487</v>
      </c>
      <c r="AI28" s="595">
        <f t="shared" si="50"/>
        <v>3.9160449558637498</v>
      </c>
      <c r="AJ28" s="595">
        <f t="shared" si="51"/>
        <v>3.1693737074401338</v>
      </c>
      <c r="AK28" s="595">
        <f t="shared" si="52"/>
        <v>2.0493668348045282</v>
      </c>
      <c r="AL28" s="595">
        <f t="shared" si="53"/>
        <v>0</v>
      </c>
      <c r="AM28" s="595">
        <f t="shared" si="54"/>
        <v>0</v>
      </c>
      <c r="AN28" s="595">
        <f t="shared" si="55"/>
        <v>0</v>
      </c>
      <c r="AO28" s="595">
        <f t="shared" si="56"/>
        <v>0</v>
      </c>
      <c r="AP28" s="507">
        <f t="shared" si="14"/>
        <v>-0.35308129619490813</v>
      </c>
      <c r="AQ28" s="626" t="s">
        <v>1134</v>
      </c>
    </row>
    <row r="30" spans="8:61" ht="18" customHeight="1" x14ac:dyDescent="0.25">
      <c r="M30" s="702">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599"/>
      <c r="N37" s="903" t="s">
        <v>1014</v>
      </c>
      <c r="O37" s="903"/>
      <c r="P37" s="903"/>
      <c r="Q37" s="903"/>
      <c r="R37" s="903"/>
      <c r="S37" s="903"/>
      <c r="T37" s="903"/>
      <c r="U37" s="903"/>
      <c r="V37" s="903"/>
      <c r="W37" s="903"/>
      <c r="X37" s="599"/>
      <c r="Y37" s="599"/>
      <c r="Z37" s="599"/>
      <c r="AE37" s="904" t="s">
        <v>872</v>
      </c>
      <c r="AF37" s="904"/>
      <c r="AG37" s="904"/>
      <c r="AH37" s="904"/>
      <c r="AI37" s="904"/>
      <c r="AJ37" s="904"/>
      <c r="AK37" s="904"/>
      <c r="AL37" s="904"/>
      <c r="AM37" s="904"/>
      <c r="AN37" s="904"/>
      <c r="AO37" s="51"/>
      <c r="AP37" s="51"/>
      <c r="AQ37" s="51"/>
    </row>
    <row r="38" spans="1:43" x14ac:dyDescent="0.25">
      <c r="D38" t="s">
        <v>1095</v>
      </c>
      <c r="E38" s="705" t="str">
        <f>"-RR2050"</f>
        <v>-RR2050</v>
      </c>
      <c r="F38" s="486" t="s">
        <v>1094</v>
      </c>
      <c r="G38" s="486" t="s">
        <v>873</v>
      </c>
      <c r="H38" s="486" t="s">
        <v>874</v>
      </c>
      <c r="I38" s="486" t="s">
        <v>875</v>
      </c>
      <c r="J38" s="486" t="s">
        <v>876</v>
      </c>
      <c r="K38" s="486" t="s">
        <v>877</v>
      </c>
      <c r="L38" s="487" t="s">
        <v>878</v>
      </c>
      <c r="M38" s="600">
        <v>2019</v>
      </c>
      <c r="N38" s="601">
        <v>2020</v>
      </c>
      <c r="O38" s="602">
        <v>2023</v>
      </c>
      <c r="P38" s="602">
        <v>2025</v>
      </c>
      <c r="Q38" s="602">
        <v>2027</v>
      </c>
      <c r="R38" s="602">
        <v>2030</v>
      </c>
      <c r="S38" s="602">
        <v>2033</v>
      </c>
      <c r="T38" s="602">
        <v>2035</v>
      </c>
      <c r="U38" s="602">
        <v>2037</v>
      </c>
      <c r="V38" s="602">
        <v>2040</v>
      </c>
      <c r="W38" s="602">
        <v>2043</v>
      </c>
      <c r="X38" s="602">
        <v>2045</v>
      </c>
      <c r="Y38" s="602">
        <v>2047</v>
      </c>
      <c r="Z38" s="603">
        <v>2050</v>
      </c>
      <c r="AA38" s="493" t="s">
        <v>908</v>
      </c>
      <c r="AB38" s="493" t="s">
        <v>909</v>
      </c>
      <c r="AC38" s="496" t="s">
        <v>910</v>
      </c>
      <c r="AE38" s="498">
        <v>2020</v>
      </c>
      <c r="AF38" s="499">
        <v>2023</v>
      </c>
      <c r="AG38" s="499">
        <v>2025</v>
      </c>
      <c r="AH38" s="499">
        <v>2027</v>
      </c>
      <c r="AI38" s="499">
        <v>2030</v>
      </c>
      <c r="AJ38" s="499">
        <v>2033</v>
      </c>
      <c r="AK38" s="499">
        <v>2035</v>
      </c>
      <c r="AL38" s="499">
        <v>2037</v>
      </c>
      <c r="AM38" s="499">
        <v>2040</v>
      </c>
      <c r="AN38" s="499">
        <v>2043</v>
      </c>
      <c r="AO38" s="499">
        <v>2045</v>
      </c>
      <c r="AP38" s="499">
        <v>2047</v>
      </c>
      <c r="AQ38" s="500">
        <v>2050</v>
      </c>
    </row>
    <row r="39" spans="1:43" x14ac:dyDescent="0.25">
      <c r="A39" s="57"/>
      <c r="B39" t="s">
        <v>879</v>
      </c>
      <c r="C39" t="s">
        <v>846</v>
      </c>
      <c r="D39" s="121">
        <v>89.87</v>
      </c>
      <c r="E39" s="706"/>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04">
        <v>19000</v>
      </c>
      <c r="N39" s="605">
        <v>9590.1639344262294</v>
      </c>
      <c r="O39" s="606">
        <v>19016.393442622953</v>
      </c>
      <c r="P39" s="606">
        <v>16065.573770491805</v>
      </c>
      <c r="Q39" s="606"/>
      <c r="R39" s="606">
        <v>11065.573770491806</v>
      </c>
      <c r="S39" s="606"/>
      <c r="T39" s="606">
        <v>7786.8852459016416</v>
      </c>
      <c r="U39" s="606"/>
      <c r="V39" s="606">
        <v>5409.8360655737706</v>
      </c>
      <c r="W39" s="606"/>
      <c r="X39" s="606">
        <v>3852.4590163934445</v>
      </c>
      <c r="Y39" s="606">
        <v>3114.7540983606559</v>
      </c>
      <c r="Z39" s="607"/>
      <c r="AA39" s="494">
        <f t="shared" ref="AA39:AA71" si="64">+SLOPE(N39:Z39,$N$38:$Z$38)</f>
        <v>-466.42815913267287</v>
      </c>
      <c r="AB39" s="494">
        <f>+INTERCEPT(N39:Z39,$N$38:$Z$38)</f>
        <v>957794.45595464832</v>
      </c>
      <c r="AC39" s="497">
        <v>2048</v>
      </c>
      <c r="AD39" s="121" t="s">
        <v>846</v>
      </c>
      <c r="AE39" s="501">
        <f>+IF(AE$38&lt;$AC39,$AA39*AE$38+$AB39,0)</f>
        <v>15609.574506649165</v>
      </c>
      <c r="AF39" s="501">
        <f t="shared" ref="AF39:AQ54" si="65">+IF(AF$38&lt;$AC39,$AA39*AF$38+$AB39,0)</f>
        <v>14210.290029251133</v>
      </c>
      <c r="AG39" s="501">
        <f t="shared" si="65"/>
        <v>13277.433710985701</v>
      </c>
      <c r="AH39" s="501">
        <f t="shared" si="65"/>
        <v>12344.577392720385</v>
      </c>
      <c r="AI39" s="501">
        <f t="shared" si="65"/>
        <v>10945.292915322352</v>
      </c>
      <c r="AJ39" s="501">
        <f t="shared" si="65"/>
        <v>9546.0084379243199</v>
      </c>
      <c r="AK39" s="501">
        <f t="shared" si="65"/>
        <v>8613.1521196590038</v>
      </c>
      <c r="AL39" s="501">
        <f t="shared" si="65"/>
        <v>7680.2958013936877</v>
      </c>
      <c r="AM39" s="501">
        <f t="shared" si="65"/>
        <v>6281.0113239956554</v>
      </c>
      <c r="AN39" s="501">
        <f t="shared" si="65"/>
        <v>4881.7268465976231</v>
      </c>
      <c r="AO39" s="501">
        <f t="shared" si="65"/>
        <v>3948.870528332307</v>
      </c>
      <c r="AP39" s="501">
        <f t="shared" si="65"/>
        <v>3016.0142100669909</v>
      </c>
      <c r="AQ39" s="501">
        <f t="shared" si="65"/>
        <v>0</v>
      </c>
    </row>
    <row r="40" spans="1:43" x14ac:dyDescent="0.25">
      <c r="B40" t="s">
        <v>879</v>
      </c>
      <c r="C40" t="s">
        <v>848</v>
      </c>
      <c r="D40" s="121">
        <v>2.5</v>
      </c>
      <c r="E40" s="706"/>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04">
        <v>3900</v>
      </c>
      <c r="N40" s="608">
        <v>2895.7055214723941</v>
      </c>
      <c r="O40" s="609">
        <v>1104.2944785276086</v>
      </c>
      <c r="P40" s="609">
        <v>638.03680981595244</v>
      </c>
      <c r="Q40" s="609"/>
      <c r="R40" s="609">
        <v>245.39877300613625</v>
      </c>
      <c r="S40" s="609"/>
      <c r="T40" s="609"/>
      <c r="U40" s="609"/>
      <c r="V40" s="609"/>
      <c r="W40" s="609"/>
      <c r="X40" s="609"/>
      <c r="Y40" s="609"/>
      <c r="Z40" s="610"/>
      <c r="AA40" s="494">
        <f t="shared" si="64"/>
        <v>-245.6302812825559</v>
      </c>
      <c r="AB40" s="494">
        <f t="shared" ref="AB40:AB71" si="67">+INTERCEPT(N40:Z40,$N$38:$Z$38)</f>
        <v>498499.36335223995</v>
      </c>
      <c r="AC40" s="493">
        <v>2029</v>
      </c>
      <c r="AD40" s="121" t="s">
        <v>848</v>
      </c>
      <c r="AE40" s="501">
        <f t="shared" ref="AE40:AQ55" si="68">+IF(AE$38&lt;$AC40,$AA40*AE$38+$AB40,0)</f>
        <v>2326.1951614770223</v>
      </c>
      <c r="AF40" s="501">
        <f t="shared" si="65"/>
        <v>1589.3043176293722</v>
      </c>
      <c r="AG40" s="501">
        <f t="shared" si="65"/>
        <v>1098.0437550642528</v>
      </c>
      <c r="AH40" s="501">
        <f t="shared" si="65"/>
        <v>606.78319249913329</v>
      </c>
      <c r="AI40" s="501">
        <f t="shared" si="65"/>
        <v>0</v>
      </c>
      <c r="AJ40" s="501">
        <f t="shared" si="65"/>
        <v>0</v>
      </c>
      <c r="AK40" s="501">
        <f t="shared" si="65"/>
        <v>0</v>
      </c>
      <c r="AL40" s="501">
        <f t="shared" si="65"/>
        <v>0</v>
      </c>
      <c r="AM40" s="501">
        <f t="shared" si="65"/>
        <v>0</v>
      </c>
      <c r="AN40" s="501">
        <f t="shared" si="65"/>
        <v>0</v>
      </c>
      <c r="AO40" s="501">
        <f t="shared" si="65"/>
        <v>0</v>
      </c>
      <c r="AP40" s="501">
        <f t="shared" si="65"/>
        <v>0</v>
      </c>
      <c r="AQ40" s="501">
        <f t="shared" si="65"/>
        <v>0</v>
      </c>
    </row>
    <row r="41" spans="1:43" x14ac:dyDescent="0.25">
      <c r="B41" t="s">
        <v>879</v>
      </c>
      <c r="C41" t="s">
        <v>880</v>
      </c>
      <c r="D41" s="121">
        <v>1.37</v>
      </c>
      <c r="E41" s="706"/>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04">
        <v>310</v>
      </c>
      <c r="N41" s="608">
        <v>390.47502763283035</v>
      </c>
      <c r="O41" s="609">
        <v>344.4663650618204</v>
      </c>
      <c r="P41" s="609">
        <v>275.72230933347043</v>
      </c>
      <c r="Q41" s="609"/>
      <c r="R41" s="609">
        <v>198.10040356784828</v>
      </c>
      <c r="S41" s="609"/>
      <c r="T41" s="609">
        <v>123.34138755365916</v>
      </c>
      <c r="U41" s="609"/>
      <c r="V41" s="609">
        <v>59.918258232013045</v>
      </c>
      <c r="W41" s="609"/>
      <c r="X41" s="609"/>
      <c r="Y41" s="609"/>
      <c r="Z41" s="610"/>
      <c r="AA41" s="494">
        <f t="shared" si="64"/>
        <v>-16.69240967929418</v>
      </c>
      <c r="AB41" s="494">
        <f t="shared" si="67"/>
        <v>34098.121129571613</v>
      </c>
      <c r="AC41" s="493">
        <v>2041</v>
      </c>
      <c r="AD41" s="121" t="s">
        <v>880</v>
      </c>
      <c r="AE41" s="501">
        <f t="shared" si="68"/>
        <v>379.45357739736937</v>
      </c>
      <c r="AF41" s="501">
        <f t="shared" si="65"/>
        <v>329.37634835948847</v>
      </c>
      <c r="AG41" s="501">
        <f t="shared" si="65"/>
        <v>295.99152900090121</v>
      </c>
      <c r="AH41" s="501">
        <f t="shared" si="65"/>
        <v>262.60670964231394</v>
      </c>
      <c r="AI41" s="501">
        <f t="shared" si="65"/>
        <v>212.52948060442577</v>
      </c>
      <c r="AJ41" s="501">
        <f t="shared" si="65"/>
        <v>162.45225156654487</v>
      </c>
      <c r="AK41" s="501">
        <f t="shared" si="65"/>
        <v>129.06743220795761</v>
      </c>
      <c r="AL41" s="501">
        <f t="shared" si="65"/>
        <v>95.682612849370344</v>
      </c>
      <c r="AM41" s="501">
        <f t="shared" si="65"/>
        <v>45.605383811489446</v>
      </c>
      <c r="AN41" s="501">
        <f t="shared" si="65"/>
        <v>0</v>
      </c>
      <c r="AO41" s="501">
        <f t="shared" si="65"/>
        <v>0</v>
      </c>
      <c r="AP41" s="501">
        <f t="shared" si="65"/>
        <v>0</v>
      </c>
      <c r="AQ41" s="501">
        <f t="shared" si="65"/>
        <v>0</v>
      </c>
    </row>
    <row r="42" spans="1:43" x14ac:dyDescent="0.25">
      <c r="B42" t="s">
        <v>879</v>
      </c>
      <c r="C42" t="s">
        <v>839</v>
      </c>
      <c r="D42" s="121">
        <v>14.92</v>
      </c>
      <c r="E42" s="706"/>
      <c r="F42" s="486">
        <f t="shared" si="66"/>
        <v>14.92</v>
      </c>
      <c r="G42" s="488">
        <f t="shared" si="60"/>
        <v>0</v>
      </c>
      <c r="H42" s="488">
        <f t="shared" si="61"/>
        <v>1</v>
      </c>
      <c r="I42" s="488" t="str">
        <f t="shared" si="62"/>
        <v>Gas</v>
      </c>
      <c r="J42" s="489">
        <v>0</v>
      </c>
      <c r="K42" s="121">
        <v>89.54</v>
      </c>
      <c r="L42" s="490">
        <f t="shared" si="63"/>
        <v>0</v>
      </c>
      <c r="M42" s="604">
        <v>3750</v>
      </c>
      <c r="N42" s="608">
        <v>2688.1998197310859</v>
      </c>
      <c r="O42" s="609">
        <v>4033.9723277920784</v>
      </c>
      <c r="P42" s="609">
        <v>2897.3861007089963</v>
      </c>
      <c r="Q42" s="609">
        <v>2545.9174665712671</v>
      </c>
      <c r="R42" s="609">
        <v>2313.091797764293</v>
      </c>
      <c r="S42" s="609">
        <v>1610.2660360352002</v>
      </c>
      <c r="T42" s="609">
        <v>1259.1319215365602</v>
      </c>
      <c r="U42" s="609">
        <v>1026.306252729586</v>
      </c>
      <c r="V42" s="609"/>
      <c r="W42" s="609"/>
      <c r="X42" s="609"/>
      <c r="Y42" s="609"/>
      <c r="Z42" s="610"/>
      <c r="AA42" s="494">
        <f t="shared" si="64"/>
        <v>-141.87789450348069</v>
      </c>
      <c r="AB42" s="494">
        <f t="shared" si="67"/>
        <v>290131.56243929506</v>
      </c>
      <c r="AC42" s="493">
        <v>2039</v>
      </c>
      <c r="AD42" s="121" t="s">
        <v>839</v>
      </c>
      <c r="AE42" s="501">
        <f t="shared" si="68"/>
        <v>3538.2155422640499</v>
      </c>
      <c r="AF42" s="501">
        <f t="shared" si="65"/>
        <v>3112.5818587536342</v>
      </c>
      <c r="AG42" s="501">
        <f t="shared" si="65"/>
        <v>2828.8260697466321</v>
      </c>
      <c r="AH42" s="501">
        <f t="shared" si="65"/>
        <v>2545.0702807396883</v>
      </c>
      <c r="AI42" s="501">
        <f t="shared" si="65"/>
        <v>2119.4365972292726</v>
      </c>
      <c r="AJ42" s="501">
        <f t="shared" si="65"/>
        <v>1693.8029137187987</v>
      </c>
      <c r="AK42" s="501">
        <f t="shared" si="65"/>
        <v>1410.0471247118548</v>
      </c>
      <c r="AL42" s="501">
        <f t="shared" si="65"/>
        <v>1126.291335704911</v>
      </c>
      <c r="AM42" s="501">
        <f t="shared" si="65"/>
        <v>0</v>
      </c>
      <c r="AN42" s="501">
        <f t="shared" si="65"/>
        <v>0</v>
      </c>
      <c r="AO42" s="501">
        <f t="shared" si="65"/>
        <v>0</v>
      </c>
      <c r="AP42" s="501">
        <f t="shared" si="65"/>
        <v>0</v>
      </c>
      <c r="AQ42" s="501">
        <f t="shared" si="65"/>
        <v>0</v>
      </c>
    </row>
    <row r="43" spans="1:43" x14ac:dyDescent="0.25">
      <c r="B43" t="s">
        <v>879</v>
      </c>
      <c r="C43" t="s">
        <v>818</v>
      </c>
      <c r="D43" s="121">
        <v>21.91</v>
      </c>
      <c r="E43" s="706"/>
      <c r="F43" s="486">
        <f t="shared" si="66"/>
        <v>21.91</v>
      </c>
      <c r="G43" s="488">
        <f t="shared" si="60"/>
        <v>1</v>
      </c>
      <c r="H43" s="488">
        <f t="shared" si="61"/>
        <v>0</v>
      </c>
      <c r="I43" s="488" t="str">
        <f t="shared" si="62"/>
        <v>Oil</v>
      </c>
      <c r="J43" s="489">
        <f>+F43</f>
        <v>21.91</v>
      </c>
      <c r="K43" s="121">
        <v>0</v>
      </c>
      <c r="L43" s="490">
        <f t="shared" si="63"/>
        <v>0</v>
      </c>
      <c r="M43" s="604">
        <v>10000</v>
      </c>
      <c r="N43" s="608">
        <v>10465.971477086872</v>
      </c>
      <c r="O43" s="609"/>
      <c r="P43" s="609">
        <v>6174.2002020980708</v>
      </c>
      <c r="Q43" s="609"/>
      <c r="R43" s="609">
        <v>2813.1217901305317</v>
      </c>
      <c r="S43" s="609"/>
      <c r="T43" s="609">
        <v>1643.4531684602007</v>
      </c>
      <c r="U43" s="609"/>
      <c r="V43" s="609"/>
      <c r="W43" s="609"/>
      <c r="X43" s="609"/>
      <c r="Y43" s="609"/>
      <c r="Z43" s="610"/>
      <c r="AA43" s="494">
        <f t="shared" si="64"/>
        <v>-596.57266675695109</v>
      </c>
      <c r="AB43" s="494">
        <f t="shared" si="67"/>
        <v>1214825.2685091621</v>
      </c>
      <c r="AC43" s="493">
        <v>2035</v>
      </c>
      <c r="AD43" s="121" t="s">
        <v>818</v>
      </c>
      <c r="AE43" s="501">
        <f t="shared" si="68"/>
        <v>9748.4816601208877</v>
      </c>
      <c r="AF43" s="501">
        <f t="shared" si="65"/>
        <v>7958.7636598499957</v>
      </c>
      <c r="AG43" s="501">
        <f t="shared" si="65"/>
        <v>6765.6183263361454</v>
      </c>
      <c r="AH43" s="501">
        <f t="shared" si="65"/>
        <v>5572.4729928222951</v>
      </c>
      <c r="AI43" s="501">
        <f t="shared" si="65"/>
        <v>3782.7549925514031</v>
      </c>
      <c r="AJ43" s="501">
        <f t="shared" si="65"/>
        <v>1993.0369922805112</v>
      </c>
      <c r="AK43" s="501">
        <f t="shared" si="65"/>
        <v>0</v>
      </c>
      <c r="AL43" s="501">
        <f t="shared" si="65"/>
        <v>0</v>
      </c>
      <c r="AM43" s="501">
        <f t="shared" si="65"/>
        <v>0</v>
      </c>
      <c r="AN43" s="501">
        <f t="shared" si="65"/>
        <v>0</v>
      </c>
      <c r="AO43" s="501">
        <f t="shared" si="65"/>
        <v>0</v>
      </c>
      <c r="AP43" s="501">
        <f t="shared" si="65"/>
        <v>0</v>
      </c>
      <c r="AQ43" s="501">
        <f t="shared" si="65"/>
        <v>0</v>
      </c>
    </row>
    <row r="44" spans="1:43" x14ac:dyDescent="0.25">
      <c r="B44" t="s">
        <v>879</v>
      </c>
      <c r="C44" s="1" t="s">
        <v>881</v>
      </c>
      <c r="D44" s="617">
        <v>8.85</v>
      </c>
      <c r="E44" s="706">
        <v>0.10379389106158297</v>
      </c>
      <c r="F44" s="486">
        <f t="shared" si="66"/>
        <v>8.7462061089384164</v>
      </c>
      <c r="G44" s="488">
        <f t="shared" si="60"/>
        <v>1</v>
      </c>
      <c r="H44" s="488">
        <f t="shared" si="61"/>
        <v>0</v>
      </c>
      <c r="I44" s="488" t="str">
        <f t="shared" si="62"/>
        <v>Oil</v>
      </c>
      <c r="J44" s="489">
        <f>+F44</f>
        <v>8.7462061089384164</v>
      </c>
      <c r="K44" s="121">
        <v>0</v>
      </c>
      <c r="L44" s="490">
        <f t="shared" si="63"/>
        <v>0</v>
      </c>
      <c r="M44" s="604">
        <v>1750</v>
      </c>
      <c r="N44" s="608">
        <v>1648.5786991601608</v>
      </c>
      <c r="O44" s="609">
        <v>2065.3937346384009</v>
      </c>
      <c r="P44" s="609">
        <v>1591.6354730287221</v>
      </c>
      <c r="Q44" s="609"/>
      <c r="R44" s="609">
        <v>1118.8933568407438</v>
      </c>
      <c r="S44" s="609"/>
      <c r="T44" s="609">
        <v>750.03256876351679</v>
      </c>
      <c r="U44" s="609"/>
      <c r="V44" s="609">
        <v>440.61628785575977</v>
      </c>
      <c r="W44" s="609"/>
      <c r="X44" s="609">
        <v>279.75265109735119</v>
      </c>
      <c r="Y44" s="609">
        <v>163.4430828288796</v>
      </c>
      <c r="Z44" s="610"/>
      <c r="AA44" s="494">
        <f t="shared" si="64"/>
        <v>-66.613918553093967</v>
      </c>
      <c r="AB44" s="494">
        <f t="shared" si="67"/>
        <v>136441.71639003584</v>
      </c>
      <c r="AC44" s="493">
        <v>2052</v>
      </c>
      <c r="AD44" s="121" t="s">
        <v>881</v>
      </c>
      <c r="AE44" s="501">
        <f t="shared" si="68"/>
        <v>1881.6009127860307</v>
      </c>
      <c r="AF44" s="501">
        <f t="shared" si="65"/>
        <v>1681.7591571267403</v>
      </c>
      <c r="AG44" s="501">
        <f t="shared" si="65"/>
        <v>1548.5313200205564</v>
      </c>
      <c r="AH44" s="501">
        <f t="shared" si="65"/>
        <v>1415.3034829143726</v>
      </c>
      <c r="AI44" s="501">
        <f t="shared" si="65"/>
        <v>1215.4617272550822</v>
      </c>
      <c r="AJ44" s="501">
        <f t="shared" si="65"/>
        <v>1015.619971595821</v>
      </c>
      <c r="AK44" s="501">
        <f t="shared" si="65"/>
        <v>882.392134489608</v>
      </c>
      <c r="AL44" s="501">
        <f t="shared" si="65"/>
        <v>749.16429738342413</v>
      </c>
      <c r="AM44" s="501">
        <f t="shared" si="65"/>
        <v>549.32254172416287</v>
      </c>
      <c r="AN44" s="501">
        <f t="shared" si="65"/>
        <v>349.48078606487252</v>
      </c>
      <c r="AO44" s="501">
        <f t="shared" si="65"/>
        <v>216.25294895868865</v>
      </c>
      <c r="AP44" s="501">
        <f t="shared" si="65"/>
        <v>83.025111852504779</v>
      </c>
      <c r="AQ44" s="501">
        <v>0</v>
      </c>
    </row>
    <row r="45" spans="1:43" x14ac:dyDescent="0.25">
      <c r="B45" t="s">
        <v>879</v>
      </c>
      <c r="C45" s="1" t="s">
        <v>882</v>
      </c>
      <c r="D45" s="617">
        <v>153.29</v>
      </c>
      <c r="E45" s="706"/>
      <c r="F45" s="486">
        <f t="shared" si="66"/>
        <v>153.29</v>
      </c>
      <c r="G45" s="488">
        <f t="shared" si="60"/>
        <v>1</v>
      </c>
      <c r="H45" s="488">
        <f t="shared" si="61"/>
        <v>0</v>
      </c>
      <c r="I45" s="488" t="str">
        <f t="shared" si="62"/>
        <v>Oil</v>
      </c>
      <c r="J45" s="489">
        <v>153.29</v>
      </c>
      <c r="K45" s="121">
        <v>0</v>
      </c>
      <c r="L45" s="490">
        <f t="shared" si="63"/>
        <v>0</v>
      </c>
      <c r="M45" s="604">
        <v>70000</v>
      </c>
      <c r="N45" s="608">
        <v>66124.661246612479</v>
      </c>
      <c r="O45" s="609"/>
      <c r="P45" s="609">
        <v>37723.577235772369</v>
      </c>
      <c r="Q45" s="609"/>
      <c r="R45" s="609">
        <v>22764.227642276433</v>
      </c>
      <c r="S45" s="609"/>
      <c r="T45" s="609">
        <v>14092.140921409227</v>
      </c>
      <c r="U45" s="609"/>
      <c r="V45" s="609"/>
      <c r="W45" s="609"/>
      <c r="X45" s="609"/>
      <c r="Y45" s="609"/>
      <c r="Z45" s="610"/>
      <c r="AA45" s="494">
        <f t="shared" si="64"/>
        <v>-3421.1382113821137</v>
      </c>
      <c r="AB45" s="494">
        <f t="shared" si="67"/>
        <v>6971533.8753387537</v>
      </c>
      <c r="AC45" s="493">
        <v>2036</v>
      </c>
      <c r="AD45" s="121" t="s">
        <v>882</v>
      </c>
      <c r="AE45" s="501">
        <f t="shared" si="68"/>
        <v>60834.688346884213</v>
      </c>
      <c r="AF45" s="501">
        <f t="shared" si="65"/>
        <v>50571.273712737486</v>
      </c>
      <c r="AG45" s="501">
        <f t="shared" si="65"/>
        <v>43728.997289973311</v>
      </c>
      <c r="AH45" s="501">
        <f t="shared" si="65"/>
        <v>36886.720867209136</v>
      </c>
      <c r="AI45" s="501">
        <f t="shared" si="65"/>
        <v>26623.30623306334</v>
      </c>
      <c r="AJ45" s="501">
        <f t="shared" si="65"/>
        <v>16359.891598916613</v>
      </c>
      <c r="AK45" s="501">
        <f t="shared" si="65"/>
        <v>9517.6151761524379</v>
      </c>
      <c r="AL45" s="501">
        <f t="shared" si="65"/>
        <v>0</v>
      </c>
      <c r="AM45" s="501">
        <f t="shared" si="65"/>
        <v>0</v>
      </c>
      <c r="AN45" s="501">
        <f t="shared" si="65"/>
        <v>0</v>
      </c>
      <c r="AO45" s="501">
        <f t="shared" si="65"/>
        <v>0</v>
      </c>
      <c r="AP45" s="501">
        <f t="shared" si="65"/>
        <v>0</v>
      </c>
      <c r="AQ45" s="501">
        <f t="shared" si="65"/>
        <v>0</v>
      </c>
    </row>
    <row r="46" spans="1:43" x14ac:dyDescent="0.25">
      <c r="B46" t="s">
        <v>473</v>
      </c>
      <c r="C46" s="1" t="s">
        <v>883</v>
      </c>
      <c r="D46" s="617">
        <v>0.88</v>
      </c>
      <c r="E46" s="706"/>
      <c r="F46" s="486">
        <f t="shared" si="66"/>
        <v>0.88</v>
      </c>
      <c r="G46" s="488">
        <f>+J46/F46</f>
        <v>1</v>
      </c>
      <c r="H46" s="488">
        <f t="shared" si="61"/>
        <v>0</v>
      </c>
      <c r="I46" s="488" t="str">
        <f t="shared" si="62"/>
        <v>Oil</v>
      </c>
      <c r="J46" s="489">
        <v>0.88</v>
      </c>
      <c r="K46" s="121">
        <v>0</v>
      </c>
      <c r="L46" s="490">
        <f t="shared" si="63"/>
        <v>0</v>
      </c>
      <c r="M46" s="604">
        <v>200</v>
      </c>
      <c r="N46" s="608">
        <v>139.28969359331495</v>
      </c>
      <c r="O46" s="609">
        <v>224.70055710306417</v>
      </c>
      <c r="P46" s="609">
        <v>158.94150417827314</v>
      </c>
      <c r="Q46" s="609"/>
      <c r="R46" s="609">
        <v>115.27855153203359</v>
      </c>
      <c r="S46" s="609"/>
      <c r="T46" s="609">
        <v>78.133704735376114</v>
      </c>
      <c r="U46" s="609">
        <v>68.920612813370553</v>
      </c>
      <c r="V46" s="609">
        <v>62.841225626741107</v>
      </c>
      <c r="W46" s="609"/>
      <c r="X46" s="609"/>
      <c r="Y46" s="609"/>
      <c r="Z46" s="610"/>
      <c r="AA46" s="494">
        <f t="shared" si="64"/>
        <v>-6.4913312842186155</v>
      </c>
      <c r="AB46" s="494">
        <f t="shared" si="67"/>
        <v>13298.560485475529</v>
      </c>
      <c r="AC46" s="493">
        <v>2042</v>
      </c>
      <c r="AD46" s="121" t="s">
        <v>883</v>
      </c>
      <c r="AE46" s="501">
        <f t="shared" si="68"/>
        <v>186.07129135392643</v>
      </c>
      <c r="AF46" s="501">
        <f t="shared" si="65"/>
        <v>166.59729750127008</v>
      </c>
      <c r="AG46" s="501">
        <f t="shared" si="65"/>
        <v>153.61463493283372</v>
      </c>
      <c r="AH46" s="501">
        <f t="shared" si="65"/>
        <v>140.63197236439555</v>
      </c>
      <c r="AI46" s="501">
        <f t="shared" si="65"/>
        <v>121.1579785117392</v>
      </c>
      <c r="AJ46" s="501">
        <f t="shared" si="65"/>
        <v>101.68398465908467</v>
      </c>
      <c r="AK46" s="501">
        <f t="shared" si="65"/>
        <v>88.701322090646499</v>
      </c>
      <c r="AL46" s="501">
        <f t="shared" si="65"/>
        <v>75.718659522210146</v>
      </c>
      <c r="AM46" s="501">
        <f t="shared" si="65"/>
        <v>56.244665669553797</v>
      </c>
      <c r="AN46" s="501">
        <f t="shared" si="65"/>
        <v>0</v>
      </c>
      <c r="AO46" s="501">
        <f t="shared" si="65"/>
        <v>0</v>
      </c>
      <c r="AP46" s="501">
        <f t="shared" si="65"/>
        <v>0</v>
      </c>
      <c r="AQ46" s="501">
        <f t="shared" si="65"/>
        <v>0</v>
      </c>
    </row>
    <row r="47" spans="1:43" x14ac:dyDescent="0.25">
      <c r="B47" t="s">
        <v>473</v>
      </c>
      <c r="C47" s="1" t="s">
        <v>884</v>
      </c>
      <c r="D47" s="617">
        <v>543.79</v>
      </c>
      <c r="E47" s="706">
        <v>238.91494774129922</v>
      </c>
      <c r="F47" s="486">
        <f t="shared" si="66"/>
        <v>304.87505225870075</v>
      </c>
      <c r="G47" s="488">
        <f t="shared" si="60"/>
        <v>1</v>
      </c>
      <c r="H47" s="488">
        <f t="shared" si="61"/>
        <v>0</v>
      </c>
      <c r="I47" s="488" t="str">
        <f t="shared" si="62"/>
        <v>Oil</v>
      </c>
      <c r="J47" s="489">
        <f>+F47</f>
        <v>304.87505225870075</v>
      </c>
      <c r="K47" s="121">
        <v>0</v>
      </c>
      <c r="L47" s="490">
        <f t="shared" si="63"/>
        <v>0</v>
      </c>
      <c r="M47" s="604">
        <v>42000</v>
      </c>
      <c r="N47" s="608">
        <v>46080.722145667336</v>
      </c>
      <c r="O47" s="609">
        <v>39727.331429446349</v>
      </c>
      <c r="P47" s="609"/>
      <c r="Q47" s="609"/>
      <c r="R47" s="609">
        <v>32953.221629753898</v>
      </c>
      <c r="S47" s="609"/>
      <c r="T47" s="609"/>
      <c r="U47" s="609"/>
      <c r="V47" s="609">
        <v>26312.58362790327</v>
      </c>
      <c r="W47" s="609"/>
      <c r="X47" s="609"/>
      <c r="Y47" s="609"/>
      <c r="Z47" s="610">
        <v>21157.776313249327</v>
      </c>
      <c r="AA47" s="494">
        <f t="shared" si="64"/>
        <v>-788.06799463334039</v>
      </c>
      <c r="AB47" s="494">
        <f t="shared" si="67"/>
        <v>1635073.3329209315</v>
      </c>
      <c r="AC47" s="493">
        <v>2099</v>
      </c>
      <c r="AD47" s="121" t="s">
        <v>884</v>
      </c>
      <c r="AE47" s="501">
        <f t="shared" si="68"/>
        <v>43175.983761583921</v>
      </c>
      <c r="AF47" s="501">
        <f t="shared" si="65"/>
        <v>40811.779777684016</v>
      </c>
      <c r="AG47" s="501">
        <f t="shared" si="65"/>
        <v>39235.643788417336</v>
      </c>
      <c r="AH47" s="501">
        <f t="shared" si="65"/>
        <v>37659.507799150655</v>
      </c>
      <c r="AI47" s="501">
        <f t="shared" si="65"/>
        <v>35295.303815250518</v>
      </c>
      <c r="AJ47" s="501">
        <f t="shared" si="65"/>
        <v>32931.099831350613</v>
      </c>
      <c r="AK47" s="501">
        <f t="shared" si="65"/>
        <v>31354.963842083933</v>
      </c>
      <c r="AL47" s="501">
        <f t="shared" si="65"/>
        <v>29778.827852817252</v>
      </c>
      <c r="AM47" s="501">
        <f t="shared" si="65"/>
        <v>27414.623868917115</v>
      </c>
      <c r="AN47" s="501">
        <f t="shared" si="65"/>
        <v>25050.419885017211</v>
      </c>
      <c r="AO47" s="501">
        <f t="shared" si="65"/>
        <v>23474.28389575053</v>
      </c>
      <c r="AP47" s="501">
        <f t="shared" si="65"/>
        <v>21898.14790648385</v>
      </c>
      <c r="AQ47" s="501">
        <f t="shared" si="65"/>
        <v>19533.943922583712</v>
      </c>
    </row>
    <row r="48" spans="1:43" x14ac:dyDescent="0.25">
      <c r="B48" t="s">
        <v>473</v>
      </c>
      <c r="C48" s="1" t="s">
        <v>845</v>
      </c>
      <c r="D48" s="617">
        <v>146.25</v>
      </c>
      <c r="E48" s="706"/>
      <c r="F48" s="486">
        <f t="shared" si="66"/>
        <v>146.25</v>
      </c>
      <c r="G48" s="488">
        <f t="shared" si="60"/>
        <v>1</v>
      </c>
      <c r="H48" s="488">
        <f t="shared" si="61"/>
        <v>0</v>
      </c>
      <c r="I48" s="488" t="str">
        <f t="shared" si="62"/>
        <v>Oil</v>
      </c>
      <c r="J48" s="489">
        <v>146.25</v>
      </c>
      <c r="K48" s="121">
        <v>0</v>
      </c>
      <c r="L48" s="490">
        <f t="shared" si="63"/>
        <v>0</v>
      </c>
      <c r="M48" s="604">
        <v>49000</v>
      </c>
      <c r="N48" s="608">
        <v>49014.692742976287</v>
      </c>
      <c r="O48" s="609"/>
      <c r="P48" s="609">
        <v>34761.491114861514</v>
      </c>
      <c r="Q48" s="609"/>
      <c r="R48" s="609">
        <v>19155.415467090243</v>
      </c>
      <c r="S48" s="609">
        <v>16260.547999602895</v>
      </c>
      <c r="T48" s="609">
        <v>12169.165094807897</v>
      </c>
      <c r="U48" s="609">
        <v>8406.8797776233405</v>
      </c>
      <c r="V48" s="609"/>
      <c r="W48" s="609"/>
      <c r="X48" s="609"/>
      <c r="Y48" s="609"/>
      <c r="Z48" s="610"/>
      <c r="AA48" s="494">
        <f t="shared" si="64"/>
        <v>-2382.1093994608605</v>
      </c>
      <c r="AB48" s="494">
        <f t="shared" si="67"/>
        <v>4858976.7796050403</v>
      </c>
      <c r="AC48" s="493">
        <v>2039</v>
      </c>
      <c r="AD48" s="121" t="s">
        <v>845</v>
      </c>
      <c r="AE48" s="501">
        <f t="shared" si="68"/>
        <v>47115.792694102041</v>
      </c>
      <c r="AF48" s="501">
        <f t="shared" si="65"/>
        <v>39969.46449571941</v>
      </c>
      <c r="AG48" s="501">
        <f t="shared" si="65"/>
        <v>35205.245696797967</v>
      </c>
      <c r="AH48" s="501">
        <f t="shared" si="65"/>
        <v>30441.026897876523</v>
      </c>
      <c r="AI48" s="501">
        <f t="shared" si="65"/>
        <v>23294.698699493892</v>
      </c>
      <c r="AJ48" s="501">
        <f t="shared" si="65"/>
        <v>16148.370501111262</v>
      </c>
      <c r="AK48" s="501">
        <f t="shared" si="65"/>
        <v>11384.151702188887</v>
      </c>
      <c r="AL48" s="501">
        <f t="shared" si="65"/>
        <v>6619.9329032674432</v>
      </c>
      <c r="AM48" s="501">
        <f t="shared" si="65"/>
        <v>0</v>
      </c>
      <c r="AN48" s="501">
        <f t="shared" si="65"/>
        <v>0</v>
      </c>
      <c r="AO48" s="501">
        <f t="shared" si="65"/>
        <v>0</v>
      </c>
      <c r="AP48" s="501">
        <f t="shared" si="65"/>
        <v>0</v>
      </c>
      <c r="AQ48" s="501">
        <f t="shared" si="65"/>
        <v>0</v>
      </c>
    </row>
    <row r="49" spans="2:43" x14ac:dyDescent="0.25">
      <c r="B49" t="s">
        <v>473</v>
      </c>
      <c r="C49" s="1" t="s">
        <v>885</v>
      </c>
      <c r="D49" s="617">
        <v>89.99</v>
      </c>
      <c r="E49" s="706"/>
      <c r="F49" s="486">
        <f t="shared" si="66"/>
        <v>89.99</v>
      </c>
      <c r="G49" s="488">
        <f t="shared" si="60"/>
        <v>1</v>
      </c>
      <c r="H49" s="488">
        <f t="shared" si="61"/>
        <v>0</v>
      </c>
      <c r="I49" s="488" t="str">
        <f t="shared" si="62"/>
        <v>Oil</v>
      </c>
      <c r="J49" s="489">
        <f>+F49</f>
        <v>89.99</v>
      </c>
      <c r="K49" s="121">
        <v>0</v>
      </c>
      <c r="L49" s="490">
        <f t="shared" si="63"/>
        <v>0</v>
      </c>
      <c r="M49" s="604">
        <v>20000</v>
      </c>
      <c r="N49" s="608">
        <v>19904.801688505846</v>
      </c>
      <c r="O49" s="609">
        <v>21393.017324773544</v>
      </c>
      <c r="P49" s="609">
        <v>17374.901064110454</v>
      </c>
      <c r="Q49" s="609"/>
      <c r="R49" s="609">
        <v>11787.002022689294</v>
      </c>
      <c r="S49" s="609"/>
      <c r="T49" s="609">
        <v>8168.8066133145694</v>
      </c>
      <c r="U49" s="609"/>
      <c r="V49" s="609">
        <v>5706.1823938088055</v>
      </c>
      <c r="W49" s="609">
        <v>4334.2713921378891</v>
      </c>
      <c r="X49" s="609"/>
      <c r="Y49" s="609"/>
      <c r="Z49" s="610"/>
      <c r="AA49" s="494">
        <f t="shared" si="64"/>
        <v>-772.21287149137254</v>
      </c>
      <c r="AB49" s="494">
        <f t="shared" si="67"/>
        <v>1580921.0233743847</v>
      </c>
      <c r="AC49" s="493">
        <v>2044</v>
      </c>
      <c r="AD49" s="121" t="s">
        <v>885</v>
      </c>
      <c r="AE49" s="501">
        <f t="shared" si="68"/>
        <v>21051.022961812094</v>
      </c>
      <c r="AF49" s="501">
        <f t="shared" si="65"/>
        <v>18734.384347337997</v>
      </c>
      <c r="AG49" s="501">
        <f t="shared" si="65"/>
        <v>17189.958604355343</v>
      </c>
      <c r="AH49" s="501">
        <f t="shared" si="65"/>
        <v>15645.532861372689</v>
      </c>
      <c r="AI49" s="501">
        <f t="shared" si="65"/>
        <v>13328.894246898592</v>
      </c>
      <c r="AJ49" s="501">
        <f t="shared" si="65"/>
        <v>11012.255632424261</v>
      </c>
      <c r="AK49" s="501">
        <f t="shared" si="65"/>
        <v>9467.8298894416075</v>
      </c>
      <c r="AL49" s="501">
        <f t="shared" si="65"/>
        <v>7923.4041464589536</v>
      </c>
      <c r="AM49" s="501">
        <f t="shared" si="65"/>
        <v>5606.7655319848564</v>
      </c>
      <c r="AN49" s="501">
        <f t="shared" si="65"/>
        <v>3290.1269175105263</v>
      </c>
      <c r="AO49" s="501">
        <f t="shared" si="65"/>
        <v>0</v>
      </c>
      <c r="AP49" s="501">
        <f t="shared" si="65"/>
        <v>0</v>
      </c>
      <c r="AQ49" s="501">
        <f t="shared" si="65"/>
        <v>0</v>
      </c>
    </row>
    <row r="50" spans="2:43" x14ac:dyDescent="0.25">
      <c r="B50" t="s">
        <v>473</v>
      </c>
      <c r="C50" s="1" t="s">
        <v>838</v>
      </c>
      <c r="D50" s="617">
        <v>28.68</v>
      </c>
      <c r="E50" s="706"/>
      <c r="F50" s="486">
        <f t="shared" si="66"/>
        <v>28.68</v>
      </c>
      <c r="G50" s="488">
        <f t="shared" si="60"/>
        <v>0</v>
      </c>
      <c r="H50" s="488">
        <f t="shared" si="61"/>
        <v>1</v>
      </c>
      <c r="I50" s="488" t="str">
        <f t="shared" si="62"/>
        <v>Gas</v>
      </c>
      <c r="J50" s="489">
        <v>0</v>
      </c>
      <c r="K50" s="121">
        <v>172.07</v>
      </c>
      <c r="L50" s="490">
        <f t="shared" si="63"/>
        <v>0</v>
      </c>
      <c r="M50" s="604">
        <v>22500</v>
      </c>
      <c r="N50" s="608">
        <v>18473.762408216862</v>
      </c>
      <c r="O50" s="609"/>
      <c r="P50" s="609">
        <v>12112.142288064424</v>
      </c>
      <c r="Q50" s="609">
        <v>9490.7517064662534</v>
      </c>
      <c r="R50" s="609"/>
      <c r="S50" s="609"/>
      <c r="T50" s="609"/>
      <c r="U50" s="609"/>
      <c r="V50" s="609"/>
      <c r="W50" s="609"/>
      <c r="X50" s="609"/>
      <c r="Y50" s="609"/>
      <c r="Z50" s="610"/>
      <c r="AA50" s="494">
        <f t="shared" si="64"/>
        <v>-1281.1789317463179</v>
      </c>
      <c r="AB50" s="494">
        <f t="shared" si="67"/>
        <v>2606465.0433221296</v>
      </c>
      <c r="AC50" s="495">
        <v>2027</v>
      </c>
      <c r="AD50" s="121" t="s">
        <v>838</v>
      </c>
      <c r="AE50" s="501">
        <f t="shared" si="68"/>
        <v>18483.601194567513</v>
      </c>
      <c r="AF50" s="501">
        <f t="shared" si="65"/>
        <v>14640.064399328548</v>
      </c>
      <c r="AG50" s="501">
        <f t="shared" si="65"/>
        <v>12077.70653583575</v>
      </c>
      <c r="AH50" s="501">
        <f t="shared" si="65"/>
        <v>0</v>
      </c>
      <c r="AI50" s="501">
        <f t="shared" si="65"/>
        <v>0</v>
      </c>
      <c r="AJ50" s="501">
        <f t="shared" si="65"/>
        <v>0</v>
      </c>
      <c r="AK50" s="501">
        <f t="shared" si="65"/>
        <v>0</v>
      </c>
      <c r="AL50" s="501">
        <f t="shared" si="65"/>
        <v>0</v>
      </c>
      <c r="AM50" s="501">
        <f t="shared" si="65"/>
        <v>0</v>
      </c>
      <c r="AN50" s="501">
        <f t="shared" si="65"/>
        <v>0</v>
      </c>
      <c r="AO50" s="501">
        <f t="shared" si="65"/>
        <v>0</v>
      </c>
      <c r="AP50" s="501">
        <f t="shared" si="65"/>
        <v>0</v>
      </c>
      <c r="AQ50" s="501">
        <f t="shared" si="65"/>
        <v>0</v>
      </c>
    </row>
    <row r="51" spans="2:43" x14ac:dyDescent="0.25">
      <c r="B51" t="s">
        <v>473</v>
      </c>
      <c r="C51" s="1" t="s">
        <v>886</v>
      </c>
      <c r="D51" s="617">
        <v>86.96</v>
      </c>
      <c r="E51" s="706"/>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04">
        <v>42000</v>
      </c>
      <c r="N51" s="608">
        <v>44548.767539958091</v>
      </c>
      <c r="O51" s="609">
        <v>31427.013687623752</v>
      </c>
      <c r="P51" s="609">
        <v>23791.787425751099</v>
      </c>
      <c r="Q51" s="609"/>
      <c r="R51" s="609">
        <v>13036.815977502934</v>
      </c>
      <c r="S51" s="609"/>
      <c r="T51" s="609">
        <v>6368.0449941174884</v>
      </c>
      <c r="U51" s="609"/>
      <c r="V51" s="609"/>
      <c r="W51" s="609"/>
      <c r="X51" s="609"/>
      <c r="Y51" s="609"/>
      <c r="Z51" s="610"/>
      <c r="AA51" s="494">
        <f t="shared" si="64"/>
        <v>-2460.405259534517</v>
      </c>
      <c r="AB51" s="494">
        <f t="shared" si="67"/>
        <v>5010091.7848976431</v>
      </c>
      <c r="AC51" s="493">
        <v>2035</v>
      </c>
      <c r="AD51" s="121" t="s">
        <v>886</v>
      </c>
      <c r="AE51" s="501">
        <f t="shared" si="68"/>
        <v>40073.16063791886</v>
      </c>
      <c r="AF51" s="501">
        <f t="shared" si="65"/>
        <v>32691.944859315641</v>
      </c>
      <c r="AG51" s="501">
        <f t="shared" si="65"/>
        <v>27771.134340246208</v>
      </c>
      <c r="AH51" s="501">
        <f t="shared" si="65"/>
        <v>22850.323821176775</v>
      </c>
      <c r="AI51" s="501">
        <f t="shared" si="65"/>
        <v>15469.108042573556</v>
      </c>
      <c r="AJ51" s="501">
        <f t="shared" si="65"/>
        <v>8087.8922639703378</v>
      </c>
      <c r="AK51" s="501">
        <f t="shared" si="65"/>
        <v>0</v>
      </c>
      <c r="AL51" s="501">
        <f t="shared" si="65"/>
        <v>0</v>
      </c>
      <c r="AM51" s="501">
        <f t="shared" si="65"/>
        <v>0</v>
      </c>
      <c r="AN51" s="501">
        <f t="shared" si="65"/>
        <v>0</v>
      </c>
      <c r="AO51" s="501">
        <f t="shared" si="65"/>
        <v>0</v>
      </c>
      <c r="AP51" s="501">
        <f t="shared" si="65"/>
        <v>0</v>
      </c>
      <c r="AQ51" s="501">
        <f t="shared" si="65"/>
        <v>0</v>
      </c>
    </row>
    <row r="52" spans="2:43" x14ac:dyDescent="0.25">
      <c r="B52" t="s">
        <v>887</v>
      </c>
      <c r="C52" s="1" t="s">
        <v>888</v>
      </c>
      <c r="D52" s="617">
        <v>5.73</v>
      </c>
      <c r="E52" s="706"/>
      <c r="F52" s="486">
        <f t="shared" si="66"/>
        <v>5.73</v>
      </c>
      <c r="G52" s="488">
        <f t="shared" si="60"/>
        <v>1</v>
      </c>
      <c r="H52" s="488">
        <f t="shared" si="61"/>
        <v>0</v>
      </c>
      <c r="I52" s="488" t="str">
        <f t="shared" si="62"/>
        <v>Oil</v>
      </c>
      <c r="J52" s="489">
        <f>+F52</f>
        <v>5.73</v>
      </c>
      <c r="K52" s="121">
        <v>0</v>
      </c>
      <c r="L52" s="490">
        <f t="shared" si="63"/>
        <v>0</v>
      </c>
      <c r="M52" s="604">
        <v>2900</v>
      </c>
      <c r="N52" s="608">
        <v>2264.0625</v>
      </c>
      <c r="O52" s="609">
        <v>1785.9375000000005</v>
      </c>
      <c r="P52" s="609">
        <v>1223.4375</v>
      </c>
      <c r="Q52" s="609"/>
      <c r="R52" s="609">
        <v>689.0625</v>
      </c>
      <c r="S52" s="609"/>
      <c r="T52" s="609">
        <v>407.8125</v>
      </c>
      <c r="U52" s="609"/>
      <c r="V52" s="609">
        <v>239.0625</v>
      </c>
      <c r="W52" s="609"/>
      <c r="X52" s="609">
        <v>140.625</v>
      </c>
      <c r="Y52" s="609"/>
      <c r="Z52" s="610">
        <v>98.4375</v>
      </c>
      <c r="AA52" s="494">
        <f t="shared" si="64"/>
        <v>-68.669605024213084</v>
      </c>
      <c r="AB52" s="494">
        <f t="shared" si="67"/>
        <v>140495.6965042373</v>
      </c>
      <c r="AC52" s="493">
        <v>2050</v>
      </c>
      <c r="AD52" s="121" t="s">
        <v>888</v>
      </c>
      <c r="AE52" s="501">
        <f t="shared" si="68"/>
        <v>1783.0943553268735</v>
      </c>
      <c r="AF52" s="501">
        <f t="shared" si="65"/>
        <v>1577.085540254222</v>
      </c>
      <c r="AG52" s="501">
        <f t="shared" si="65"/>
        <v>1439.7463302058168</v>
      </c>
      <c r="AH52" s="501">
        <f t="shared" si="65"/>
        <v>1302.4071201573825</v>
      </c>
      <c r="AI52" s="501">
        <f t="shared" si="65"/>
        <v>1096.398305084731</v>
      </c>
      <c r="AJ52" s="501">
        <f t="shared" si="65"/>
        <v>890.38949001210858</v>
      </c>
      <c r="AK52" s="501">
        <f t="shared" si="65"/>
        <v>753.05027996367426</v>
      </c>
      <c r="AL52" s="501">
        <f t="shared" si="65"/>
        <v>615.71106991523993</v>
      </c>
      <c r="AM52" s="501">
        <f t="shared" si="65"/>
        <v>409.70225484261755</v>
      </c>
      <c r="AN52" s="501">
        <f t="shared" si="65"/>
        <v>203.69343976996606</v>
      </c>
      <c r="AO52" s="501">
        <f t="shared" si="65"/>
        <v>66.354229721560841</v>
      </c>
      <c r="AP52" s="501">
        <v>0</v>
      </c>
      <c r="AQ52" s="501">
        <f t="shared" si="65"/>
        <v>0</v>
      </c>
    </row>
    <row r="53" spans="2:43" x14ac:dyDescent="0.25">
      <c r="B53" t="s">
        <v>473</v>
      </c>
      <c r="C53" s="1" t="s">
        <v>889</v>
      </c>
      <c r="D53" s="617">
        <v>89.27</v>
      </c>
      <c r="E53" s="707">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04">
        <v>5500</v>
      </c>
      <c r="N53" s="608">
        <v>10948.509485094852</v>
      </c>
      <c r="O53" s="609">
        <v>18536.585365853658</v>
      </c>
      <c r="P53" s="609">
        <v>15121.951219512197</v>
      </c>
      <c r="Q53" s="609"/>
      <c r="R53" s="609">
        <v>10135.501355013552</v>
      </c>
      <c r="S53" s="609"/>
      <c r="T53" s="609">
        <v>6991.8699186991871</v>
      </c>
      <c r="U53" s="609"/>
      <c r="V53" s="609">
        <v>4932.2493224932259</v>
      </c>
      <c r="W53" s="609"/>
      <c r="X53" s="609">
        <v>3360.4336043360454</v>
      </c>
      <c r="Y53" s="609"/>
      <c r="Z53" s="610">
        <v>2493.2249322493226</v>
      </c>
      <c r="AA53" s="494">
        <f t="shared" si="64"/>
        <v>-465.03540095933653</v>
      </c>
      <c r="AB53" s="494">
        <f t="shared" si="67"/>
        <v>954714.52850121737</v>
      </c>
      <c r="AC53" s="493">
        <v>2059</v>
      </c>
      <c r="AD53" s="121" t="s">
        <v>889</v>
      </c>
      <c r="AE53" s="501">
        <f t="shared" si="68"/>
        <v>15343.018563357531</v>
      </c>
      <c r="AF53" s="501">
        <f t="shared" si="65"/>
        <v>13947.91236047959</v>
      </c>
      <c r="AG53" s="501">
        <f t="shared" si="65"/>
        <v>13017.841558560845</v>
      </c>
      <c r="AH53" s="501">
        <f t="shared" si="65"/>
        <v>12087.770756642218</v>
      </c>
      <c r="AI53" s="501">
        <f t="shared" si="65"/>
        <v>10692.664553764276</v>
      </c>
      <c r="AJ53" s="501">
        <f t="shared" si="65"/>
        <v>9297.5583508862182</v>
      </c>
      <c r="AK53" s="501">
        <f t="shared" si="65"/>
        <v>8367.4875489675906</v>
      </c>
      <c r="AL53" s="501">
        <f t="shared" si="65"/>
        <v>7437.4167470488464</v>
      </c>
      <c r="AM53" s="501">
        <f t="shared" si="65"/>
        <v>6042.3105441709049</v>
      </c>
      <c r="AN53" s="501">
        <f t="shared" si="65"/>
        <v>4647.2043412928469</v>
      </c>
      <c r="AO53" s="501">
        <f t="shared" si="65"/>
        <v>3717.1335393742193</v>
      </c>
      <c r="AP53" s="501">
        <f t="shared" si="65"/>
        <v>2787.0627374554751</v>
      </c>
      <c r="AQ53" s="501">
        <f t="shared" si="65"/>
        <v>1391.9565345775336</v>
      </c>
    </row>
    <row r="54" spans="2:43" x14ac:dyDescent="0.25">
      <c r="B54" t="s">
        <v>887</v>
      </c>
      <c r="C54" s="1" t="s">
        <v>890</v>
      </c>
      <c r="D54" s="617">
        <v>17.7</v>
      </c>
      <c r="E54" s="706"/>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04">
        <v>21000</v>
      </c>
      <c r="N54" s="608">
        <v>18542.472955633653</v>
      </c>
      <c r="O54" s="609"/>
      <c r="P54" s="609">
        <v>10048.403417448106</v>
      </c>
      <c r="Q54" s="609"/>
      <c r="R54" s="609"/>
      <c r="S54" s="609"/>
      <c r="T54" s="609"/>
      <c r="U54" s="609"/>
      <c r="V54" s="609"/>
      <c r="W54" s="609"/>
      <c r="X54" s="609"/>
      <c r="Y54" s="609"/>
      <c r="Z54" s="610"/>
      <c r="AA54" s="494">
        <f t="shared" si="64"/>
        <v>-1698.8139076371094</v>
      </c>
      <c r="AB54" s="494">
        <f t="shared" si="67"/>
        <v>3450146.5663825944</v>
      </c>
      <c r="AC54" s="493">
        <v>2025</v>
      </c>
      <c r="AD54" s="121" t="s">
        <v>890</v>
      </c>
      <c r="AE54" s="501">
        <f t="shared" si="68"/>
        <v>18542.47295563342</v>
      </c>
      <c r="AF54" s="501">
        <f t="shared" si="65"/>
        <v>13446.031232722104</v>
      </c>
      <c r="AG54" s="501">
        <f t="shared" si="65"/>
        <v>0</v>
      </c>
      <c r="AH54" s="501">
        <f t="shared" si="65"/>
        <v>0</v>
      </c>
      <c r="AI54" s="501">
        <f t="shared" si="65"/>
        <v>0</v>
      </c>
      <c r="AJ54" s="501">
        <f t="shared" si="65"/>
        <v>0</v>
      </c>
      <c r="AK54" s="501">
        <f t="shared" si="65"/>
        <v>0</v>
      </c>
      <c r="AL54" s="501">
        <f t="shared" si="65"/>
        <v>0</v>
      </c>
      <c r="AM54" s="501">
        <f t="shared" si="65"/>
        <v>0</v>
      </c>
      <c r="AN54" s="501">
        <f t="shared" si="65"/>
        <v>0</v>
      </c>
      <c r="AO54" s="501">
        <f t="shared" si="65"/>
        <v>0</v>
      </c>
      <c r="AP54" s="501">
        <f t="shared" si="65"/>
        <v>0</v>
      </c>
      <c r="AQ54" s="501">
        <f t="shared" si="65"/>
        <v>0</v>
      </c>
    </row>
    <row r="55" spans="2:43" x14ac:dyDescent="0.25">
      <c r="B55" t="s">
        <v>473</v>
      </c>
      <c r="C55" s="1" t="s">
        <v>891</v>
      </c>
      <c r="D55" s="617">
        <v>10.25</v>
      </c>
      <c r="E55" s="706"/>
      <c r="F55" s="486">
        <f t="shared" si="66"/>
        <v>10.25</v>
      </c>
      <c r="G55" s="488">
        <f t="shared" si="60"/>
        <v>0.02</v>
      </c>
      <c r="H55" s="488">
        <f t="shared" si="61"/>
        <v>0.98</v>
      </c>
      <c r="I55" s="488" t="str">
        <f t="shared" si="62"/>
        <v>Oil and Gas</v>
      </c>
      <c r="J55" s="489">
        <f>+F55*2%</f>
        <v>0.20500000000000002</v>
      </c>
      <c r="K55" s="121">
        <v>60.26</v>
      </c>
      <c r="L55" s="490">
        <f t="shared" si="63"/>
        <v>1.1652200000000001</v>
      </c>
      <c r="M55" s="604">
        <v>12000</v>
      </c>
      <c r="N55" s="608">
        <v>9971.5099715100077</v>
      </c>
      <c r="O55" s="609"/>
      <c r="P55" s="609">
        <v>4985.7549857549602</v>
      </c>
      <c r="Q55" s="609"/>
      <c r="R55" s="609"/>
      <c r="S55" s="609"/>
      <c r="T55" s="609"/>
      <c r="U55" s="609"/>
      <c r="V55" s="609"/>
      <c r="W55" s="609"/>
      <c r="X55" s="609"/>
      <c r="Y55" s="609"/>
      <c r="Z55" s="610"/>
      <c r="AA55" s="494">
        <f t="shared" si="64"/>
        <v>-997.15099715100951</v>
      </c>
      <c r="AB55" s="494">
        <f t="shared" si="67"/>
        <v>2024216.5242165492</v>
      </c>
      <c r="AC55" s="493">
        <v>2025</v>
      </c>
      <c r="AD55" s="121" t="s">
        <v>891</v>
      </c>
      <c r="AE55" s="501">
        <f t="shared" si="68"/>
        <v>9971.5099715099204</v>
      </c>
      <c r="AF55" s="501">
        <f t="shared" si="68"/>
        <v>6980.056980056921</v>
      </c>
      <c r="AG55" s="501">
        <f t="shared" si="68"/>
        <v>0</v>
      </c>
      <c r="AH55" s="501">
        <f t="shared" si="68"/>
        <v>0</v>
      </c>
      <c r="AI55" s="501">
        <f t="shared" si="68"/>
        <v>0</v>
      </c>
      <c r="AJ55" s="501">
        <f t="shared" si="68"/>
        <v>0</v>
      </c>
      <c r="AK55" s="501">
        <f t="shared" si="68"/>
        <v>0</v>
      </c>
      <c r="AL55" s="501">
        <f t="shared" si="68"/>
        <v>0</v>
      </c>
      <c r="AM55" s="501">
        <f t="shared" si="68"/>
        <v>0</v>
      </c>
      <c r="AN55" s="501">
        <f t="shared" si="68"/>
        <v>0</v>
      </c>
      <c r="AO55" s="501">
        <f t="shared" si="68"/>
        <v>0</v>
      </c>
      <c r="AP55" s="501">
        <f t="shared" si="68"/>
        <v>0</v>
      </c>
      <c r="AQ55" s="501">
        <f t="shared" si="68"/>
        <v>0</v>
      </c>
    </row>
    <row r="56" spans="2:43" x14ac:dyDescent="0.25">
      <c r="B56" t="s">
        <v>887</v>
      </c>
      <c r="C56" s="1" t="s">
        <v>892</v>
      </c>
      <c r="D56" s="617">
        <v>1.1399999999999999</v>
      </c>
      <c r="E56" s="706"/>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04">
        <v>1200</v>
      </c>
      <c r="N56" s="608">
        <v>1011.5853658536586</v>
      </c>
      <c r="O56" s="609">
        <v>426.82926829268285</v>
      </c>
      <c r="P56" s="609">
        <v>273.17073170731692</v>
      </c>
      <c r="Q56" s="609">
        <v>170.73170731707319</v>
      </c>
      <c r="R56" s="609">
        <v>110.97560975609758</v>
      </c>
      <c r="S56" s="609">
        <v>55.487804878048792</v>
      </c>
      <c r="T56" s="609"/>
      <c r="U56" s="609"/>
      <c r="V56" s="609"/>
      <c r="W56" s="609"/>
      <c r="X56" s="609"/>
      <c r="Y56" s="609"/>
      <c r="Z56" s="610"/>
      <c r="AA56" s="494">
        <f t="shared" si="64"/>
        <v>-65.59624653132758</v>
      </c>
      <c r="AB56" s="494">
        <f t="shared" si="67"/>
        <v>133261.32430261426</v>
      </c>
      <c r="AC56" s="493">
        <v>2033</v>
      </c>
      <c r="AD56" s="121" t="s">
        <v>892</v>
      </c>
      <c r="AE56" s="501">
        <f t="shared" ref="AE56:AQ56" si="69">+IF(AE$38&lt;$AC56,$AA56*AE$38+$AB56,0)</f>
        <v>756.90630933255306</v>
      </c>
      <c r="AF56" s="501">
        <f t="shared" si="69"/>
        <v>560.11756973856245</v>
      </c>
      <c r="AG56" s="501">
        <f t="shared" si="69"/>
        <v>428.92507667592145</v>
      </c>
      <c r="AH56" s="501">
        <f t="shared" si="69"/>
        <v>297.73258361325134</v>
      </c>
      <c r="AI56" s="501">
        <f t="shared" si="69"/>
        <v>100.94384401926072</v>
      </c>
      <c r="AJ56" s="501">
        <f t="shared" si="69"/>
        <v>0</v>
      </c>
      <c r="AK56" s="501">
        <f t="shared" si="69"/>
        <v>0</v>
      </c>
      <c r="AL56" s="501">
        <f t="shared" si="69"/>
        <v>0</v>
      </c>
      <c r="AM56" s="501">
        <f t="shared" si="69"/>
        <v>0</v>
      </c>
      <c r="AN56" s="501">
        <f t="shared" si="69"/>
        <v>0</v>
      </c>
      <c r="AO56" s="501">
        <f t="shared" si="69"/>
        <v>0</v>
      </c>
      <c r="AP56" s="501">
        <f t="shared" si="69"/>
        <v>0</v>
      </c>
      <c r="AQ56" s="501">
        <f t="shared" si="69"/>
        <v>0</v>
      </c>
    </row>
    <row r="57" spans="2:43" x14ac:dyDescent="0.25">
      <c r="B57" t="s">
        <v>887</v>
      </c>
      <c r="C57" s="1" t="s">
        <v>893</v>
      </c>
      <c r="D57" s="617">
        <v>1.31</v>
      </c>
      <c r="E57" s="706">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04">
        <v>500</v>
      </c>
      <c r="N57" s="608">
        <v>478.4770733757025</v>
      </c>
      <c r="O57" s="609"/>
      <c r="P57" s="609">
        <v>279.42512737013499</v>
      </c>
      <c r="Q57" s="609"/>
      <c r="R57" s="609">
        <v>141.14055360050423</v>
      </c>
      <c r="S57" s="609"/>
      <c r="T57" s="609">
        <v>88.287199957980988</v>
      </c>
      <c r="U57" s="609"/>
      <c r="V57" s="609">
        <v>56.323861547350248</v>
      </c>
      <c r="W57" s="609"/>
      <c r="X57" s="609">
        <v>35.752928200010388</v>
      </c>
      <c r="Y57" s="609"/>
      <c r="Z57" s="610">
        <v>22.784810126582215</v>
      </c>
      <c r="AA57" s="494">
        <f t="shared" si="64"/>
        <v>-13.851699143862602</v>
      </c>
      <c r="AB57" s="494">
        <f t="shared" si="67"/>
        <v>28345.663694071576</v>
      </c>
      <c r="AC57" s="493">
        <v>2053</v>
      </c>
      <c r="AD57" s="121" t="s">
        <v>893</v>
      </c>
      <c r="AE57" s="501">
        <f t="shared" ref="AE57:AO60" si="70">+IF(AE$38&lt;$AC57,$AA57*AE$38+$AB57,0)</f>
        <v>365.23142346912209</v>
      </c>
      <c r="AF57" s="501">
        <f t="shared" si="70"/>
        <v>323.67632603753373</v>
      </c>
      <c r="AG57" s="501">
        <f t="shared" si="70"/>
        <v>295.97292774980815</v>
      </c>
      <c r="AH57" s="501">
        <f t="shared" si="70"/>
        <v>268.26952946208257</v>
      </c>
      <c r="AI57" s="501">
        <f t="shared" si="70"/>
        <v>226.71443203049421</v>
      </c>
      <c r="AJ57" s="501">
        <f t="shared" si="70"/>
        <v>185.15933459890584</v>
      </c>
      <c r="AK57" s="501">
        <f t="shared" si="70"/>
        <v>157.45593631118027</v>
      </c>
      <c r="AL57" s="501">
        <f t="shared" si="70"/>
        <v>129.75253802345469</v>
      </c>
      <c r="AM57" s="501">
        <f t="shared" si="70"/>
        <v>88.197440591869963</v>
      </c>
      <c r="AN57" s="501">
        <f t="shared" si="70"/>
        <v>46.642343160281598</v>
      </c>
      <c r="AO57" s="501">
        <f t="shared" si="70"/>
        <v>18.938944872556021</v>
      </c>
      <c r="AP57" s="501">
        <v>0</v>
      </c>
      <c r="AQ57" s="501">
        <v>0</v>
      </c>
    </row>
    <row r="58" spans="2:43" x14ac:dyDescent="0.25">
      <c r="B58" t="s">
        <v>473</v>
      </c>
      <c r="C58" s="1" t="s">
        <v>894</v>
      </c>
      <c r="D58" s="617">
        <v>8.8000000000000007</v>
      </c>
      <c r="E58" s="706"/>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04">
        <v>3150</v>
      </c>
      <c r="N58" s="608">
        <v>3015.5763239875378</v>
      </c>
      <c r="O58" s="609"/>
      <c r="P58" s="609">
        <v>2068.5358255451711</v>
      </c>
      <c r="Q58" s="609"/>
      <c r="R58" s="609">
        <v>1096.5732087227407</v>
      </c>
      <c r="S58" s="609"/>
      <c r="T58" s="609">
        <v>747.66355140186806</v>
      </c>
      <c r="U58" s="609">
        <v>573.20872274143221</v>
      </c>
      <c r="V58" s="609"/>
      <c r="W58" s="609"/>
      <c r="X58" s="609"/>
      <c r="Y58" s="609"/>
      <c r="Z58" s="610"/>
      <c r="AA58" s="494">
        <f t="shared" si="64"/>
        <v>-143.23899073003355</v>
      </c>
      <c r="AB58" s="494">
        <f t="shared" si="67"/>
        <v>292189.51931400981</v>
      </c>
      <c r="AC58" s="493">
        <v>2039</v>
      </c>
      <c r="AD58" s="121" t="s">
        <v>894</v>
      </c>
      <c r="AE58" s="501">
        <f t="shared" si="70"/>
        <v>2846.7580393420649</v>
      </c>
      <c r="AF58" s="501">
        <f t="shared" si="70"/>
        <v>2417.0410671519348</v>
      </c>
      <c r="AG58" s="501">
        <f t="shared" si="70"/>
        <v>2130.563085691887</v>
      </c>
      <c r="AH58" s="501">
        <f t="shared" si="70"/>
        <v>1844.0851042317809</v>
      </c>
      <c r="AI58" s="501">
        <f t="shared" si="70"/>
        <v>1414.368132041709</v>
      </c>
      <c r="AJ58" s="501">
        <f t="shared" si="70"/>
        <v>984.651159851579</v>
      </c>
      <c r="AK58" s="501">
        <f t="shared" si="70"/>
        <v>698.17317839153111</v>
      </c>
      <c r="AL58" s="501">
        <f t="shared" si="70"/>
        <v>411.69519693148322</v>
      </c>
      <c r="AM58" s="501">
        <f t="shared" si="70"/>
        <v>0</v>
      </c>
      <c r="AN58" s="501">
        <f t="shared" si="70"/>
        <v>0</v>
      </c>
      <c r="AO58" s="501">
        <f t="shared" si="70"/>
        <v>0</v>
      </c>
      <c r="AP58" s="501">
        <f t="shared" ref="AP58:AQ73" si="71">+IF(AP$38&lt;$AC58,$AA58*AP$38+$AB58,0)</f>
        <v>0</v>
      </c>
      <c r="AQ58" s="501">
        <f t="shared" si="71"/>
        <v>0</v>
      </c>
    </row>
    <row r="59" spans="2:43" x14ac:dyDescent="0.25">
      <c r="B59" t="s">
        <v>887</v>
      </c>
      <c r="C59" s="1" t="s">
        <v>895</v>
      </c>
      <c r="D59" s="617">
        <v>4.72</v>
      </c>
      <c r="E59" s="706"/>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04">
        <v>5000</v>
      </c>
      <c r="N59" s="608">
        <v>3418.0511603375526</v>
      </c>
      <c r="O59" s="609">
        <v>2772.6133966244743</v>
      </c>
      <c r="P59" s="609">
        <v>1873.6814345991588</v>
      </c>
      <c r="Q59" s="609">
        <v>773.00896624472807</v>
      </c>
      <c r="R59" s="609">
        <v>570.93881856540247</v>
      </c>
      <c r="S59" s="609"/>
      <c r="T59" s="609"/>
      <c r="U59" s="609"/>
      <c r="V59" s="609"/>
      <c r="W59" s="609"/>
      <c r="X59" s="609"/>
      <c r="Y59" s="609"/>
      <c r="Z59" s="610"/>
      <c r="AA59" s="494">
        <f t="shared" si="64"/>
        <v>-314.39259602793521</v>
      </c>
      <c r="AB59" s="494">
        <f t="shared" si="67"/>
        <v>638526.66571184306</v>
      </c>
      <c r="AC59" s="493">
        <v>2030</v>
      </c>
      <c r="AD59" s="121" t="s">
        <v>895</v>
      </c>
      <c r="AE59" s="501">
        <f t="shared" si="70"/>
        <v>3453.621735413908</v>
      </c>
      <c r="AF59" s="501">
        <f t="shared" si="70"/>
        <v>2510.4439473301172</v>
      </c>
      <c r="AG59" s="501">
        <f t="shared" si="70"/>
        <v>1881.6587552742567</v>
      </c>
      <c r="AH59" s="501">
        <f t="shared" si="70"/>
        <v>1252.8735632183962</v>
      </c>
      <c r="AI59" s="501">
        <f t="shared" si="70"/>
        <v>0</v>
      </c>
      <c r="AJ59" s="501">
        <f t="shared" si="70"/>
        <v>0</v>
      </c>
      <c r="AK59" s="501">
        <f t="shared" si="70"/>
        <v>0</v>
      </c>
      <c r="AL59" s="501">
        <f t="shared" si="70"/>
        <v>0</v>
      </c>
      <c r="AM59" s="501">
        <f t="shared" si="70"/>
        <v>0</v>
      </c>
      <c r="AN59" s="501">
        <f t="shared" si="70"/>
        <v>0</v>
      </c>
      <c r="AO59" s="501">
        <f t="shared" si="70"/>
        <v>0</v>
      </c>
      <c r="AP59" s="501">
        <f t="shared" si="71"/>
        <v>0</v>
      </c>
      <c r="AQ59" s="501">
        <f t="shared" si="71"/>
        <v>0</v>
      </c>
    </row>
    <row r="60" spans="2:43" x14ac:dyDescent="0.25">
      <c r="B60" t="s">
        <v>473</v>
      </c>
      <c r="C60" s="1" t="s">
        <v>896</v>
      </c>
      <c r="D60" s="617">
        <v>11.27</v>
      </c>
      <c r="E60" s="708">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04">
        <v>3450</v>
      </c>
      <c r="N60" s="608">
        <v>2515.9744408945689</v>
      </c>
      <c r="O60" s="609">
        <v>2180.5111821086266</v>
      </c>
      <c r="P60" s="609">
        <v>1744.408945686901</v>
      </c>
      <c r="Q60" s="609"/>
      <c r="R60" s="609">
        <v>1230.031948881789</v>
      </c>
      <c r="S60" s="609"/>
      <c r="T60" s="609">
        <v>861.02236421725229</v>
      </c>
      <c r="U60" s="609"/>
      <c r="V60" s="609">
        <v>615.01597444089475</v>
      </c>
      <c r="W60" s="609"/>
      <c r="X60" s="609">
        <v>447.28434504792313</v>
      </c>
      <c r="Y60" s="609"/>
      <c r="Z60" s="610">
        <v>313.09904153354637</v>
      </c>
      <c r="AA60" s="494">
        <f t="shared" si="64"/>
        <v>-73.116911247089405</v>
      </c>
      <c r="AB60" s="494">
        <f t="shared" si="67"/>
        <v>149921.65755130773</v>
      </c>
      <c r="AC60" s="493">
        <v>2067</v>
      </c>
      <c r="AD60" s="121" t="s">
        <v>896</v>
      </c>
      <c r="AE60" s="501">
        <f t="shared" si="70"/>
        <v>2225.496832187142</v>
      </c>
      <c r="AF60" s="501">
        <f t="shared" si="70"/>
        <v>2006.1460984458681</v>
      </c>
      <c r="AG60" s="501">
        <f t="shared" si="70"/>
        <v>1859.9122759516758</v>
      </c>
      <c r="AH60" s="501">
        <f t="shared" si="70"/>
        <v>1713.6784534575127</v>
      </c>
      <c r="AI60" s="501">
        <f t="shared" si="70"/>
        <v>1494.3277197162388</v>
      </c>
      <c r="AJ60" s="501">
        <f t="shared" si="70"/>
        <v>1274.9769859749649</v>
      </c>
      <c r="AK60" s="501">
        <f t="shared" si="70"/>
        <v>1128.7431634807726</v>
      </c>
      <c r="AL60" s="501">
        <f t="shared" si="70"/>
        <v>982.50934098660946</v>
      </c>
      <c r="AM60" s="501">
        <f t="shared" si="70"/>
        <v>763.15860724533559</v>
      </c>
      <c r="AN60" s="501">
        <f t="shared" si="70"/>
        <v>543.80787350406172</v>
      </c>
      <c r="AO60" s="501">
        <f t="shared" si="70"/>
        <v>397.57405100989854</v>
      </c>
      <c r="AP60" s="501">
        <f t="shared" si="71"/>
        <v>251.34022851570626</v>
      </c>
      <c r="AQ60" s="501">
        <f t="shared" si="71"/>
        <v>31.989494774432387</v>
      </c>
    </row>
    <row r="61" spans="2:43" x14ac:dyDescent="0.25">
      <c r="B61" t="s">
        <v>473</v>
      </c>
      <c r="C61" s="1" t="s">
        <v>850</v>
      </c>
      <c r="D61" s="617">
        <v>3.84</v>
      </c>
      <c r="E61" s="706"/>
      <c r="F61" s="486">
        <f t="shared" si="66"/>
        <v>3.84</v>
      </c>
      <c r="G61" s="488">
        <f t="shared" si="60"/>
        <v>0</v>
      </c>
      <c r="H61" s="488">
        <f t="shared" si="61"/>
        <v>1</v>
      </c>
      <c r="I61" s="488" t="str">
        <f t="shared" si="62"/>
        <v>Gas</v>
      </c>
      <c r="J61" s="489"/>
      <c r="K61" s="121">
        <v>23.03</v>
      </c>
      <c r="L61" s="490">
        <f t="shared" si="63"/>
        <v>0</v>
      </c>
      <c r="M61" s="604">
        <v>5700</v>
      </c>
      <c r="N61" s="608">
        <v>5461.7834394904457</v>
      </c>
      <c r="O61" s="609">
        <v>1738.8535031847141</v>
      </c>
      <c r="P61" s="609">
        <v>936.30573248407654</v>
      </c>
      <c r="Q61" s="609">
        <v>468.15286624203873</v>
      </c>
      <c r="R61" s="609"/>
      <c r="S61" s="609"/>
      <c r="T61" s="609"/>
      <c r="U61" s="609"/>
      <c r="V61" s="609"/>
      <c r="W61" s="609"/>
      <c r="X61" s="609"/>
      <c r="Y61" s="609"/>
      <c r="Z61" s="610"/>
      <c r="AA61" s="494">
        <f t="shared" si="64"/>
        <v>-713.79248764807414</v>
      </c>
      <c r="AB61" s="494">
        <f t="shared" si="67"/>
        <v>1446688.8207631402</v>
      </c>
      <c r="AC61" s="493">
        <v>2028</v>
      </c>
      <c r="AD61" s="121" t="s">
        <v>850</v>
      </c>
      <c r="AE61" s="501">
        <f t="shared" ref="AE61:AG74" si="72">+IF(AE$38&lt;$AC61,$AA61*AE$38+$AB61,0)</f>
        <v>4827.9957140304614</v>
      </c>
      <c r="AF61" s="501">
        <f t="shared" si="72"/>
        <v>2686.6182510862127</v>
      </c>
      <c r="AG61" s="501">
        <f t="shared" si="72"/>
        <v>1259.0332757900469</v>
      </c>
      <c r="AH61" s="501">
        <v>0</v>
      </c>
      <c r="AI61" s="501">
        <f t="shared" ref="AI61:AO61" si="73">+IF(AI$38&lt;$AC61,$AA61*AI$38+$AB61,0)</f>
        <v>0</v>
      </c>
      <c r="AJ61" s="501">
        <f t="shared" si="73"/>
        <v>0</v>
      </c>
      <c r="AK61" s="501">
        <f t="shared" si="73"/>
        <v>0</v>
      </c>
      <c r="AL61" s="501">
        <f t="shared" si="73"/>
        <v>0</v>
      </c>
      <c r="AM61" s="501">
        <f t="shared" si="73"/>
        <v>0</v>
      </c>
      <c r="AN61" s="501">
        <f t="shared" si="73"/>
        <v>0</v>
      </c>
      <c r="AO61" s="501">
        <f t="shared" si="73"/>
        <v>0</v>
      </c>
      <c r="AP61" s="501">
        <f t="shared" si="71"/>
        <v>0</v>
      </c>
      <c r="AQ61" s="501">
        <f t="shared" si="71"/>
        <v>0</v>
      </c>
    </row>
    <row r="62" spans="2:43" x14ac:dyDescent="0.25">
      <c r="B62" t="s">
        <v>473</v>
      </c>
      <c r="C62" s="1" t="s">
        <v>897</v>
      </c>
      <c r="D62" s="617">
        <v>14.92</v>
      </c>
      <c r="E62" s="706"/>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04">
        <v>12100</v>
      </c>
      <c r="N62" s="608">
        <v>10378.588980143002</v>
      </c>
      <c r="O62" s="609"/>
      <c r="P62" s="609">
        <v>4118.367166227612</v>
      </c>
      <c r="Q62" s="609"/>
      <c r="R62" s="609">
        <v>1302.5922564363664</v>
      </c>
      <c r="S62" s="609"/>
      <c r="T62" s="609">
        <v>695.4596772408313</v>
      </c>
      <c r="U62" s="609"/>
      <c r="V62" s="609">
        <v>529.80762845062418</v>
      </c>
      <c r="W62" s="609"/>
      <c r="X62" s="609"/>
      <c r="Y62" s="609"/>
      <c r="Z62" s="610"/>
      <c r="AA62" s="494">
        <f t="shared" si="64"/>
        <v>-462.40940384743078</v>
      </c>
      <c r="AB62" s="494">
        <f t="shared" si="67"/>
        <v>942096.05295198411</v>
      </c>
      <c r="AC62" s="493">
        <v>2043</v>
      </c>
      <c r="AD62" s="121" t="s">
        <v>897</v>
      </c>
      <c r="AE62" s="501">
        <f t="shared" si="72"/>
        <v>8029.0571801739279</v>
      </c>
      <c r="AF62" s="501">
        <f t="shared" si="72"/>
        <v>6641.8289686316857</v>
      </c>
      <c r="AG62" s="501">
        <f t="shared" si="72"/>
        <v>5717.0101609367412</v>
      </c>
      <c r="AH62" s="501">
        <f t="shared" ref="AH62:AL74" si="74">+IF(AH$38&lt;$AC62,$AA62*AH$38+$AB62,0)</f>
        <v>4792.191353241913</v>
      </c>
      <c r="AI62" s="501">
        <f t="shared" si="74"/>
        <v>3404.9631416996708</v>
      </c>
      <c r="AJ62" s="501">
        <f t="shared" si="74"/>
        <v>2017.7349301573122</v>
      </c>
      <c r="AK62" s="501">
        <f t="shared" si="74"/>
        <v>1092.9161224624841</v>
      </c>
      <c r="AL62" s="501">
        <f t="shared" si="74"/>
        <v>168.09731476765592</v>
      </c>
      <c r="AM62" s="501">
        <v>0</v>
      </c>
      <c r="AN62" s="501">
        <f t="shared" ref="AN62:AQ74" si="75">+IF(AN$38&lt;$AC62,$AA62*AN$38+$AB62,0)</f>
        <v>0</v>
      </c>
      <c r="AO62" s="501">
        <f t="shared" si="75"/>
        <v>0</v>
      </c>
      <c r="AP62" s="501">
        <f t="shared" si="71"/>
        <v>0</v>
      </c>
      <c r="AQ62" s="501">
        <f t="shared" si="71"/>
        <v>0</v>
      </c>
    </row>
    <row r="63" spans="2:43" x14ac:dyDescent="0.25">
      <c r="B63" t="s">
        <v>473</v>
      </c>
      <c r="C63" s="1" t="s">
        <v>856</v>
      </c>
      <c r="D63" s="617">
        <v>43.42</v>
      </c>
      <c r="E63" s="706"/>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04">
        <v>30000</v>
      </c>
      <c r="N63" s="608">
        <v>25106.666666666664</v>
      </c>
      <c r="O63" s="609"/>
      <c r="P63" s="609">
        <v>11573.333333333336</v>
      </c>
      <c r="Q63" s="609"/>
      <c r="R63" s="609">
        <v>4200</v>
      </c>
      <c r="S63" s="609"/>
      <c r="T63" s="609">
        <v>2146.6666666666642</v>
      </c>
      <c r="U63" s="609"/>
      <c r="V63" s="609">
        <v>1213.3333333333358</v>
      </c>
      <c r="W63" s="609"/>
      <c r="X63" s="609"/>
      <c r="Y63" s="609"/>
      <c r="Z63" s="610"/>
      <c r="AA63" s="494">
        <f t="shared" si="64"/>
        <v>-1144.2666666666664</v>
      </c>
      <c r="AB63" s="494">
        <f t="shared" si="67"/>
        <v>2331709.333333333</v>
      </c>
      <c r="AC63" s="493">
        <v>2042</v>
      </c>
      <c r="AD63" s="121" t="s">
        <v>856</v>
      </c>
      <c r="AE63" s="501">
        <f t="shared" si="72"/>
        <v>20290.666666666977</v>
      </c>
      <c r="AF63" s="501">
        <f t="shared" si="72"/>
        <v>16857.866666666698</v>
      </c>
      <c r="AG63" s="501">
        <f t="shared" si="72"/>
        <v>14569.333333333489</v>
      </c>
      <c r="AH63" s="501">
        <f t="shared" si="74"/>
        <v>12280.800000000279</v>
      </c>
      <c r="AI63" s="501">
        <f t="shared" si="74"/>
        <v>8848</v>
      </c>
      <c r="AJ63" s="501">
        <f t="shared" si="74"/>
        <v>5415.2000000001863</v>
      </c>
      <c r="AK63" s="501">
        <f t="shared" si="74"/>
        <v>3126.6666666669771</v>
      </c>
      <c r="AL63" s="501">
        <f t="shared" si="74"/>
        <v>838.13333333330229</v>
      </c>
      <c r="AM63" s="501">
        <v>0</v>
      </c>
      <c r="AN63" s="501">
        <f t="shared" si="75"/>
        <v>0</v>
      </c>
      <c r="AO63" s="501">
        <f t="shared" si="75"/>
        <v>0</v>
      </c>
      <c r="AP63" s="501">
        <f t="shared" si="71"/>
        <v>0</v>
      </c>
      <c r="AQ63" s="501">
        <f t="shared" si="71"/>
        <v>0</v>
      </c>
    </row>
    <row r="64" spans="2:43" x14ac:dyDescent="0.25">
      <c r="B64" t="s">
        <v>473</v>
      </c>
      <c r="C64" s="1" t="s">
        <v>851</v>
      </c>
      <c r="D64" s="617">
        <v>7.3</v>
      </c>
      <c r="E64" s="706"/>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04">
        <v>2100</v>
      </c>
      <c r="N64" s="608">
        <v>1984.4236760124613</v>
      </c>
      <c r="O64" s="609"/>
      <c r="P64" s="609">
        <v>1548.2866043613712</v>
      </c>
      <c r="Q64" s="609"/>
      <c r="R64" s="609">
        <v>937.6947040498444</v>
      </c>
      <c r="S64" s="609"/>
      <c r="T64" s="609">
        <v>632.39875389408189</v>
      </c>
      <c r="U64" s="609"/>
      <c r="V64" s="609">
        <v>414.33021806853685</v>
      </c>
      <c r="W64" s="609">
        <v>370.71651090342766</v>
      </c>
      <c r="X64" s="609"/>
      <c r="Y64" s="609"/>
      <c r="Z64" s="610"/>
      <c r="AA64" s="494">
        <f t="shared" si="64"/>
        <v>-72.199748918956587</v>
      </c>
      <c r="AB64" s="494">
        <f t="shared" si="67"/>
        <v>147703.23150602126</v>
      </c>
      <c r="AC64" s="493">
        <v>2044</v>
      </c>
      <c r="AD64" s="121" t="s">
        <v>851</v>
      </c>
      <c r="AE64" s="501">
        <f t="shared" si="72"/>
        <v>1859.7386897289543</v>
      </c>
      <c r="AF64" s="501">
        <f t="shared" si="72"/>
        <v>1643.1394429720822</v>
      </c>
      <c r="AG64" s="501">
        <f t="shared" si="72"/>
        <v>1498.7399451341771</v>
      </c>
      <c r="AH64" s="501">
        <f t="shared" si="74"/>
        <v>1354.3404472962429</v>
      </c>
      <c r="AI64" s="501">
        <f t="shared" si="74"/>
        <v>1137.7412005393999</v>
      </c>
      <c r="AJ64" s="501">
        <f t="shared" si="74"/>
        <v>921.14195378252771</v>
      </c>
      <c r="AK64" s="501">
        <f t="shared" si="74"/>
        <v>776.74245594459353</v>
      </c>
      <c r="AL64" s="501">
        <f t="shared" si="74"/>
        <v>632.34295810668846</v>
      </c>
      <c r="AM64" s="501">
        <f>+IF(AM$38&lt;$AC64,$AA64*AM$38+$AB64,0)</f>
        <v>415.74371134981629</v>
      </c>
      <c r="AN64" s="501">
        <f t="shared" si="75"/>
        <v>199.14446459294413</v>
      </c>
      <c r="AO64" s="501">
        <f t="shared" si="75"/>
        <v>0</v>
      </c>
      <c r="AP64" s="501">
        <f t="shared" si="71"/>
        <v>0</v>
      </c>
      <c r="AQ64" s="501">
        <f t="shared" si="71"/>
        <v>0</v>
      </c>
    </row>
    <row r="65" spans="2:43" x14ac:dyDescent="0.25">
      <c r="B65" t="s">
        <v>473</v>
      </c>
      <c r="C65" s="1" t="s">
        <v>898</v>
      </c>
      <c r="D65" s="617">
        <v>130.22</v>
      </c>
      <c r="E65" s="706"/>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04">
        <v>59000</v>
      </c>
      <c r="N65" s="608">
        <v>56720.867208672084</v>
      </c>
      <c r="O65" s="609">
        <v>45149.051490514903</v>
      </c>
      <c r="P65" s="609">
        <v>33197.83197831978</v>
      </c>
      <c r="Q65" s="609">
        <v>20298.102981029806</v>
      </c>
      <c r="R65" s="609">
        <v>14986.449864498638</v>
      </c>
      <c r="S65" s="609">
        <v>10433.604336043354</v>
      </c>
      <c r="T65" s="609">
        <v>7777.7777777777665</v>
      </c>
      <c r="U65" s="609">
        <v>5880.7588075880631</v>
      </c>
      <c r="V65" s="609">
        <v>4363.1436314363091</v>
      </c>
      <c r="W65" s="609"/>
      <c r="X65" s="609"/>
      <c r="Y65" s="609"/>
      <c r="Z65" s="610"/>
      <c r="AA65" s="494">
        <f t="shared" si="64"/>
        <v>-2609.6968619959425</v>
      </c>
      <c r="AB65" s="494">
        <f t="shared" si="67"/>
        <v>5319774.3618601942</v>
      </c>
      <c r="AC65" s="493">
        <v>2043</v>
      </c>
      <c r="AD65" s="121" t="s">
        <v>898</v>
      </c>
      <c r="AE65" s="501">
        <f t="shared" si="72"/>
        <v>48186.700628390536</v>
      </c>
      <c r="AF65" s="501">
        <f t="shared" si="72"/>
        <v>40357.610042402521</v>
      </c>
      <c r="AG65" s="501">
        <f t="shared" si="72"/>
        <v>35138.216318410821</v>
      </c>
      <c r="AH65" s="501">
        <f t="shared" si="74"/>
        <v>29918.822594419122</v>
      </c>
      <c r="AI65" s="501">
        <f t="shared" si="74"/>
        <v>22089.732008431107</v>
      </c>
      <c r="AJ65" s="501">
        <f t="shared" si="74"/>
        <v>14260.641422443092</v>
      </c>
      <c r="AK65" s="501">
        <f t="shared" si="74"/>
        <v>9041.2476984513924</v>
      </c>
      <c r="AL65" s="501">
        <f t="shared" si="74"/>
        <v>3821.8539744596928</v>
      </c>
      <c r="AM65" s="501">
        <v>0</v>
      </c>
      <c r="AN65" s="501">
        <f t="shared" si="75"/>
        <v>0</v>
      </c>
      <c r="AO65" s="501">
        <f t="shared" si="75"/>
        <v>0</v>
      </c>
      <c r="AP65" s="501">
        <f t="shared" si="71"/>
        <v>0</v>
      </c>
      <c r="AQ65" s="501">
        <f t="shared" si="71"/>
        <v>0</v>
      </c>
    </row>
    <row r="66" spans="2:43" x14ac:dyDescent="0.25">
      <c r="B66" t="s">
        <v>473</v>
      </c>
      <c r="C66" s="1" t="s">
        <v>899</v>
      </c>
      <c r="D66" s="617">
        <v>0.57999999999999996</v>
      </c>
      <c r="E66" s="706"/>
      <c r="F66" s="486">
        <f t="shared" si="66"/>
        <v>0.57999999999999996</v>
      </c>
      <c r="G66" s="488">
        <f t="shared" si="60"/>
        <v>1</v>
      </c>
      <c r="H66" s="488">
        <f t="shared" si="61"/>
        <v>0</v>
      </c>
      <c r="I66" s="488" t="str">
        <f t="shared" si="62"/>
        <v>Oil</v>
      </c>
      <c r="J66" s="489">
        <f>+F66</f>
        <v>0.57999999999999996</v>
      </c>
      <c r="K66" s="121">
        <v>0</v>
      </c>
      <c r="L66" s="490">
        <f t="shared" si="63"/>
        <v>0</v>
      </c>
      <c r="M66" s="604">
        <v>550</v>
      </c>
      <c r="N66" s="608">
        <v>473.60248447204958</v>
      </c>
      <c r="O66" s="609">
        <v>349.37888198757764</v>
      </c>
      <c r="P66" s="609">
        <v>163.04347826086996</v>
      </c>
      <c r="Q66" s="609">
        <v>108.695652173913</v>
      </c>
      <c r="R66" s="609">
        <v>77.639751552795133</v>
      </c>
      <c r="S66" s="609"/>
      <c r="T66" s="609"/>
      <c r="U66" s="609"/>
      <c r="V66" s="609"/>
      <c r="W66" s="609"/>
      <c r="X66" s="609"/>
      <c r="Y66" s="609"/>
      <c r="Z66" s="610"/>
      <c r="AA66" s="494">
        <f t="shared" si="64"/>
        <v>-42.434140072820718</v>
      </c>
      <c r="AB66" s="494">
        <f t="shared" si="67"/>
        <v>86163.605697151404</v>
      </c>
      <c r="AC66" s="493">
        <v>2031</v>
      </c>
      <c r="AD66" s="121" t="s">
        <v>899</v>
      </c>
      <c r="AE66" s="501">
        <f t="shared" si="72"/>
        <v>446.64275005355012</v>
      </c>
      <c r="AF66" s="501">
        <f t="shared" si="72"/>
        <v>319.34032983508951</v>
      </c>
      <c r="AG66" s="501">
        <f t="shared" si="72"/>
        <v>234.47204968944425</v>
      </c>
      <c r="AH66" s="501">
        <f t="shared" si="74"/>
        <v>149.60376954381354</v>
      </c>
      <c r="AI66" s="501">
        <f t="shared" si="74"/>
        <v>22.30134932535293</v>
      </c>
      <c r="AJ66" s="501">
        <f t="shared" si="74"/>
        <v>0</v>
      </c>
      <c r="AK66" s="501">
        <f t="shared" si="74"/>
        <v>0</v>
      </c>
      <c r="AL66" s="501">
        <f t="shared" si="74"/>
        <v>0</v>
      </c>
      <c r="AM66" s="501">
        <f t="shared" ref="AM66:AM74" si="76">+IF(AM$38&lt;$AC66,$AA66*AM$38+$AB66,0)</f>
        <v>0</v>
      </c>
      <c r="AN66" s="501">
        <f t="shared" si="75"/>
        <v>0</v>
      </c>
      <c r="AO66" s="501">
        <f t="shared" si="75"/>
        <v>0</v>
      </c>
      <c r="AP66" s="501">
        <f t="shared" si="71"/>
        <v>0</v>
      </c>
      <c r="AQ66" s="501">
        <f t="shared" si="71"/>
        <v>0</v>
      </c>
    </row>
    <row r="67" spans="2:43" x14ac:dyDescent="0.25">
      <c r="B67" t="s">
        <v>473</v>
      </c>
      <c r="C67" s="1" t="s">
        <v>841</v>
      </c>
      <c r="D67" s="617">
        <v>272.89999999999998</v>
      </c>
      <c r="E67" s="706"/>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04">
        <v>112500</v>
      </c>
      <c r="N67" s="608">
        <v>106081.08108108109</v>
      </c>
      <c r="O67" s="609"/>
      <c r="P67" s="609">
        <v>70945.945945945947</v>
      </c>
      <c r="Q67" s="609"/>
      <c r="R67" s="609">
        <v>37162.16216216216</v>
      </c>
      <c r="S67" s="609"/>
      <c r="T67" s="609">
        <v>23648.648648648639</v>
      </c>
      <c r="U67" s="609"/>
      <c r="V67" s="609"/>
      <c r="W67" s="609"/>
      <c r="X67" s="609"/>
      <c r="Y67" s="609"/>
      <c r="Z67" s="610"/>
      <c r="AA67" s="494">
        <f t="shared" si="64"/>
        <v>-5621.6216216216235</v>
      </c>
      <c r="AB67" s="494">
        <f t="shared" si="67"/>
        <v>11457297.297297301</v>
      </c>
      <c r="AC67" s="493">
        <v>2036</v>
      </c>
      <c r="AD67" s="121" t="s">
        <v>841</v>
      </c>
      <c r="AE67" s="501">
        <f t="shared" si="72"/>
        <v>101621.62162162177</v>
      </c>
      <c r="AF67" s="501">
        <f t="shared" si="72"/>
        <v>84756.756756756455</v>
      </c>
      <c r="AG67" s="501">
        <f t="shared" si="72"/>
        <v>73513.513513512909</v>
      </c>
      <c r="AH67" s="501">
        <f t="shared" si="74"/>
        <v>62270.270270269364</v>
      </c>
      <c r="AI67" s="501">
        <f t="shared" si="74"/>
        <v>45405.405405405909</v>
      </c>
      <c r="AJ67" s="501">
        <f t="shared" si="74"/>
        <v>28540.540540540591</v>
      </c>
      <c r="AK67" s="501">
        <f t="shared" si="74"/>
        <v>17297.297297297046</v>
      </c>
      <c r="AL67" s="501">
        <f t="shared" si="74"/>
        <v>0</v>
      </c>
      <c r="AM67" s="501">
        <f t="shared" si="76"/>
        <v>0</v>
      </c>
      <c r="AN67" s="501">
        <f t="shared" si="75"/>
        <v>0</v>
      </c>
      <c r="AO67" s="501">
        <f t="shared" si="75"/>
        <v>0</v>
      </c>
      <c r="AP67" s="501">
        <f t="shared" si="71"/>
        <v>0</v>
      </c>
      <c r="AQ67" s="501">
        <f t="shared" si="71"/>
        <v>0</v>
      </c>
    </row>
    <row r="68" spans="2:43" x14ac:dyDescent="0.25">
      <c r="B68" t="s">
        <v>473</v>
      </c>
      <c r="C68" s="1" t="s">
        <v>833</v>
      </c>
      <c r="D68" s="617">
        <v>24.09</v>
      </c>
      <c r="E68" s="708">
        <v>4.0367067645542747</v>
      </c>
      <c r="F68" s="486">
        <f t="shared" si="66"/>
        <v>20.053293235445725</v>
      </c>
      <c r="G68" s="488">
        <f t="shared" si="60"/>
        <v>1</v>
      </c>
      <c r="H68" s="488">
        <f t="shared" si="61"/>
        <v>0</v>
      </c>
      <c r="I68" s="488" t="str">
        <f t="shared" si="62"/>
        <v>Oil</v>
      </c>
      <c r="J68" s="489">
        <f>+F68</f>
        <v>20.053293235445725</v>
      </c>
      <c r="K68" s="121">
        <v>0</v>
      </c>
      <c r="L68" s="490">
        <f t="shared" si="63"/>
        <v>0</v>
      </c>
      <c r="M68" s="604">
        <v>4000</v>
      </c>
      <c r="N68" s="608">
        <v>3685.1509048868647</v>
      </c>
      <c r="O68" s="609">
        <v>3841.6159807970034</v>
      </c>
      <c r="P68" s="609">
        <v>3234.0636166995537</v>
      </c>
      <c r="Q68" s="609"/>
      <c r="R68" s="609">
        <v>2400.88284952908</v>
      </c>
      <c r="S68" s="609"/>
      <c r="T68" s="609">
        <v>1796.8903625650128</v>
      </c>
      <c r="U68" s="609"/>
      <c r="V68" s="609">
        <v>1422.2556737660816</v>
      </c>
      <c r="W68" s="609"/>
      <c r="X68" s="609">
        <v>1124.0735843555267</v>
      </c>
      <c r="Y68" s="609"/>
      <c r="Z68" s="610">
        <v>978.79669372173157</v>
      </c>
      <c r="AA68" s="494">
        <f t="shared" si="64"/>
        <v>-102.85974169469129</v>
      </c>
      <c r="AB68" s="494">
        <f t="shared" si="67"/>
        <v>211475.75094444485</v>
      </c>
      <c r="AC68" s="493">
        <v>2064</v>
      </c>
      <c r="AD68" s="121" t="s">
        <v>833</v>
      </c>
      <c r="AE68" s="501">
        <f t="shared" si="72"/>
        <v>3699.072721168428</v>
      </c>
      <c r="AF68" s="501">
        <f t="shared" si="72"/>
        <v>3390.493496084353</v>
      </c>
      <c r="AG68" s="501">
        <f t="shared" si="72"/>
        <v>3184.7740126949793</v>
      </c>
      <c r="AH68" s="501">
        <f t="shared" si="74"/>
        <v>2979.0545293056057</v>
      </c>
      <c r="AI68" s="501">
        <f t="shared" si="74"/>
        <v>2670.4753042215307</v>
      </c>
      <c r="AJ68" s="501">
        <f t="shared" si="74"/>
        <v>2361.8960791374557</v>
      </c>
      <c r="AK68" s="501">
        <f t="shared" si="74"/>
        <v>2156.1765957480529</v>
      </c>
      <c r="AL68" s="501">
        <f t="shared" si="74"/>
        <v>1950.4571123586793</v>
      </c>
      <c r="AM68" s="501">
        <f t="shared" si="76"/>
        <v>1641.8778872746043</v>
      </c>
      <c r="AN68" s="501">
        <f t="shared" si="75"/>
        <v>1333.2986621905293</v>
      </c>
      <c r="AO68" s="501">
        <f t="shared" si="75"/>
        <v>1127.5791788011556</v>
      </c>
      <c r="AP68" s="501">
        <f t="shared" si="71"/>
        <v>921.85969541178201</v>
      </c>
      <c r="AQ68" s="501">
        <f t="shared" si="71"/>
        <v>613.28047032770701</v>
      </c>
    </row>
    <row r="69" spans="2:43" x14ac:dyDescent="0.25">
      <c r="B69" t="s">
        <v>473</v>
      </c>
      <c r="C69" s="1" t="s">
        <v>900</v>
      </c>
      <c r="D69" s="617">
        <v>5.59</v>
      </c>
      <c r="E69" s="706"/>
      <c r="F69" s="486">
        <f t="shared" si="66"/>
        <v>5.59</v>
      </c>
      <c r="G69" s="488">
        <f t="shared" si="60"/>
        <v>1</v>
      </c>
      <c r="H69" s="488">
        <f t="shared" si="61"/>
        <v>0</v>
      </c>
      <c r="I69" s="488" t="str">
        <f t="shared" si="62"/>
        <v>Oil</v>
      </c>
      <c r="J69" s="489">
        <f>+F69</f>
        <v>5.59</v>
      </c>
      <c r="K69" s="121">
        <v>0</v>
      </c>
      <c r="L69" s="490">
        <f t="shared" si="63"/>
        <v>0</v>
      </c>
      <c r="M69" s="604">
        <v>1500</v>
      </c>
      <c r="N69" s="608">
        <v>1369.449727815309</v>
      </c>
      <c r="O69" s="609">
        <v>1555.5355151833155</v>
      </c>
      <c r="P69" s="609">
        <v>1215.2021709188698</v>
      </c>
      <c r="Q69" s="609"/>
      <c r="R69" s="609"/>
      <c r="S69" s="609">
        <v>733.31229094248101</v>
      </c>
      <c r="T69" s="609">
        <v>436.58588574801706</v>
      </c>
      <c r="U69" s="609"/>
      <c r="V69" s="609">
        <v>268.17160752935069</v>
      </c>
      <c r="W69" s="609"/>
      <c r="X69" s="609">
        <v>185.1265822784826</v>
      </c>
      <c r="Y69" s="609"/>
      <c r="Z69" s="610"/>
      <c r="AA69" s="494">
        <f t="shared" si="64"/>
        <v>-57.928435174659477</v>
      </c>
      <c r="AB69" s="494">
        <f t="shared" si="67"/>
        <v>118509.09434274976</v>
      </c>
      <c r="AC69" s="493">
        <v>2047</v>
      </c>
      <c r="AD69" s="121" t="s">
        <v>900</v>
      </c>
      <c r="AE69" s="501">
        <f t="shared" si="72"/>
        <v>1493.6552899376111</v>
      </c>
      <c r="AF69" s="501">
        <f t="shared" si="72"/>
        <v>1319.8699844136281</v>
      </c>
      <c r="AG69" s="501">
        <f t="shared" si="72"/>
        <v>1204.0131140643207</v>
      </c>
      <c r="AH69" s="501">
        <f t="shared" si="74"/>
        <v>1088.1562437149987</v>
      </c>
      <c r="AI69" s="501">
        <f t="shared" si="74"/>
        <v>914.37093819101574</v>
      </c>
      <c r="AJ69" s="501">
        <f t="shared" si="74"/>
        <v>740.58563266703277</v>
      </c>
      <c r="AK69" s="501">
        <f t="shared" si="74"/>
        <v>624.72876231772534</v>
      </c>
      <c r="AL69" s="501">
        <f t="shared" si="74"/>
        <v>508.87189196840336</v>
      </c>
      <c r="AM69" s="501">
        <f t="shared" si="76"/>
        <v>335.08658644442039</v>
      </c>
      <c r="AN69" s="501">
        <f t="shared" si="75"/>
        <v>161.30128092043742</v>
      </c>
      <c r="AO69" s="501">
        <f t="shared" si="75"/>
        <v>45.444410571129993</v>
      </c>
      <c r="AP69" s="501">
        <f t="shared" si="71"/>
        <v>0</v>
      </c>
      <c r="AQ69" s="501">
        <f t="shared" si="71"/>
        <v>0</v>
      </c>
    </row>
    <row r="70" spans="2:43" x14ac:dyDescent="0.25">
      <c r="B70" t="s">
        <v>473</v>
      </c>
      <c r="C70" s="1" t="s">
        <v>835</v>
      </c>
      <c r="D70" s="617">
        <v>16.52</v>
      </c>
      <c r="E70" s="708">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04">
        <v>4000</v>
      </c>
      <c r="N70" s="608">
        <v>3788.1619937694686</v>
      </c>
      <c r="O70" s="609"/>
      <c r="P70" s="609">
        <v>2847.1394346734687</v>
      </c>
      <c r="Q70" s="609"/>
      <c r="R70" s="609">
        <v>1707.0015780737667</v>
      </c>
      <c r="S70" s="609"/>
      <c r="T70" s="609">
        <v>1164.8637378271615</v>
      </c>
      <c r="U70" s="609"/>
      <c r="V70" s="609">
        <v>871.94708138118222</v>
      </c>
      <c r="W70" s="609"/>
      <c r="X70" s="609">
        <v>679.11137276064619</v>
      </c>
      <c r="Y70" s="609"/>
      <c r="Z70" s="610">
        <v>485.75236506651345</v>
      </c>
      <c r="AA70" s="494">
        <f t="shared" si="64"/>
        <v>-107.70242504733639</v>
      </c>
      <c r="AB70" s="494">
        <f t="shared" si="67"/>
        <v>220823.57462326559</v>
      </c>
      <c r="AC70" s="493">
        <v>2060</v>
      </c>
      <c r="AD70" s="121" t="s">
        <v>835</v>
      </c>
      <c r="AE70" s="501">
        <f t="shared" si="72"/>
        <v>3264.6760276460845</v>
      </c>
      <c r="AF70" s="501">
        <f t="shared" si="72"/>
        <v>2941.5687525040703</v>
      </c>
      <c r="AG70" s="501">
        <f t="shared" si="72"/>
        <v>2726.1639024094038</v>
      </c>
      <c r="AH70" s="501">
        <f t="shared" si="74"/>
        <v>2510.7590523147373</v>
      </c>
      <c r="AI70" s="501">
        <f t="shared" si="74"/>
        <v>2187.6517771727231</v>
      </c>
      <c r="AJ70" s="501">
        <f t="shared" si="74"/>
        <v>1864.5445020307088</v>
      </c>
      <c r="AK70" s="501">
        <f t="shared" si="74"/>
        <v>1649.1396519360424</v>
      </c>
      <c r="AL70" s="501">
        <f t="shared" si="74"/>
        <v>1433.7348018413759</v>
      </c>
      <c r="AM70" s="501">
        <f t="shared" si="76"/>
        <v>1110.6275266993616</v>
      </c>
      <c r="AN70" s="501">
        <f t="shared" si="75"/>
        <v>787.52025155734736</v>
      </c>
      <c r="AO70" s="501">
        <f t="shared" si="75"/>
        <v>572.11540146268089</v>
      </c>
      <c r="AP70" s="501">
        <f t="shared" si="71"/>
        <v>356.71055136801442</v>
      </c>
      <c r="AQ70" s="501">
        <f t="shared" si="71"/>
        <v>33.603276226000162</v>
      </c>
    </row>
    <row r="71" spans="2:43" x14ac:dyDescent="0.25">
      <c r="B71" t="s">
        <v>473</v>
      </c>
      <c r="C71" t="s">
        <v>854</v>
      </c>
      <c r="D71" s="121">
        <v>90.73</v>
      </c>
      <c r="E71" s="708">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11">
        <v>18000</v>
      </c>
      <c r="N71" s="612">
        <v>19200.000000000004</v>
      </c>
      <c r="O71" s="613"/>
      <c r="P71" s="613">
        <v>16106.66666666667</v>
      </c>
      <c r="Q71" s="613"/>
      <c r="R71" s="613">
        <v>10560.000000000004</v>
      </c>
      <c r="S71" s="613"/>
      <c r="T71" s="613">
        <v>6666.6666666666679</v>
      </c>
      <c r="U71" s="613"/>
      <c r="V71" s="613">
        <v>4640.0000000000036</v>
      </c>
      <c r="W71" s="613"/>
      <c r="X71" s="613">
        <v>3306.6666666666679</v>
      </c>
      <c r="Y71" s="613"/>
      <c r="Z71" s="614">
        <v>2293.3333333333358</v>
      </c>
      <c r="AA71" s="494">
        <f t="shared" si="64"/>
        <v>-587.42857142857144</v>
      </c>
      <c r="AB71" s="494">
        <f t="shared" si="67"/>
        <v>1204384.7619047619</v>
      </c>
      <c r="AC71" s="493">
        <v>2061</v>
      </c>
      <c r="AD71" s="121" t="s">
        <v>901</v>
      </c>
      <c r="AE71" s="501">
        <f>+IF(AE$38&lt;$AC71,$AA71*AE$38+$AB71,0)</f>
        <v>17779.047619047575</v>
      </c>
      <c r="AF71" s="501">
        <f t="shared" si="72"/>
        <v>16016.761904761894</v>
      </c>
      <c r="AG71" s="501">
        <f t="shared" si="72"/>
        <v>14841.904761904618</v>
      </c>
      <c r="AH71" s="501">
        <f t="shared" si="74"/>
        <v>13667.047619047575</v>
      </c>
      <c r="AI71" s="501">
        <f t="shared" si="74"/>
        <v>11904.761904761894</v>
      </c>
      <c r="AJ71" s="501">
        <f t="shared" si="74"/>
        <v>10142.476190476213</v>
      </c>
      <c r="AK71" s="501">
        <f t="shared" si="74"/>
        <v>8967.6190476189367</v>
      </c>
      <c r="AL71" s="501">
        <f t="shared" si="74"/>
        <v>7792.7619047618937</v>
      </c>
      <c r="AM71" s="501">
        <f t="shared" si="76"/>
        <v>6030.4761904762127</v>
      </c>
      <c r="AN71" s="501">
        <f t="shared" si="75"/>
        <v>4268.1904761905316</v>
      </c>
      <c r="AO71" s="501">
        <f t="shared" si="75"/>
        <v>3093.3333333332557</v>
      </c>
      <c r="AP71" s="501">
        <f t="shared" si="71"/>
        <v>1918.4761904762127</v>
      </c>
      <c r="AQ71" s="501">
        <f t="shared" si="71"/>
        <v>156.19047619053163</v>
      </c>
    </row>
    <row r="72" spans="2:43" x14ac:dyDescent="0.25">
      <c r="C72" s="626" t="s">
        <v>1128</v>
      </c>
      <c r="D72" s="626">
        <v>3.07</v>
      </c>
      <c r="E72" s="745">
        <v>8.4440756302521125E-2</v>
      </c>
      <c r="F72" s="486">
        <f t="shared" ref="F72:F74" si="77">+D72-E72</f>
        <v>2.9855592436974785</v>
      </c>
      <c r="G72" s="488">
        <f t="shared" ref="G72:G74" si="78">+J72/F72</f>
        <v>0</v>
      </c>
      <c r="H72" s="488">
        <f t="shared" ref="H72:H74" si="79">100%-G72</f>
        <v>1</v>
      </c>
      <c r="I72" s="488" t="str">
        <f t="shared" si="62"/>
        <v>Gas</v>
      </c>
      <c r="J72" s="626">
        <v>0</v>
      </c>
      <c r="K72" s="626">
        <v>18.440000000000001</v>
      </c>
      <c r="L72" s="490">
        <f t="shared" ref="L72:L74" si="80">+H72*(J72*1000000*$F$1)/(1000000000)</f>
        <v>0</v>
      </c>
      <c r="M72" s="599">
        <v>468</v>
      </c>
      <c r="N72" s="599">
        <v>486.27450980392155</v>
      </c>
      <c r="O72" s="599">
        <v>625.21008403361338</v>
      </c>
      <c r="P72" s="599">
        <v>528.85154061624644</v>
      </c>
      <c r="Q72" s="599"/>
      <c r="R72" s="599">
        <v>365.26610644257693</v>
      </c>
      <c r="S72" s="599"/>
      <c r="T72" s="599">
        <v>250.98039215686276</v>
      </c>
      <c r="U72" s="599"/>
      <c r="V72" s="599">
        <v>174.78991596638662</v>
      </c>
      <c r="W72" s="599"/>
      <c r="X72" s="599">
        <v>121.00840336134456</v>
      </c>
      <c r="Y72" s="599"/>
      <c r="Z72" s="599">
        <v>85.154061624649785</v>
      </c>
      <c r="AA72" s="494">
        <f t="shared" ref="AA72:AA74" si="81">+SLOPE(N72:Z72,$N$38:$Z$38)</f>
        <v>-17.66808418282567</v>
      </c>
      <c r="AB72" s="494">
        <f t="shared" ref="AB72:AB74" si="82">+INTERCEPT(N72:Z72,$N$38:$Z$38)</f>
        <v>36257.7410625267</v>
      </c>
      <c r="AC72" s="744">
        <v>2053</v>
      </c>
      <c r="AD72" s="121" t="s">
        <v>1128</v>
      </c>
      <c r="AE72" s="501">
        <f t="shared" ref="AE72:AE74" si="83">+IF(AE$38&lt;$AC72,$AA72*AE$38+$AB72,0)</f>
        <v>568.21101321884635</v>
      </c>
      <c r="AF72" s="501">
        <f t="shared" si="72"/>
        <v>515.2067606703713</v>
      </c>
      <c r="AG72" s="501">
        <f t="shared" si="72"/>
        <v>479.87059230471641</v>
      </c>
      <c r="AH72" s="501">
        <f t="shared" si="74"/>
        <v>444.5344239390688</v>
      </c>
      <c r="AI72" s="501">
        <f t="shared" si="74"/>
        <v>391.53017139059375</v>
      </c>
      <c r="AJ72" s="501">
        <f t="shared" si="74"/>
        <v>338.52591884211142</v>
      </c>
      <c r="AK72" s="501">
        <f t="shared" si="74"/>
        <v>303.18975047646381</v>
      </c>
      <c r="AL72" s="501">
        <f t="shared" si="74"/>
        <v>267.85358211080893</v>
      </c>
      <c r="AM72" s="501">
        <f t="shared" si="76"/>
        <v>214.84932956233388</v>
      </c>
      <c r="AN72" s="501">
        <f t="shared" si="75"/>
        <v>161.84507701385883</v>
      </c>
      <c r="AO72" s="501">
        <f t="shared" si="75"/>
        <v>126.50890864820394</v>
      </c>
      <c r="AP72" s="501">
        <f t="shared" si="71"/>
        <v>91.172740282556333</v>
      </c>
      <c r="AQ72" s="501">
        <f t="shared" si="71"/>
        <v>38.168487734074006</v>
      </c>
    </row>
    <row r="73" spans="2:43" x14ac:dyDescent="0.25">
      <c r="C73" s="626" t="s">
        <v>1156</v>
      </c>
      <c r="D73" s="626">
        <v>3.99</v>
      </c>
      <c r="F73" s="486">
        <f t="shared" si="77"/>
        <v>3.99</v>
      </c>
      <c r="G73" s="488">
        <f t="shared" si="78"/>
        <v>7.5187969924812026E-3</v>
      </c>
      <c r="H73" s="488">
        <f t="shared" si="79"/>
        <v>0.99248120300751874</v>
      </c>
      <c r="I73" s="488" t="str">
        <f t="shared" si="62"/>
        <v>Oil and Gas</v>
      </c>
      <c r="J73" s="626">
        <v>0.03</v>
      </c>
      <c r="K73" s="626">
        <v>23.75</v>
      </c>
      <c r="L73" s="490">
        <f t="shared" si="80"/>
        <v>0</v>
      </c>
      <c r="M73" s="599">
        <v>1017</v>
      </c>
      <c r="N73" s="599">
        <v>979.88394105492398</v>
      </c>
      <c r="O73" s="599">
        <v>972.0369705893271</v>
      </c>
      <c r="P73" s="599">
        <v>804.11031786293165</v>
      </c>
      <c r="Q73" s="599">
        <v>658.51449499511261</v>
      </c>
      <c r="R73" s="599">
        <v>486.70518800806724</v>
      </c>
      <c r="S73" s="599">
        <v>363.34368542829213</v>
      </c>
      <c r="T73" s="599">
        <v>307.18253919154665</v>
      </c>
      <c r="U73" s="599">
        <v>251.05108820727287</v>
      </c>
      <c r="V73" s="599">
        <v>194.78600858687719</v>
      </c>
      <c r="W73" s="599">
        <v>149.6863438957696</v>
      </c>
      <c r="X73" s="599">
        <v>127.07340913871371</v>
      </c>
      <c r="Y73" s="599">
        <v>104.46047438165806</v>
      </c>
      <c r="Z73" s="599"/>
      <c r="AA73" s="494">
        <f t="shared" si="81"/>
        <v>-35.087542608605716</v>
      </c>
      <c r="AB73" s="494">
        <f t="shared" si="82"/>
        <v>71809.192652030251</v>
      </c>
      <c r="AC73" s="744">
        <v>2049</v>
      </c>
      <c r="AD73" s="121" t="s">
        <v>1156</v>
      </c>
      <c r="AE73" s="501">
        <f t="shared" si="83"/>
        <v>932.35658264670928</v>
      </c>
      <c r="AF73" s="501">
        <f t="shared" si="72"/>
        <v>827.09395482088439</v>
      </c>
      <c r="AG73" s="501">
        <f t="shared" si="72"/>
        <v>756.91886960367265</v>
      </c>
      <c r="AH73" s="501">
        <f t="shared" si="74"/>
        <v>686.7437843864609</v>
      </c>
      <c r="AI73" s="501">
        <f t="shared" si="74"/>
        <v>581.48115656065056</v>
      </c>
      <c r="AJ73" s="501">
        <f t="shared" si="74"/>
        <v>476.21852873482567</v>
      </c>
      <c r="AK73" s="501">
        <f t="shared" si="74"/>
        <v>406.04344351761392</v>
      </c>
      <c r="AL73" s="501">
        <f t="shared" si="74"/>
        <v>335.86835830040218</v>
      </c>
      <c r="AM73" s="501">
        <f t="shared" si="76"/>
        <v>230.60573047459184</v>
      </c>
      <c r="AN73" s="501">
        <f t="shared" si="75"/>
        <v>125.34310264876694</v>
      </c>
      <c r="AO73" s="501">
        <f t="shared" si="75"/>
        <v>55.168017431555199</v>
      </c>
      <c r="AP73" s="501">
        <f t="shared" si="71"/>
        <v>-15.007067785656545</v>
      </c>
      <c r="AQ73" s="501">
        <f t="shared" si="71"/>
        <v>0</v>
      </c>
    </row>
    <row r="74" spans="2:43" x14ac:dyDescent="0.25">
      <c r="C74" s="626" t="s">
        <v>1134</v>
      </c>
      <c r="D74" s="626">
        <v>18.809999999999999</v>
      </c>
      <c r="F74" s="486">
        <f t="shared" si="77"/>
        <v>18.809999999999999</v>
      </c>
      <c r="G74" s="488">
        <f t="shared" si="78"/>
        <v>4.7846889952153108E-3</v>
      </c>
      <c r="H74" s="488">
        <f t="shared" si="79"/>
        <v>0.99521531100478466</v>
      </c>
      <c r="I74" s="488" t="str">
        <f t="shared" si="62"/>
        <v>Oil and Gas</v>
      </c>
      <c r="J74" s="626">
        <v>0.09</v>
      </c>
      <c r="K74" s="626">
        <v>112.29</v>
      </c>
      <c r="L74" s="490">
        <f t="shared" si="80"/>
        <v>0</v>
      </c>
      <c r="M74" s="599">
        <v>4600</v>
      </c>
      <c r="N74" s="599">
        <v>4507.6923076923076</v>
      </c>
      <c r="O74" s="599">
        <v>4384.6153846153838</v>
      </c>
      <c r="P74" s="599">
        <v>3738.4615384615381</v>
      </c>
      <c r="Q74" s="599">
        <v>3199.9999999999995</v>
      </c>
      <c r="R74" s="599">
        <v>2538.4615384615381</v>
      </c>
      <c r="S74" s="599">
        <v>2076.9230769230767</v>
      </c>
      <c r="T74" s="599">
        <v>1784.6153846153843</v>
      </c>
      <c r="U74" s="599">
        <v>1538.4615384615381</v>
      </c>
      <c r="V74" s="599">
        <v>1246.1538461538457</v>
      </c>
      <c r="W74" s="599"/>
      <c r="X74" s="599"/>
      <c r="Y74" s="599"/>
      <c r="Z74" s="599"/>
      <c r="AA74" s="494">
        <f t="shared" si="81"/>
        <v>-179.44514501891553</v>
      </c>
      <c r="AB74" s="494">
        <f t="shared" si="82"/>
        <v>367053.13156788569</v>
      </c>
      <c r="AC74" s="744">
        <v>2042</v>
      </c>
      <c r="AD74" s="121" t="s">
        <v>1134</v>
      </c>
      <c r="AE74" s="501">
        <f t="shared" si="83"/>
        <v>4573.938629676355</v>
      </c>
      <c r="AF74" s="501">
        <f t="shared" si="72"/>
        <v>4035.6031946195872</v>
      </c>
      <c r="AG74" s="501">
        <f t="shared" si="72"/>
        <v>3676.7129045817419</v>
      </c>
      <c r="AH74" s="501">
        <f t="shared" si="74"/>
        <v>3317.8226145438966</v>
      </c>
      <c r="AI74" s="501">
        <f t="shared" si="74"/>
        <v>2779.4871794871869</v>
      </c>
      <c r="AJ74" s="501">
        <f t="shared" si="74"/>
        <v>2241.1517444304191</v>
      </c>
      <c r="AK74" s="501">
        <f t="shared" si="74"/>
        <v>1882.2614543925738</v>
      </c>
      <c r="AL74" s="501">
        <f t="shared" si="74"/>
        <v>1523.3711643547867</v>
      </c>
      <c r="AM74" s="501">
        <f t="shared" si="76"/>
        <v>985.03572929801885</v>
      </c>
      <c r="AN74" s="501">
        <f t="shared" si="75"/>
        <v>0</v>
      </c>
      <c r="AO74" s="501">
        <f t="shared" si="75"/>
        <v>0</v>
      </c>
      <c r="AP74" s="501">
        <f t="shared" si="75"/>
        <v>0</v>
      </c>
      <c r="AQ74" s="501">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599"/>
      <c r="N86" s="903" t="s">
        <v>1014</v>
      </c>
      <c r="O86" s="903"/>
      <c r="P86" s="903"/>
      <c r="Q86" s="903"/>
      <c r="R86" s="903"/>
      <c r="S86" s="903"/>
      <c r="T86" s="903"/>
      <c r="U86" s="903"/>
      <c r="V86" s="903"/>
      <c r="W86" s="903"/>
      <c r="X86" s="599"/>
      <c r="Y86" s="599"/>
      <c r="Z86" s="599"/>
    </row>
    <row r="87" spans="3:26" ht="18.75" x14ac:dyDescent="0.25">
      <c r="H87" s="512" t="s">
        <v>795</v>
      </c>
      <c r="I87" s="512" t="s">
        <v>796</v>
      </c>
      <c r="J87" s="468" t="s">
        <v>797</v>
      </c>
      <c r="K87" s="512" t="s">
        <v>798</v>
      </c>
      <c r="L87" s="512" t="s">
        <v>799</v>
      </c>
      <c r="M87" s="615">
        <v>2019</v>
      </c>
      <c r="N87" s="616">
        <v>2020</v>
      </c>
      <c r="O87" s="616">
        <v>2023</v>
      </c>
      <c r="P87" s="616">
        <v>2025</v>
      </c>
      <c r="Q87" s="616">
        <v>2027</v>
      </c>
      <c r="R87" s="616">
        <v>2030</v>
      </c>
      <c r="S87" s="616">
        <v>2033</v>
      </c>
      <c r="T87" s="616">
        <v>2035</v>
      </c>
      <c r="U87" s="616">
        <v>2037</v>
      </c>
      <c r="V87" s="616">
        <v>2040</v>
      </c>
      <c r="W87" s="616">
        <v>2043</v>
      </c>
      <c r="X87" s="616">
        <v>2045</v>
      </c>
      <c r="Y87" s="616">
        <v>2047</v>
      </c>
      <c r="Z87" s="616">
        <v>2050</v>
      </c>
    </row>
    <row r="88" spans="3:26" x14ac:dyDescent="0.25">
      <c r="H88" s="473" t="e" vm="1">
        <v>#VALUE!</v>
      </c>
      <c r="I88" s="474" t="s">
        <v>815</v>
      </c>
      <c r="J88" s="474" t="s">
        <v>836</v>
      </c>
      <c r="K88" s="474" t="s">
        <v>837</v>
      </c>
      <c r="L88" s="544" t="s">
        <v>838</v>
      </c>
      <c r="M88" s="619">
        <v>26000</v>
      </c>
      <c r="N88" s="619">
        <f>+IF(N50="","",N50)</f>
        <v>18473.762408216862</v>
      </c>
      <c r="O88" s="619" t="str">
        <f t="shared" ref="O88:Z88" si="87">+IF(O50="","",O50)</f>
        <v/>
      </c>
      <c r="P88" s="619">
        <f t="shared" si="87"/>
        <v>12112.142288064424</v>
      </c>
      <c r="Q88" s="619">
        <f t="shared" si="87"/>
        <v>9490.7517064662534</v>
      </c>
      <c r="R88" s="619" t="str">
        <f t="shared" si="87"/>
        <v/>
      </c>
      <c r="S88" s="619" t="str">
        <f t="shared" si="87"/>
        <v/>
      </c>
      <c r="T88" s="619" t="str">
        <f t="shared" si="87"/>
        <v/>
      </c>
      <c r="U88" s="619" t="str">
        <f t="shared" si="87"/>
        <v/>
      </c>
      <c r="V88" s="619" t="str">
        <f t="shared" si="87"/>
        <v/>
      </c>
      <c r="W88" s="619" t="str">
        <f t="shared" si="87"/>
        <v/>
      </c>
      <c r="X88" s="619" t="str">
        <f t="shared" si="87"/>
        <v/>
      </c>
      <c r="Y88" s="619" t="str">
        <f t="shared" si="87"/>
        <v/>
      </c>
      <c r="Z88" s="619" t="str">
        <f t="shared" si="87"/>
        <v/>
      </c>
    </row>
    <row r="89" spans="3:26" x14ac:dyDescent="0.25">
      <c r="H89" s="473" t="e" vm="1">
        <v>#VALUE!</v>
      </c>
      <c r="I89" s="474" t="s">
        <v>815</v>
      </c>
      <c r="J89" s="474" t="s">
        <v>836</v>
      </c>
      <c r="K89" s="474" t="s">
        <v>837</v>
      </c>
      <c r="L89" s="544" t="s">
        <v>839</v>
      </c>
      <c r="M89" s="619">
        <f>+IF(M42="","",M42)</f>
        <v>3750</v>
      </c>
      <c r="N89" s="619">
        <f t="shared" ref="N89:Z89" si="88">+IF(N42="","",N42)</f>
        <v>2688.1998197310859</v>
      </c>
      <c r="O89" s="619">
        <f t="shared" si="88"/>
        <v>4033.9723277920784</v>
      </c>
      <c r="P89" s="619">
        <f t="shared" si="88"/>
        <v>2897.3861007089963</v>
      </c>
      <c r="Q89" s="619">
        <f t="shared" si="88"/>
        <v>2545.9174665712671</v>
      </c>
      <c r="R89" s="619">
        <f t="shared" si="88"/>
        <v>2313.091797764293</v>
      </c>
      <c r="S89" s="619">
        <f t="shared" si="88"/>
        <v>1610.2660360352002</v>
      </c>
      <c r="T89" s="619">
        <f t="shared" si="88"/>
        <v>1259.1319215365602</v>
      </c>
      <c r="U89" s="619">
        <f t="shared" si="88"/>
        <v>1026.306252729586</v>
      </c>
      <c r="V89" s="619" t="str">
        <f t="shared" si="88"/>
        <v/>
      </c>
      <c r="W89" s="619" t="str">
        <f t="shared" si="88"/>
        <v/>
      </c>
      <c r="X89" s="619" t="str">
        <f t="shared" si="88"/>
        <v/>
      </c>
      <c r="Y89" s="619" t="str">
        <f t="shared" si="88"/>
        <v/>
      </c>
      <c r="Z89" s="619" t="str">
        <f t="shared" si="88"/>
        <v/>
      </c>
    </row>
    <row r="90" spans="3:26" x14ac:dyDescent="0.25">
      <c r="H90" s="473" t="e" vm="2">
        <v>#VALUE!</v>
      </c>
      <c r="I90" s="474" t="s">
        <v>815</v>
      </c>
      <c r="J90" s="474" t="s">
        <v>849</v>
      </c>
      <c r="K90" s="474" t="s">
        <v>822</v>
      </c>
      <c r="L90" s="544" t="s">
        <v>850</v>
      </c>
      <c r="M90" s="619">
        <f>+IF(M61="","",M61)</f>
        <v>5700</v>
      </c>
      <c r="N90" s="619">
        <f t="shared" ref="N90:Z90" si="89">+IF(N61="","",N61)</f>
        <v>5461.7834394904457</v>
      </c>
      <c r="O90" s="619">
        <f t="shared" si="89"/>
        <v>1738.8535031847141</v>
      </c>
      <c r="P90" s="619">
        <f t="shared" si="89"/>
        <v>936.30573248407654</v>
      </c>
      <c r="Q90" s="619">
        <f t="shared" si="89"/>
        <v>468.15286624203873</v>
      </c>
      <c r="R90" s="619" t="str">
        <f t="shared" si="89"/>
        <v/>
      </c>
      <c r="S90" s="619" t="str">
        <f t="shared" si="89"/>
        <v/>
      </c>
      <c r="T90" s="619" t="str">
        <f t="shared" si="89"/>
        <v/>
      </c>
      <c r="U90" s="619" t="str">
        <f t="shared" si="89"/>
        <v/>
      </c>
      <c r="V90" s="619" t="str">
        <f t="shared" si="89"/>
        <v/>
      </c>
      <c r="W90" s="619" t="str">
        <f t="shared" si="89"/>
        <v/>
      </c>
      <c r="X90" s="619" t="str">
        <f t="shared" si="89"/>
        <v/>
      </c>
      <c r="Y90" s="619" t="str">
        <f t="shared" si="89"/>
        <v/>
      </c>
      <c r="Z90" s="619" t="str">
        <f t="shared" si="89"/>
        <v/>
      </c>
    </row>
    <row r="91" spans="3:26" ht="30" x14ac:dyDescent="0.25">
      <c r="H91" s="473" t="e" vm="3">
        <v>#VALUE!</v>
      </c>
      <c r="I91" s="474" t="s">
        <v>815</v>
      </c>
      <c r="J91" s="474" t="s">
        <v>821</v>
      </c>
      <c r="K91" s="474" t="s">
        <v>822</v>
      </c>
      <c r="L91" s="544" t="s">
        <v>823</v>
      </c>
      <c r="M91" s="619">
        <f>+IF((M51+M52+M53)&gt;0,M51+M52+M53,"")</f>
        <v>50400</v>
      </c>
      <c r="N91" s="619">
        <f t="shared" ref="N91:Z91" si="90">+IF((N51+N52+N53)&gt;0,N51+N52+N53,"")</f>
        <v>57761.339525052943</v>
      </c>
      <c r="O91" s="619">
        <f t="shared" si="90"/>
        <v>51749.53655347741</v>
      </c>
      <c r="P91" s="619">
        <f t="shared" si="90"/>
        <v>40137.176145263293</v>
      </c>
      <c r="Q91" s="619" t="str">
        <f t="shared" si="90"/>
        <v/>
      </c>
      <c r="R91" s="619">
        <f t="shared" si="90"/>
        <v>23861.379832516486</v>
      </c>
      <c r="S91" s="619" t="str">
        <f t="shared" si="90"/>
        <v/>
      </c>
      <c r="T91" s="619">
        <f t="shared" si="90"/>
        <v>13767.727412816675</v>
      </c>
      <c r="U91" s="619" t="str">
        <f t="shared" si="90"/>
        <v/>
      </c>
      <c r="V91" s="619">
        <f t="shared" si="90"/>
        <v>5171.3118224932259</v>
      </c>
      <c r="W91" s="619" t="str">
        <f t="shared" si="90"/>
        <v/>
      </c>
      <c r="X91" s="619">
        <f t="shared" si="90"/>
        <v>3501.0586043360454</v>
      </c>
      <c r="Y91" s="619" t="str">
        <f t="shared" si="90"/>
        <v/>
      </c>
      <c r="Z91" s="619">
        <f t="shared" si="90"/>
        <v>2591.6624322493226</v>
      </c>
    </row>
    <row r="92" spans="3:26" x14ac:dyDescent="0.25">
      <c r="H92" s="473" t="e" vm="3">
        <v>#VALUE!</v>
      </c>
      <c r="I92" s="474" t="s">
        <v>815</v>
      </c>
      <c r="J92" s="474" t="s">
        <v>824</v>
      </c>
      <c r="K92" s="474" t="s">
        <v>822</v>
      </c>
      <c r="L92" s="544" t="s">
        <v>825</v>
      </c>
      <c r="M92" s="619">
        <f>+IF((M54+M55)&gt;0,M54+M55,"")</f>
        <v>33000</v>
      </c>
      <c r="N92" s="619">
        <f t="shared" ref="N92:Z92" si="91">+IF((N54+N55)&gt;0,N54+N55,"")</f>
        <v>28513.982927143661</v>
      </c>
      <c r="O92" s="619" t="str">
        <f t="shared" si="91"/>
        <v/>
      </c>
      <c r="P92" s="619">
        <f t="shared" si="91"/>
        <v>15034.158403203066</v>
      </c>
      <c r="Q92" s="619" t="str">
        <f t="shared" si="91"/>
        <v/>
      </c>
      <c r="R92" s="619" t="str">
        <f t="shared" si="91"/>
        <v/>
      </c>
      <c r="S92" s="619" t="str">
        <f t="shared" si="91"/>
        <v/>
      </c>
      <c r="T92" s="619" t="str">
        <f t="shared" si="91"/>
        <v/>
      </c>
      <c r="U92" s="619" t="str">
        <f t="shared" si="91"/>
        <v/>
      </c>
      <c r="V92" s="619" t="str">
        <f t="shared" si="91"/>
        <v/>
      </c>
      <c r="W92" s="619" t="str">
        <f t="shared" si="91"/>
        <v/>
      </c>
      <c r="X92" s="619" t="str">
        <f t="shared" si="91"/>
        <v/>
      </c>
      <c r="Y92" s="619" t="str">
        <f t="shared" si="91"/>
        <v/>
      </c>
      <c r="Z92" s="619" t="str">
        <f t="shared" si="91"/>
        <v/>
      </c>
    </row>
    <row r="93" spans="3:26" x14ac:dyDescent="0.25">
      <c r="C93">
        <f>+M65+M66</f>
        <v>59550</v>
      </c>
      <c r="H93" s="473" t="e" vm="3">
        <v>#VALUE!</v>
      </c>
      <c r="I93" s="474" t="s">
        <v>815</v>
      </c>
      <c r="J93" s="474" t="s">
        <v>826</v>
      </c>
      <c r="K93" s="474" t="s">
        <v>822</v>
      </c>
      <c r="L93" s="544" t="s">
        <v>827</v>
      </c>
      <c r="M93" s="619">
        <f>+IF((M65+M66)&gt;0,M65+M66,"")</f>
        <v>59550</v>
      </c>
      <c r="N93" s="619">
        <f t="shared" ref="N93:Z93" si="92">+IF((N65+N66)&gt;0,N65+N66,"")</f>
        <v>57194.469693144136</v>
      </c>
      <c r="O93" s="619">
        <f t="shared" si="92"/>
        <v>45498.43037250248</v>
      </c>
      <c r="P93" s="619">
        <f t="shared" si="92"/>
        <v>33360.875456580652</v>
      </c>
      <c r="Q93" s="619">
        <f t="shared" si="92"/>
        <v>20406.798633203718</v>
      </c>
      <c r="R93" s="619">
        <f t="shared" si="92"/>
        <v>15064.089616051433</v>
      </c>
      <c r="S93" s="619">
        <f t="shared" si="92"/>
        <v>10433.604336043354</v>
      </c>
      <c r="T93" s="619">
        <f t="shared" si="92"/>
        <v>7777.7777777777665</v>
      </c>
      <c r="U93" s="619">
        <f t="shared" si="92"/>
        <v>5880.7588075880631</v>
      </c>
      <c r="V93" s="619">
        <f t="shared" si="92"/>
        <v>4363.1436314363091</v>
      </c>
      <c r="W93" s="619" t="str">
        <f t="shared" si="92"/>
        <v/>
      </c>
      <c r="X93" s="619" t="str">
        <f t="shared" si="92"/>
        <v/>
      </c>
      <c r="Y93" s="619" t="str">
        <f t="shared" si="92"/>
        <v/>
      </c>
      <c r="Z93" s="619" t="str">
        <f t="shared" si="92"/>
        <v/>
      </c>
    </row>
    <row r="94" spans="3:26" x14ac:dyDescent="0.25">
      <c r="C94">
        <v>8450</v>
      </c>
      <c r="H94" s="473" t="e" vm="3">
        <v>#VALUE!</v>
      </c>
      <c r="I94" s="474" t="s">
        <v>815</v>
      </c>
      <c r="J94" s="474" t="s">
        <v>826</v>
      </c>
      <c r="K94" s="474" t="s">
        <v>822</v>
      </c>
      <c r="L94" s="544" t="s">
        <v>828</v>
      </c>
      <c r="M94" s="619">
        <f>+IF((M59+M60)&gt;0,M59+M60,"")</f>
        <v>8450</v>
      </c>
      <c r="N94" s="619">
        <f t="shared" ref="N94:Z94" si="93">+IF((N59+N60)&gt;0,N59+N60,"")</f>
        <v>5934.0256012321215</v>
      </c>
      <c r="O94" s="619">
        <f t="shared" si="93"/>
        <v>4953.1245787331009</v>
      </c>
      <c r="P94" s="619">
        <f t="shared" si="93"/>
        <v>3618.0903802860598</v>
      </c>
      <c r="Q94" s="619">
        <f t="shared" si="93"/>
        <v>773.00896624472807</v>
      </c>
      <c r="R94" s="619">
        <f t="shared" si="93"/>
        <v>1800.9707674471915</v>
      </c>
      <c r="S94" s="619" t="str">
        <f t="shared" si="93"/>
        <v/>
      </c>
      <c r="T94" s="619">
        <f t="shared" si="93"/>
        <v>861.02236421725229</v>
      </c>
      <c r="U94" s="619" t="str">
        <f t="shared" si="93"/>
        <v/>
      </c>
      <c r="V94" s="619">
        <f t="shared" si="93"/>
        <v>615.01597444089475</v>
      </c>
      <c r="W94" s="619" t="str">
        <f t="shared" si="93"/>
        <v/>
      </c>
      <c r="X94" s="619">
        <f t="shared" si="93"/>
        <v>447.28434504792313</v>
      </c>
      <c r="Y94" s="619" t="str">
        <f t="shared" si="93"/>
        <v/>
      </c>
      <c r="Z94" s="619">
        <f t="shared" si="93"/>
        <v>313.09904153354637</v>
      </c>
    </row>
    <row r="95" spans="3:26" x14ac:dyDescent="0.25">
      <c r="C95">
        <v>112500</v>
      </c>
      <c r="H95" s="473" t="e" vm="4">
        <v>#VALUE!</v>
      </c>
      <c r="I95" s="474" t="s">
        <v>815</v>
      </c>
      <c r="J95" s="474" t="s">
        <v>840</v>
      </c>
      <c r="K95" s="474" t="s">
        <v>822</v>
      </c>
      <c r="L95" s="544" t="s">
        <v>841</v>
      </c>
      <c r="M95" s="619">
        <f>+IF(M67="","",M67)</f>
        <v>112500</v>
      </c>
      <c r="N95" s="619">
        <f t="shared" ref="N95:Z95" si="94">+IF(N67="","",N67)</f>
        <v>106081.08108108109</v>
      </c>
      <c r="O95" s="619" t="str">
        <f t="shared" si="94"/>
        <v/>
      </c>
      <c r="P95" s="619">
        <f t="shared" si="94"/>
        <v>70945.945945945947</v>
      </c>
      <c r="Q95" s="619" t="str">
        <f t="shared" si="94"/>
        <v/>
      </c>
      <c r="R95" s="619">
        <f t="shared" si="94"/>
        <v>37162.16216216216</v>
      </c>
      <c r="S95" s="619" t="str">
        <f t="shared" si="94"/>
        <v/>
      </c>
      <c r="T95" s="619">
        <f t="shared" si="94"/>
        <v>23648.648648648639</v>
      </c>
      <c r="U95" s="619" t="str">
        <f t="shared" si="94"/>
        <v/>
      </c>
      <c r="V95" s="619" t="str">
        <f t="shared" si="94"/>
        <v/>
      </c>
      <c r="W95" s="619" t="str">
        <f t="shared" si="94"/>
        <v/>
      </c>
      <c r="X95" s="619" t="str">
        <f t="shared" si="94"/>
        <v/>
      </c>
      <c r="Y95" s="619" t="str">
        <f t="shared" si="94"/>
        <v/>
      </c>
      <c r="Z95" s="619" t="str">
        <f t="shared" si="94"/>
        <v/>
      </c>
    </row>
    <row r="96" spans="3:26" ht="25.5" x14ac:dyDescent="0.25">
      <c r="C96">
        <v>112200</v>
      </c>
      <c r="H96" s="473" t="e" vm="4">
        <v>#VALUE!</v>
      </c>
      <c r="I96" s="474" t="s">
        <v>815</v>
      </c>
      <c r="J96" s="474" t="s">
        <v>842</v>
      </c>
      <c r="K96" s="474" t="s">
        <v>822</v>
      </c>
      <c r="L96" s="544" t="s">
        <v>843</v>
      </c>
      <c r="M96" s="619">
        <f>+IF((M45+M46+M47)&gt;0,M45+M46+M47,"")</f>
        <v>112200</v>
      </c>
      <c r="N96" s="619">
        <f t="shared" ref="N96:Z96" si="95">+IF((N45+N46+N47)&gt;0,N45+N46+N47,"")</f>
        <v>112344.67308587313</v>
      </c>
      <c r="O96" s="619">
        <f t="shared" si="95"/>
        <v>39952.031986549417</v>
      </c>
      <c r="P96" s="619">
        <f t="shared" si="95"/>
        <v>37882.518739950639</v>
      </c>
      <c r="Q96" s="619" t="str">
        <f t="shared" si="95"/>
        <v/>
      </c>
      <c r="R96" s="619">
        <f t="shared" si="95"/>
        <v>55832.727823562367</v>
      </c>
      <c r="S96" s="619" t="str">
        <f t="shared" si="95"/>
        <v/>
      </c>
      <c r="T96" s="619">
        <f t="shared" si="95"/>
        <v>14170.274626144603</v>
      </c>
      <c r="U96" s="619">
        <f>+IF((U45+U46+U47)&gt;0,U45+U46+U47,"")</f>
        <v>68.920612813370553</v>
      </c>
      <c r="V96" s="619">
        <f t="shared" si="95"/>
        <v>26375.42485353001</v>
      </c>
      <c r="W96" s="619" t="str">
        <f t="shared" si="95"/>
        <v/>
      </c>
      <c r="X96" s="619" t="str">
        <f t="shared" si="95"/>
        <v/>
      </c>
      <c r="Y96" s="619" t="str">
        <f t="shared" si="95"/>
        <v/>
      </c>
      <c r="Z96" s="619">
        <f t="shared" si="95"/>
        <v>21157.776313249327</v>
      </c>
    </row>
    <row r="97" spans="3:26" x14ac:dyDescent="0.25">
      <c r="C97">
        <v>69000</v>
      </c>
      <c r="H97" s="473" t="e" vm="4">
        <v>#VALUE!</v>
      </c>
      <c r="I97" s="474" t="s">
        <v>815</v>
      </c>
      <c r="J97" s="474" t="s">
        <v>844</v>
      </c>
      <c r="K97" s="474" t="s">
        <v>822</v>
      </c>
      <c r="L97" s="544" t="s">
        <v>845</v>
      </c>
      <c r="M97" s="619">
        <f>+IF((M49+M48)&gt;0,M48+M49,"")</f>
        <v>69000</v>
      </c>
      <c r="N97" s="619">
        <f t="shared" ref="N97:Z97" si="96">+IF((N49+N48)&gt;0,N48+N49,"")</f>
        <v>68919.494431482133</v>
      </c>
      <c r="O97" s="619">
        <f t="shared" si="96"/>
        <v>21393.017324773544</v>
      </c>
      <c r="P97" s="619">
        <f t="shared" si="96"/>
        <v>52136.392178971968</v>
      </c>
      <c r="Q97" s="619" t="str">
        <f t="shared" si="96"/>
        <v/>
      </c>
      <c r="R97" s="619">
        <f t="shared" si="96"/>
        <v>30942.417489779538</v>
      </c>
      <c r="S97" s="619">
        <f t="shared" si="96"/>
        <v>16260.547999602895</v>
      </c>
      <c r="T97" s="619">
        <f t="shared" si="96"/>
        <v>20337.971708122466</v>
      </c>
      <c r="U97" s="619">
        <f t="shared" si="96"/>
        <v>8406.8797776233405</v>
      </c>
      <c r="V97" s="619">
        <f t="shared" si="96"/>
        <v>5706.1823938088055</v>
      </c>
      <c r="W97" s="619">
        <f t="shared" si="96"/>
        <v>4334.2713921378891</v>
      </c>
      <c r="X97" s="619" t="str">
        <f t="shared" si="96"/>
        <v/>
      </c>
      <c r="Y97" s="619" t="str">
        <f t="shared" si="96"/>
        <v/>
      </c>
      <c r="Z97" s="619" t="str">
        <f t="shared" si="96"/>
        <v/>
      </c>
    </row>
    <row r="98" spans="3:26" x14ac:dyDescent="0.25">
      <c r="C98">
        <v>19000</v>
      </c>
      <c r="H98" s="473" t="e" vm="4">
        <v>#VALUE!</v>
      </c>
      <c r="I98" s="474" t="s">
        <v>815</v>
      </c>
      <c r="J98" s="474" t="s">
        <v>844</v>
      </c>
      <c r="K98" s="474" t="s">
        <v>822</v>
      </c>
      <c r="L98" s="544" t="s">
        <v>846</v>
      </c>
      <c r="M98" s="619">
        <f>+IF(M39="","",M39)</f>
        <v>19000</v>
      </c>
      <c r="N98" s="619">
        <f t="shared" ref="N98:Z98" si="97">+IF(N39="","",N39)</f>
        <v>9590.1639344262294</v>
      </c>
      <c r="O98" s="619">
        <f t="shared" si="97"/>
        <v>19016.393442622953</v>
      </c>
      <c r="P98" s="619">
        <f t="shared" si="97"/>
        <v>16065.573770491805</v>
      </c>
      <c r="Q98" s="619" t="str">
        <f t="shared" si="97"/>
        <v/>
      </c>
      <c r="R98" s="619">
        <f t="shared" si="97"/>
        <v>11065.573770491806</v>
      </c>
      <c r="S98" s="619" t="str">
        <f t="shared" si="97"/>
        <v/>
      </c>
      <c r="T98" s="619">
        <f t="shared" si="97"/>
        <v>7786.8852459016416</v>
      </c>
      <c r="U98" s="619" t="str">
        <f t="shared" si="97"/>
        <v/>
      </c>
      <c r="V98" s="619">
        <f t="shared" si="97"/>
        <v>5409.8360655737706</v>
      </c>
      <c r="W98" s="619" t="str">
        <f t="shared" si="97"/>
        <v/>
      </c>
      <c r="X98" s="619">
        <f t="shared" si="97"/>
        <v>3852.4590163934445</v>
      </c>
      <c r="Y98" s="619">
        <f t="shared" si="97"/>
        <v>3114.7540983606559</v>
      </c>
      <c r="Z98" s="619" t="str">
        <f t="shared" si="97"/>
        <v/>
      </c>
    </row>
    <row r="99" spans="3:26" x14ac:dyDescent="0.25">
      <c r="C99">
        <v>4210</v>
      </c>
      <c r="H99" s="473" t="e" vm="4">
        <v>#VALUE!</v>
      </c>
      <c r="I99" s="474" t="s">
        <v>815</v>
      </c>
      <c r="J99" s="474" t="s">
        <v>847</v>
      </c>
      <c r="K99" s="474" t="s">
        <v>822</v>
      </c>
      <c r="L99" s="544" t="s">
        <v>848</v>
      </c>
      <c r="M99" s="619">
        <f>+IF((M40+M41)&gt;0,M40+M41,"")</f>
        <v>4210</v>
      </c>
      <c r="N99" s="619">
        <f t="shared" ref="N99:Z99" si="98">+IF((N40+N41)&gt;0,N40+N41,"")</f>
        <v>3286.1805491052246</v>
      </c>
      <c r="O99" s="619">
        <f t="shared" si="98"/>
        <v>1448.760843589429</v>
      </c>
      <c r="P99" s="619">
        <f t="shared" si="98"/>
        <v>913.75911914942287</v>
      </c>
      <c r="Q99" s="619" t="str">
        <f t="shared" si="98"/>
        <v/>
      </c>
      <c r="R99" s="619">
        <f t="shared" si="98"/>
        <v>443.49917657398453</v>
      </c>
      <c r="S99" s="619" t="str">
        <f t="shared" si="98"/>
        <v/>
      </c>
      <c r="T99" s="619">
        <f t="shared" si="98"/>
        <v>123.34138755365916</v>
      </c>
      <c r="U99" s="619" t="str">
        <f t="shared" si="98"/>
        <v/>
      </c>
      <c r="V99" s="619">
        <f t="shared" si="98"/>
        <v>59.918258232013045</v>
      </c>
      <c r="W99" s="619" t="str">
        <f t="shared" si="98"/>
        <v/>
      </c>
      <c r="X99" s="619" t="str">
        <f t="shared" si="98"/>
        <v/>
      </c>
      <c r="Y99" s="619" t="str">
        <f t="shared" si="98"/>
        <v/>
      </c>
      <c r="Z99" s="619" t="str">
        <f t="shared" si="98"/>
        <v/>
      </c>
    </row>
    <row r="100" spans="3:26" x14ac:dyDescent="0.25">
      <c r="C100">
        <v>1900</v>
      </c>
      <c r="H100" s="473" t="e" vm="5">
        <v>#VALUE!</v>
      </c>
      <c r="I100" s="474" t="s">
        <v>815</v>
      </c>
      <c r="J100" s="474" t="s">
        <v>851</v>
      </c>
      <c r="K100" s="474" t="s">
        <v>852</v>
      </c>
      <c r="L100" s="544" t="s">
        <v>851</v>
      </c>
      <c r="M100" s="619">
        <v>2100</v>
      </c>
      <c r="N100" s="619">
        <f t="shared" ref="N100:Z100" si="99">+IF(N64="","",N64)</f>
        <v>1984.4236760124613</v>
      </c>
      <c r="O100" s="619" t="str">
        <f t="shared" si="99"/>
        <v/>
      </c>
      <c r="P100" s="619">
        <f t="shared" si="99"/>
        <v>1548.2866043613712</v>
      </c>
      <c r="Q100" s="619" t="str">
        <f t="shared" si="99"/>
        <v/>
      </c>
      <c r="R100" s="619">
        <f t="shared" si="99"/>
        <v>937.6947040498444</v>
      </c>
      <c r="S100" s="619" t="str">
        <f t="shared" si="99"/>
        <v/>
      </c>
      <c r="T100" s="619">
        <f t="shared" si="99"/>
        <v>632.39875389408189</v>
      </c>
      <c r="U100" s="619" t="str">
        <f t="shared" si="99"/>
        <v/>
      </c>
      <c r="V100" s="619">
        <f t="shared" si="99"/>
        <v>414.33021806853685</v>
      </c>
      <c r="W100" s="619">
        <f t="shared" si="99"/>
        <v>370.71651090342766</v>
      </c>
      <c r="X100" s="619" t="str">
        <f t="shared" si="99"/>
        <v/>
      </c>
      <c r="Y100" s="619" t="str">
        <f t="shared" si="99"/>
        <v/>
      </c>
      <c r="Z100" s="619" t="str">
        <f t="shared" si="99"/>
        <v/>
      </c>
    </row>
    <row r="101" spans="3:26" x14ac:dyDescent="0.25">
      <c r="C101">
        <v>11750</v>
      </c>
      <c r="H101" s="473" t="e" vm="6">
        <v>#VALUE!</v>
      </c>
      <c r="I101" s="474" t="s">
        <v>815</v>
      </c>
      <c r="J101" s="474" t="s">
        <v>816</v>
      </c>
      <c r="K101" s="474" t="s">
        <v>817</v>
      </c>
      <c r="L101" s="544" t="s">
        <v>818</v>
      </c>
      <c r="M101" s="619">
        <f>+IF((M43+M44)&gt;0,M43+M44,"")</f>
        <v>11750</v>
      </c>
      <c r="N101" s="619">
        <f t="shared" ref="N101:Z101" si="100">+IF((N43+N44)&gt;0,N43+N44,"")</f>
        <v>12114.550176247034</v>
      </c>
      <c r="O101" s="619">
        <f t="shared" si="100"/>
        <v>2065.3937346384009</v>
      </c>
      <c r="P101" s="619">
        <f t="shared" si="100"/>
        <v>7765.8356751267929</v>
      </c>
      <c r="Q101" s="619" t="str">
        <f t="shared" si="100"/>
        <v/>
      </c>
      <c r="R101" s="619">
        <f t="shared" si="100"/>
        <v>3932.0151469712755</v>
      </c>
      <c r="S101" s="619" t="str">
        <f t="shared" si="100"/>
        <v/>
      </c>
      <c r="T101" s="619">
        <f t="shared" si="100"/>
        <v>2393.4857372237175</v>
      </c>
      <c r="U101" s="619" t="str">
        <f t="shared" si="100"/>
        <v/>
      </c>
      <c r="V101" s="619">
        <f t="shared" si="100"/>
        <v>440.61628785575977</v>
      </c>
      <c r="W101" s="619" t="str">
        <f t="shared" si="100"/>
        <v/>
      </c>
      <c r="X101" s="619">
        <f t="shared" si="100"/>
        <v>279.75265109735119</v>
      </c>
      <c r="Y101" s="619">
        <f t="shared" si="100"/>
        <v>163.4430828288796</v>
      </c>
      <c r="Z101" s="619" t="str">
        <f t="shared" si="100"/>
        <v/>
      </c>
    </row>
    <row r="102" spans="3:26" x14ac:dyDescent="0.25">
      <c r="C102">
        <v>1500</v>
      </c>
      <c r="H102" s="473" t="e" vm="6">
        <v>#VALUE!</v>
      </c>
      <c r="I102" s="474" t="s">
        <v>815</v>
      </c>
      <c r="J102" s="474" t="s">
        <v>819</v>
      </c>
      <c r="K102" s="474" t="s">
        <v>817</v>
      </c>
      <c r="L102" s="544" t="s">
        <v>820</v>
      </c>
      <c r="M102" s="619">
        <f>+IF(M69="","",M69)</f>
        <v>1500</v>
      </c>
      <c r="N102" s="619">
        <f t="shared" ref="N102:Z102" si="101">+IF(N69="","",N69)</f>
        <v>1369.449727815309</v>
      </c>
      <c r="O102" s="619">
        <f t="shared" si="101"/>
        <v>1555.5355151833155</v>
      </c>
      <c r="P102" s="619">
        <f t="shared" si="101"/>
        <v>1215.2021709188698</v>
      </c>
      <c r="Q102" s="619" t="str">
        <f t="shared" si="101"/>
        <v/>
      </c>
      <c r="R102" s="619" t="str">
        <f t="shared" si="101"/>
        <v/>
      </c>
      <c r="S102" s="619">
        <f t="shared" si="101"/>
        <v>733.31229094248101</v>
      </c>
      <c r="T102" s="619">
        <f t="shared" si="101"/>
        <v>436.58588574801706</v>
      </c>
      <c r="U102" s="619" t="str">
        <f t="shared" si="101"/>
        <v/>
      </c>
      <c r="V102" s="619">
        <f t="shared" si="101"/>
        <v>268.17160752935069</v>
      </c>
      <c r="W102" s="619" t="str">
        <f t="shared" si="101"/>
        <v/>
      </c>
      <c r="X102" s="619">
        <f t="shared" si="101"/>
        <v>185.1265822784826</v>
      </c>
      <c r="Y102" s="619" t="str">
        <f t="shared" si="101"/>
        <v/>
      </c>
      <c r="Z102" s="619" t="str">
        <f t="shared" si="101"/>
        <v/>
      </c>
    </row>
    <row r="103" spans="3:26" x14ac:dyDescent="0.25">
      <c r="C103">
        <v>18000</v>
      </c>
      <c r="H103" s="473" t="e" vm="7">
        <v>#VALUE!</v>
      </c>
      <c r="I103" s="474" t="s">
        <v>815</v>
      </c>
      <c r="J103" s="474" t="s">
        <v>853</v>
      </c>
      <c r="K103" s="474" t="s">
        <v>817</v>
      </c>
      <c r="L103" s="544" t="s">
        <v>854</v>
      </c>
      <c r="M103" s="619">
        <f>+IF(M71="","",M71)</f>
        <v>18000</v>
      </c>
      <c r="N103" s="619">
        <f t="shared" ref="N103:Z103" si="102">+IF(N71="","",N71)</f>
        <v>19200.000000000004</v>
      </c>
      <c r="O103" s="619" t="str">
        <f t="shared" si="102"/>
        <v/>
      </c>
      <c r="P103" s="619">
        <f t="shared" si="102"/>
        <v>16106.66666666667</v>
      </c>
      <c r="Q103" s="619" t="str">
        <f t="shared" si="102"/>
        <v/>
      </c>
      <c r="R103" s="619">
        <f t="shared" si="102"/>
        <v>10560.000000000004</v>
      </c>
      <c r="S103" s="619" t="str">
        <f t="shared" si="102"/>
        <v/>
      </c>
      <c r="T103" s="619">
        <f t="shared" si="102"/>
        <v>6666.6666666666679</v>
      </c>
      <c r="U103" s="619" t="str">
        <f t="shared" si="102"/>
        <v/>
      </c>
      <c r="V103" s="619">
        <f t="shared" si="102"/>
        <v>4640.0000000000036</v>
      </c>
      <c r="W103" s="619" t="str">
        <f t="shared" si="102"/>
        <v/>
      </c>
      <c r="X103" s="619">
        <f t="shared" si="102"/>
        <v>3306.6666666666679</v>
      </c>
      <c r="Y103" s="619" t="str">
        <f t="shared" si="102"/>
        <v/>
      </c>
      <c r="Z103" s="619">
        <f t="shared" si="102"/>
        <v>2293.3333333333358</v>
      </c>
    </row>
    <row r="104" spans="3:26" x14ac:dyDescent="0.25">
      <c r="C104">
        <v>42100</v>
      </c>
      <c r="H104" s="473" t="e" vm="7">
        <v>#VALUE!</v>
      </c>
      <c r="I104" s="474" t="s">
        <v>815</v>
      </c>
      <c r="J104" s="474" t="s">
        <v>855</v>
      </c>
      <c r="K104" s="474" t="s">
        <v>817</v>
      </c>
      <c r="L104" s="544" t="s">
        <v>856</v>
      </c>
      <c r="M104" s="619">
        <f>+IF((M62+M63)&gt;0,M62+M63,"")</f>
        <v>42100</v>
      </c>
      <c r="N104" s="619">
        <f t="shared" ref="N104:Z104" si="103">+IF((N62+N63)&gt;0,N62+N63,"")</f>
        <v>35485.255646809666</v>
      </c>
      <c r="O104" s="619" t="str">
        <f t="shared" si="103"/>
        <v/>
      </c>
      <c r="P104" s="619">
        <f t="shared" si="103"/>
        <v>15691.700499560948</v>
      </c>
      <c r="Q104" s="619" t="str">
        <f t="shared" si="103"/>
        <v/>
      </c>
      <c r="R104" s="619">
        <f t="shared" si="103"/>
        <v>5502.5922564363664</v>
      </c>
      <c r="S104" s="619" t="str">
        <f t="shared" si="103"/>
        <v/>
      </c>
      <c r="T104" s="619">
        <f t="shared" si="103"/>
        <v>2842.1263439074955</v>
      </c>
      <c r="U104" s="619" t="str">
        <f t="shared" si="103"/>
        <v/>
      </c>
      <c r="V104" s="619">
        <f t="shared" si="103"/>
        <v>1743.1409617839599</v>
      </c>
      <c r="W104" s="619" t="str">
        <f t="shared" si="103"/>
        <v/>
      </c>
      <c r="X104" s="619" t="str">
        <f t="shared" si="103"/>
        <v/>
      </c>
      <c r="Y104" s="619" t="str">
        <f t="shared" si="103"/>
        <v/>
      </c>
      <c r="Z104" s="619" t="str">
        <f t="shared" si="103"/>
        <v/>
      </c>
    </row>
    <row r="105" spans="3:26" x14ac:dyDescent="0.25">
      <c r="C105">
        <v>4850</v>
      </c>
      <c r="H105" s="473" t="e" vm="8">
        <v>#VALUE!</v>
      </c>
      <c r="I105" s="474" t="s">
        <v>815</v>
      </c>
      <c r="J105" s="474" t="s">
        <v>829</v>
      </c>
      <c r="K105" s="474" t="s">
        <v>830</v>
      </c>
      <c r="L105" s="544" t="s">
        <v>831</v>
      </c>
      <c r="M105" s="619">
        <f>+IF((M56+M57+M58)&gt;0,M56+M57+M58,"")</f>
        <v>4850</v>
      </c>
      <c r="N105" s="619">
        <f t="shared" ref="N105:Z105" si="104">+IF((N56+N57+N58)&gt;0,N56+N57+N58,"")</f>
        <v>4505.638763216899</v>
      </c>
      <c r="O105" s="619">
        <f t="shared" si="104"/>
        <v>426.82926829268285</v>
      </c>
      <c r="P105" s="619">
        <f t="shared" si="104"/>
        <v>2621.1316846226227</v>
      </c>
      <c r="Q105" s="619">
        <f t="shared" si="104"/>
        <v>170.73170731707319</v>
      </c>
      <c r="R105" s="619">
        <f t="shared" si="104"/>
        <v>1348.6893720793425</v>
      </c>
      <c r="S105" s="619">
        <f t="shared" si="104"/>
        <v>55.487804878048792</v>
      </c>
      <c r="T105" s="619">
        <f t="shared" si="104"/>
        <v>835.95075135984905</v>
      </c>
      <c r="U105" s="619">
        <f t="shared" si="104"/>
        <v>573.20872274143221</v>
      </c>
      <c r="V105" s="619">
        <f t="shared" si="104"/>
        <v>56.323861547350248</v>
      </c>
      <c r="W105" s="619" t="str">
        <f t="shared" si="104"/>
        <v/>
      </c>
      <c r="X105" s="619">
        <f t="shared" si="104"/>
        <v>35.752928200010388</v>
      </c>
      <c r="Y105" s="619" t="str">
        <f t="shared" si="104"/>
        <v/>
      </c>
      <c r="Z105" s="619">
        <f t="shared" si="104"/>
        <v>22.784810126582215</v>
      </c>
    </row>
    <row r="106" spans="3:26" x14ac:dyDescent="0.25">
      <c r="C106">
        <v>4000</v>
      </c>
      <c r="H106" s="473" t="e" vm="8">
        <v>#VALUE!</v>
      </c>
      <c r="I106" s="474" t="s">
        <v>815</v>
      </c>
      <c r="J106" s="474" t="s">
        <v>832</v>
      </c>
      <c r="K106" s="474" t="s">
        <v>830</v>
      </c>
      <c r="L106" s="544" t="s">
        <v>833</v>
      </c>
      <c r="M106" s="619">
        <f>+IF(M68="","",M68)</f>
        <v>4000</v>
      </c>
      <c r="N106" s="619">
        <f t="shared" ref="N106:Z106" si="105">+IF(N68="","",N68)</f>
        <v>3685.1509048868647</v>
      </c>
      <c r="O106" s="619">
        <f t="shared" si="105"/>
        <v>3841.6159807970034</v>
      </c>
      <c r="P106" s="619">
        <f t="shared" si="105"/>
        <v>3234.0636166995537</v>
      </c>
      <c r="Q106" s="619" t="str">
        <f t="shared" si="105"/>
        <v/>
      </c>
      <c r="R106" s="619">
        <f t="shared" si="105"/>
        <v>2400.88284952908</v>
      </c>
      <c r="S106" s="619" t="str">
        <f t="shared" si="105"/>
        <v/>
      </c>
      <c r="T106" s="619">
        <f t="shared" si="105"/>
        <v>1796.8903625650128</v>
      </c>
      <c r="U106" s="619" t="str">
        <f t="shared" si="105"/>
        <v/>
      </c>
      <c r="V106" s="619">
        <f t="shared" si="105"/>
        <v>1422.2556737660816</v>
      </c>
      <c r="W106" s="619" t="str">
        <f t="shared" si="105"/>
        <v/>
      </c>
      <c r="X106" s="619">
        <f t="shared" si="105"/>
        <v>1124.0735843555267</v>
      </c>
      <c r="Y106" s="619" t="str">
        <f t="shared" si="105"/>
        <v/>
      </c>
      <c r="Z106" s="619">
        <f t="shared" si="105"/>
        <v>978.79669372173157</v>
      </c>
    </row>
    <row r="107" spans="3:26" s="1" customFormat="1" x14ac:dyDescent="0.25">
      <c r="C107" s="1">
        <v>4000</v>
      </c>
      <c r="H107" s="473" t="e" vm="8">
        <v>#VALUE!</v>
      </c>
      <c r="I107" s="474" t="s">
        <v>815</v>
      </c>
      <c r="J107" s="474" t="s">
        <v>834</v>
      </c>
      <c r="K107" s="474" t="s">
        <v>830</v>
      </c>
      <c r="L107" s="544" t="s">
        <v>835</v>
      </c>
      <c r="M107" s="619">
        <f>+IF(M70="","",M70)</f>
        <v>4000</v>
      </c>
      <c r="N107" s="619">
        <f t="shared" ref="N107:Z107" si="106">+IF(N70="","",N70)</f>
        <v>3788.1619937694686</v>
      </c>
      <c r="O107" s="619" t="str">
        <f t="shared" si="106"/>
        <v/>
      </c>
      <c r="P107" s="619">
        <f t="shared" si="106"/>
        <v>2847.1394346734687</v>
      </c>
      <c r="Q107" s="619" t="str">
        <f t="shared" si="106"/>
        <v/>
      </c>
      <c r="R107" s="619">
        <f t="shared" si="106"/>
        <v>1707.0015780737667</v>
      </c>
      <c r="S107" s="619" t="str">
        <f t="shared" si="106"/>
        <v/>
      </c>
      <c r="T107" s="619">
        <f t="shared" si="106"/>
        <v>1164.8637378271615</v>
      </c>
      <c r="U107" s="619" t="str">
        <f t="shared" si="106"/>
        <v/>
      </c>
      <c r="V107" s="619">
        <f t="shared" si="106"/>
        <v>871.94708138118222</v>
      </c>
      <c r="W107" s="619" t="str">
        <f t="shared" si="106"/>
        <v/>
      </c>
      <c r="X107" s="619">
        <f t="shared" si="106"/>
        <v>679.11137276064619</v>
      </c>
      <c r="Y107" s="619" t="str">
        <f t="shared" si="106"/>
        <v/>
      </c>
      <c r="Z107" s="619">
        <f t="shared" si="106"/>
        <v>485.75236506651345</v>
      </c>
    </row>
    <row r="108" spans="3:26" s="1" customFormat="1" x14ac:dyDescent="0.25">
      <c r="L108" s="626" t="s">
        <v>1128</v>
      </c>
      <c r="M108" s="619">
        <f>+IF(M72="","",M72)</f>
        <v>468</v>
      </c>
      <c r="N108" s="619">
        <f t="shared" ref="N108:Z108" si="107">+IF(N72="","",N72)</f>
        <v>486.27450980392155</v>
      </c>
      <c r="O108" s="619">
        <f t="shared" si="107"/>
        <v>625.21008403361338</v>
      </c>
      <c r="P108" s="619">
        <f t="shared" si="107"/>
        <v>528.85154061624644</v>
      </c>
      <c r="Q108" s="619" t="str">
        <f t="shared" si="107"/>
        <v/>
      </c>
      <c r="R108" s="619">
        <f t="shared" si="107"/>
        <v>365.26610644257693</v>
      </c>
      <c r="S108" s="619" t="str">
        <f t="shared" si="107"/>
        <v/>
      </c>
      <c r="T108" s="619">
        <f t="shared" si="107"/>
        <v>250.98039215686276</v>
      </c>
      <c r="U108" s="619" t="str">
        <f t="shared" si="107"/>
        <v/>
      </c>
      <c r="V108" s="619">
        <f t="shared" si="107"/>
        <v>174.78991596638662</v>
      </c>
      <c r="W108" s="619" t="str">
        <f t="shared" si="107"/>
        <v/>
      </c>
      <c r="X108" s="619">
        <f t="shared" si="107"/>
        <v>121.00840336134456</v>
      </c>
      <c r="Y108" s="619" t="str">
        <f t="shared" si="107"/>
        <v/>
      </c>
      <c r="Z108" s="619">
        <f t="shared" si="107"/>
        <v>85.154061624649785</v>
      </c>
    </row>
    <row r="109" spans="3:26" s="1" customFormat="1" x14ac:dyDescent="0.25">
      <c r="L109" s="626" t="s">
        <v>1156</v>
      </c>
      <c r="M109" s="619">
        <f t="shared" ref="M109:Z110" si="108">+IF(M73="","",M73)</f>
        <v>1017</v>
      </c>
      <c r="N109" s="619">
        <f t="shared" si="108"/>
        <v>979.88394105492398</v>
      </c>
      <c r="O109" s="619">
        <f t="shared" si="108"/>
        <v>972.0369705893271</v>
      </c>
      <c r="P109" s="619">
        <f t="shared" si="108"/>
        <v>804.11031786293165</v>
      </c>
      <c r="Q109" s="619">
        <f t="shared" si="108"/>
        <v>658.51449499511261</v>
      </c>
      <c r="R109" s="619">
        <f t="shared" si="108"/>
        <v>486.70518800806724</v>
      </c>
      <c r="S109" s="619">
        <f t="shared" si="108"/>
        <v>363.34368542829213</v>
      </c>
      <c r="T109" s="619">
        <f t="shared" si="108"/>
        <v>307.18253919154665</v>
      </c>
      <c r="U109" s="619">
        <f t="shared" si="108"/>
        <v>251.05108820727287</v>
      </c>
      <c r="V109" s="619">
        <f t="shared" si="108"/>
        <v>194.78600858687719</v>
      </c>
      <c r="W109" s="619">
        <f t="shared" si="108"/>
        <v>149.6863438957696</v>
      </c>
      <c r="X109" s="619">
        <f t="shared" si="108"/>
        <v>127.07340913871371</v>
      </c>
      <c r="Y109" s="619">
        <f t="shared" si="108"/>
        <v>104.46047438165806</v>
      </c>
      <c r="Z109" s="619" t="str">
        <f t="shared" si="108"/>
        <v/>
      </c>
    </row>
    <row r="110" spans="3:26" s="1" customFormat="1" x14ac:dyDescent="0.25">
      <c r="L110" s="626" t="s">
        <v>1134</v>
      </c>
      <c r="M110" s="619">
        <f t="shared" si="108"/>
        <v>4600</v>
      </c>
      <c r="N110" s="619">
        <f t="shared" si="108"/>
        <v>4507.6923076923076</v>
      </c>
      <c r="O110" s="619">
        <f t="shared" si="108"/>
        <v>4384.6153846153838</v>
      </c>
      <c r="P110" s="619">
        <f t="shared" si="108"/>
        <v>3738.4615384615381</v>
      </c>
      <c r="Q110" s="619">
        <f t="shared" si="108"/>
        <v>3199.9999999999995</v>
      </c>
      <c r="R110" s="619">
        <f t="shared" si="108"/>
        <v>2538.4615384615381</v>
      </c>
      <c r="S110" s="619">
        <f t="shared" si="108"/>
        <v>2076.9230769230767</v>
      </c>
      <c r="T110" s="619">
        <f t="shared" si="108"/>
        <v>1784.6153846153843</v>
      </c>
      <c r="U110" s="619">
        <f t="shared" si="108"/>
        <v>1538.4615384615381</v>
      </c>
      <c r="V110" s="619">
        <f t="shared" si="108"/>
        <v>1246.1538461538457</v>
      </c>
      <c r="W110" s="619" t="str">
        <f t="shared" si="108"/>
        <v/>
      </c>
      <c r="X110" s="619" t="str">
        <f t="shared" si="108"/>
        <v/>
      </c>
      <c r="Y110" s="619" t="str">
        <f t="shared" si="108"/>
        <v/>
      </c>
      <c r="Z110" s="619" t="str">
        <f t="shared" si="108"/>
        <v/>
      </c>
    </row>
    <row r="111" spans="3:26" s="1" customFormat="1" x14ac:dyDescent="0.25">
      <c r="M111" s="617"/>
      <c r="N111" s="618"/>
      <c r="O111" s="618"/>
      <c r="P111" s="618"/>
      <c r="Q111" s="618"/>
      <c r="R111" s="618"/>
      <c r="S111" s="618"/>
      <c r="T111" s="618"/>
      <c r="U111" s="618"/>
      <c r="V111" s="618"/>
      <c r="W111" s="618"/>
      <c r="X111" s="618"/>
      <c r="Y111" s="618"/>
      <c r="Z111" s="618"/>
    </row>
    <row r="112" spans="3:26" s="1" customFormat="1" x14ac:dyDescent="0.25">
      <c r="M112" s="620"/>
      <c r="N112" s="618"/>
      <c r="O112" s="618"/>
      <c r="P112" s="618"/>
      <c r="Q112" s="618"/>
      <c r="R112" s="618"/>
      <c r="S112" s="618"/>
      <c r="T112" s="618"/>
      <c r="U112" s="618"/>
      <c r="V112" s="618"/>
      <c r="W112" s="618"/>
      <c r="X112" s="618"/>
      <c r="Y112" s="618"/>
      <c r="Z112" s="618"/>
    </row>
    <row r="113" spans="12:26" s="1" customFormat="1" x14ac:dyDescent="0.25">
      <c r="M113" s="617"/>
      <c r="N113" s="618"/>
      <c r="O113" s="618"/>
      <c r="P113" s="618"/>
      <c r="Q113" s="618"/>
      <c r="R113" s="618"/>
      <c r="S113" s="618"/>
      <c r="T113" s="618"/>
      <c r="U113" s="618"/>
      <c r="V113" s="618"/>
      <c r="W113" s="618"/>
      <c r="X113" s="618"/>
      <c r="Y113" s="618"/>
      <c r="Z113" s="618"/>
    </row>
    <row r="114" spans="12:26" s="1" customFormat="1" x14ac:dyDescent="0.25">
      <c r="M114" s="617"/>
      <c r="N114" s="618"/>
      <c r="O114" s="618"/>
      <c r="P114" s="618"/>
      <c r="Q114" s="618"/>
      <c r="R114" s="618"/>
      <c r="S114" s="618"/>
      <c r="T114" s="618"/>
      <c r="U114" s="618"/>
      <c r="V114" s="618"/>
      <c r="W114" s="618"/>
      <c r="X114" s="618"/>
      <c r="Y114" s="618"/>
      <c r="Z114" s="618"/>
    </row>
    <row r="115" spans="12:26" s="1" customFormat="1" ht="15.75" x14ac:dyDescent="0.25">
      <c r="L115" s="292"/>
      <c r="M115" s="599"/>
      <c r="N115" s="903" t="s">
        <v>1014</v>
      </c>
      <c r="O115" s="903"/>
      <c r="P115" s="903"/>
      <c r="Q115" s="903"/>
      <c r="R115" s="903"/>
      <c r="S115" s="903"/>
      <c r="T115" s="903"/>
      <c r="U115" s="903"/>
      <c r="V115" s="903"/>
      <c r="W115" s="903"/>
      <c r="X115" s="599"/>
      <c r="Y115" s="599"/>
      <c r="Z115" s="599"/>
    </row>
    <row r="116" spans="12:26" s="1" customFormat="1" ht="18.75" x14ac:dyDescent="0.25">
      <c r="L116" s="512" t="s">
        <v>799</v>
      </c>
      <c r="M116" s="615">
        <v>2019</v>
      </c>
      <c r="N116" s="616">
        <v>2020</v>
      </c>
      <c r="O116" s="616">
        <v>2023</v>
      </c>
      <c r="P116" s="616">
        <v>2025</v>
      </c>
      <c r="Q116" s="616">
        <v>2027</v>
      </c>
      <c r="R116" s="616">
        <v>2030</v>
      </c>
      <c r="S116" s="616">
        <v>2033</v>
      </c>
      <c r="T116" s="616">
        <v>2035</v>
      </c>
      <c r="U116" s="616">
        <v>2037</v>
      </c>
      <c r="V116" s="616">
        <v>2040</v>
      </c>
      <c r="W116" s="616">
        <v>2043</v>
      </c>
      <c r="X116" s="616">
        <v>2045</v>
      </c>
      <c r="Y116" s="616">
        <v>2047</v>
      </c>
      <c r="Z116" s="616">
        <v>2050</v>
      </c>
    </row>
    <row r="117" spans="12:26" s="1" customFormat="1" x14ac:dyDescent="0.25">
      <c r="L117" s="544" t="s">
        <v>838</v>
      </c>
      <c r="M117" s="621">
        <f t="shared" ref="M117" si="109">IF(M88="","",M88/$M88)</f>
        <v>1</v>
      </c>
      <c r="N117" s="621">
        <f>IF(N88="","",N88/$M88)</f>
        <v>0.71052932339295627</v>
      </c>
      <c r="O117" s="621" t="str">
        <f t="shared" ref="O117:Z117" si="110">IF(O88="","",O88/$M88)</f>
        <v/>
      </c>
      <c r="P117" s="621">
        <f t="shared" si="110"/>
        <v>0.46585162646401629</v>
      </c>
      <c r="Q117" s="621">
        <f t="shared" si="110"/>
        <v>0.36502891178716357</v>
      </c>
      <c r="R117" s="621" t="str">
        <f t="shared" si="110"/>
        <v/>
      </c>
      <c r="S117" s="621" t="str">
        <f t="shared" si="110"/>
        <v/>
      </c>
      <c r="T117" s="621" t="str">
        <f t="shared" si="110"/>
        <v/>
      </c>
      <c r="U117" s="621" t="str">
        <f t="shared" si="110"/>
        <v/>
      </c>
      <c r="V117" s="621" t="str">
        <f t="shared" si="110"/>
        <v/>
      </c>
      <c r="W117" s="621" t="str">
        <f t="shared" si="110"/>
        <v/>
      </c>
      <c r="X117" s="621" t="str">
        <f t="shared" si="110"/>
        <v/>
      </c>
      <c r="Y117" s="621" t="str">
        <f t="shared" si="110"/>
        <v/>
      </c>
      <c r="Z117" s="621" t="str">
        <f t="shared" si="110"/>
        <v/>
      </c>
    </row>
    <row r="118" spans="12:26" s="1" customFormat="1" x14ac:dyDescent="0.25">
      <c r="L118" s="544" t="s">
        <v>839</v>
      </c>
      <c r="M118" s="621">
        <f t="shared" ref="M118" si="111">IF(M89="","",M89/$M89)</f>
        <v>1</v>
      </c>
      <c r="N118" s="621">
        <f t="shared" ref="N118:Z118" si="112">IF(N89="","",N89/$M89)</f>
        <v>0.71685328526162295</v>
      </c>
      <c r="O118" s="621">
        <f t="shared" si="112"/>
        <v>1.0757259540778876</v>
      </c>
      <c r="P118" s="621">
        <f t="shared" si="112"/>
        <v>0.77263629352239904</v>
      </c>
      <c r="Q118" s="621">
        <f t="shared" si="112"/>
        <v>0.67891132441900459</v>
      </c>
      <c r="R118" s="621">
        <f t="shared" si="112"/>
        <v>0.61682447940381147</v>
      </c>
      <c r="S118" s="621">
        <f t="shared" si="112"/>
        <v>0.42940427627605338</v>
      </c>
      <c r="T118" s="621">
        <f t="shared" si="112"/>
        <v>0.33576851240974936</v>
      </c>
      <c r="U118" s="621">
        <f t="shared" si="112"/>
        <v>0.27368166739455629</v>
      </c>
      <c r="V118" s="621" t="str">
        <f t="shared" si="112"/>
        <v/>
      </c>
      <c r="W118" s="621" t="str">
        <f t="shared" si="112"/>
        <v/>
      </c>
      <c r="X118" s="621" t="str">
        <f t="shared" si="112"/>
        <v/>
      </c>
      <c r="Y118" s="621" t="str">
        <f t="shared" si="112"/>
        <v/>
      </c>
      <c r="Z118" s="621" t="str">
        <f t="shared" si="112"/>
        <v/>
      </c>
    </row>
    <row r="119" spans="12:26" s="1" customFormat="1" x14ac:dyDescent="0.25">
      <c r="L119" s="544" t="s">
        <v>850</v>
      </c>
      <c r="M119" s="621">
        <f t="shared" ref="M119" si="113">IF(M90="","",M90/$M90)</f>
        <v>1</v>
      </c>
      <c r="N119" s="621">
        <f t="shared" ref="N119:Z119" si="114">IF(N90="","",N90/$M90)</f>
        <v>0.95820762096323608</v>
      </c>
      <c r="O119" s="621">
        <f t="shared" si="114"/>
        <v>0.30506201810258143</v>
      </c>
      <c r="P119" s="621">
        <f t="shared" si="114"/>
        <v>0.16426416359369764</v>
      </c>
      <c r="Q119" s="621">
        <f t="shared" si="114"/>
        <v>8.2132081796848902E-2</v>
      </c>
      <c r="R119" s="621" t="str">
        <f t="shared" si="114"/>
        <v/>
      </c>
      <c r="S119" s="621" t="str">
        <f t="shared" si="114"/>
        <v/>
      </c>
      <c r="T119" s="621" t="str">
        <f t="shared" si="114"/>
        <v/>
      </c>
      <c r="U119" s="621" t="str">
        <f t="shared" si="114"/>
        <v/>
      </c>
      <c r="V119" s="621" t="str">
        <f t="shared" si="114"/>
        <v/>
      </c>
      <c r="W119" s="621" t="str">
        <f t="shared" si="114"/>
        <v/>
      </c>
      <c r="X119" s="621" t="str">
        <f t="shared" si="114"/>
        <v/>
      </c>
      <c r="Y119" s="621" t="str">
        <f t="shared" si="114"/>
        <v/>
      </c>
      <c r="Z119" s="621" t="str">
        <f t="shared" si="114"/>
        <v/>
      </c>
    </row>
    <row r="120" spans="12:26" s="1" customFormat="1" ht="30" x14ac:dyDescent="0.25">
      <c r="L120" s="544" t="s">
        <v>823</v>
      </c>
      <c r="M120" s="621">
        <f t="shared" ref="M120" si="115">IF(M91="","",M91/$M91)</f>
        <v>1</v>
      </c>
      <c r="N120" s="621">
        <f t="shared" ref="N120:Z120" si="116">IF(N91="","",N91/$M91)</f>
        <v>1.1460583239097806</v>
      </c>
      <c r="O120" s="621">
        <f t="shared" si="116"/>
        <v>1.0267765189182025</v>
      </c>
      <c r="P120" s="621">
        <f t="shared" si="116"/>
        <v>0.79637254256474788</v>
      </c>
      <c r="Q120" s="621" t="str">
        <f t="shared" si="116"/>
        <v/>
      </c>
      <c r="R120" s="621">
        <f t="shared" si="116"/>
        <v>0.47344007604199378</v>
      </c>
      <c r="S120" s="621" t="str">
        <f t="shared" si="116"/>
        <v/>
      </c>
      <c r="T120" s="621">
        <f t="shared" si="116"/>
        <v>0.27316919469874357</v>
      </c>
      <c r="U120" s="621" t="str">
        <f t="shared" si="116"/>
        <v/>
      </c>
      <c r="V120" s="621">
        <f t="shared" si="116"/>
        <v>0.10260539330343703</v>
      </c>
      <c r="W120" s="621" t="str">
        <f t="shared" si="116"/>
        <v/>
      </c>
      <c r="X120" s="621">
        <f t="shared" si="116"/>
        <v>6.9465448498731056E-2</v>
      </c>
      <c r="Y120" s="621" t="str">
        <f t="shared" si="116"/>
        <v/>
      </c>
      <c r="Z120" s="621">
        <f t="shared" si="116"/>
        <v>5.1421873655740524E-2</v>
      </c>
    </row>
    <row r="121" spans="12:26" s="1" customFormat="1" x14ac:dyDescent="0.25">
      <c r="L121" s="544" t="s">
        <v>825</v>
      </c>
      <c r="M121" s="621">
        <f t="shared" ref="M121" si="117">IF(M92="","",M92/$M92)</f>
        <v>1</v>
      </c>
      <c r="N121" s="621">
        <f t="shared" ref="N121:Z121" si="118">IF(N92="","",N92/$M92)</f>
        <v>0.86406008870132311</v>
      </c>
      <c r="O121" s="621" t="str">
        <f t="shared" si="118"/>
        <v/>
      </c>
      <c r="P121" s="621">
        <f t="shared" si="118"/>
        <v>0.45558055767282019</v>
      </c>
      <c r="Q121" s="621" t="str">
        <f t="shared" si="118"/>
        <v/>
      </c>
      <c r="R121" s="621" t="str">
        <f t="shared" si="118"/>
        <v/>
      </c>
      <c r="S121" s="621" t="str">
        <f t="shared" si="118"/>
        <v/>
      </c>
      <c r="T121" s="621" t="str">
        <f t="shared" si="118"/>
        <v/>
      </c>
      <c r="U121" s="621" t="str">
        <f t="shared" si="118"/>
        <v/>
      </c>
      <c r="V121" s="621" t="str">
        <f t="shared" si="118"/>
        <v/>
      </c>
      <c r="W121" s="621" t="str">
        <f t="shared" si="118"/>
        <v/>
      </c>
      <c r="X121" s="621" t="str">
        <f t="shared" si="118"/>
        <v/>
      </c>
      <c r="Y121" s="621" t="str">
        <f t="shared" si="118"/>
        <v/>
      </c>
      <c r="Z121" s="621" t="str">
        <f t="shared" si="118"/>
        <v/>
      </c>
    </row>
    <row r="122" spans="12:26" s="1" customFormat="1" x14ac:dyDescent="0.25">
      <c r="L122" s="544" t="s">
        <v>827</v>
      </c>
      <c r="M122" s="621">
        <f t="shared" ref="M122" si="119">IF(M93="","",M93/$M93)</f>
        <v>1</v>
      </c>
      <c r="N122" s="621">
        <f t="shared" ref="N122:Z122" si="120">IF(N93="","",N93/$M93)</f>
        <v>0.96044449526690401</v>
      </c>
      <c r="O122" s="621">
        <f t="shared" si="120"/>
        <v>0.76403745377837917</v>
      </c>
      <c r="P122" s="621">
        <f t="shared" si="120"/>
        <v>0.56021621253703868</v>
      </c>
      <c r="Q122" s="621">
        <f t="shared" si="120"/>
        <v>0.34268343632583909</v>
      </c>
      <c r="R122" s="621">
        <f t="shared" si="120"/>
        <v>0.2529654007733238</v>
      </c>
      <c r="S122" s="621">
        <f t="shared" si="120"/>
        <v>0.17520746156244088</v>
      </c>
      <c r="T122" s="621">
        <f t="shared" si="120"/>
        <v>0.130609198619274</v>
      </c>
      <c r="U122" s="621">
        <f t="shared" si="120"/>
        <v>9.8753296517011979E-2</v>
      </c>
      <c r="V122" s="621">
        <f t="shared" si="120"/>
        <v>7.3268574835202507E-2</v>
      </c>
      <c r="W122" s="621" t="str">
        <f t="shared" si="120"/>
        <v/>
      </c>
      <c r="X122" s="621" t="str">
        <f t="shared" si="120"/>
        <v/>
      </c>
      <c r="Y122" s="621" t="str">
        <f t="shared" si="120"/>
        <v/>
      </c>
      <c r="Z122" s="621" t="str">
        <f t="shared" si="120"/>
        <v/>
      </c>
    </row>
    <row r="123" spans="12:26" s="1" customFormat="1" x14ac:dyDescent="0.25">
      <c r="L123" s="544" t="s">
        <v>828</v>
      </c>
      <c r="M123" s="621">
        <f t="shared" ref="M123" si="121">IF(M94="","",M94/$M94)</f>
        <v>1</v>
      </c>
      <c r="N123" s="621">
        <f t="shared" ref="N123:Z123" si="122">IF(N94="","",N94/$M94)</f>
        <v>0.7022515504416712</v>
      </c>
      <c r="O123" s="621">
        <f t="shared" si="122"/>
        <v>0.58616858919918358</v>
      </c>
      <c r="P123" s="621">
        <f t="shared" si="122"/>
        <v>0.42817637636521416</v>
      </c>
      <c r="Q123" s="621">
        <f t="shared" si="122"/>
        <v>9.1480351034879059E-2</v>
      </c>
      <c r="R123" s="621">
        <f t="shared" si="122"/>
        <v>0.21313263520085107</v>
      </c>
      <c r="S123" s="621" t="str">
        <f t="shared" si="122"/>
        <v/>
      </c>
      <c r="T123" s="621">
        <f t="shared" si="122"/>
        <v>0.10189613777718962</v>
      </c>
      <c r="U123" s="621" t="str">
        <f t="shared" si="122"/>
        <v/>
      </c>
      <c r="V123" s="621">
        <f t="shared" si="122"/>
        <v>7.2782955555135476E-2</v>
      </c>
      <c r="W123" s="621" t="str">
        <f t="shared" si="122"/>
        <v/>
      </c>
      <c r="X123" s="621">
        <f t="shared" si="122"/>
        <v>5.2933058585553035E-2</v>
      </c>
      <c r="Y123" s="621" t="str">
        <f t="shared" si="122"/>
        <v/>
      </c>
      <c r="Z123" s="621">
        <f t="shared" si="122"/>
        <v>3.7053141009887144E-2</v>
      </c>
    </row>
    <row r="124" spans="12:26" s="1" customFormat="1" x14ac:dyDescent="0.25">
      <c r="L124" s="544" t="s">
        <v>841</v>
      </c>
      <c r="M124" s="621">
        <f t="shared" ref="M124" si="123">IF(M95="","",M95/$M95)</f>
        <v>1</v>
      </c>
      <c r="N124" s="621">
        <f t="shared" ref="N124:Z124" si="124">IF(N95="","",N95/$M95)</f>
        <v>0.94294294294294301</v>
      </c>
      <c r="O124" s="621" t="str">
        <f t="shared" si="124"/>
        <v/>
      </c>
      <c r="P124" s="621">
        <f t="shared" si="124"/>
        <v>0.63063063063063063</v>
      </c>
      <c r="Q124" s="621" t="str">
        <f t="shared" si="124"/>
        <v/>
      </c>
      <c r="R124" s="621">
        <f t="shared" si="124"/>
        <v>0.33033033033033032</v>
      </c>
      <c r="S124" s="621" t="str">
        <f t="shared" si="124"/>
        <v/>
      </c>
      <c r="T124" s="621">
        <f t="shared" si="124"/>
        <v>0.21021021021021014</v>
      </c>
      <c r="U124" s="621" t="str">
        <f t="shared" si="124"/>
        <v/>
      </c>
      <c r="V124" s="621" t="str">
        <f t="shared" si="124"/>
        <v/>
      </c>
      <c r="W124" s="621" t="str">
        <f t="shared" si="124"/>
        <v/>
      </c>
      <c r="X124" s="621" t="str">
        <f t="shared" si="124"/>
        <v/>
      </c>
      <c r="Y124" s="621" t="str">
        <f t="shared" si="124"/>
        <v/>
      </c>
      <c r="Z124" s="621" t="str">
        <f t="shared" si="124"/>
        <v/>
      </c>
    </row>
    <row r="125" spans="12:26" s="1" customFormat="1" x14ac:dyDescent="0.25">
      <c r="L125" s="544" t="s">
        <v>843</v>
      </c>
      <c r="M125" s="621">
        <f t="shared" ref="M125" si="125">IF(M96="","",M96/$M96)</f>
        <v>1</v>
      </c>
      <c r="N125" s="621">
        <f t="shared" ref="N125:Z125" si="126">IF(N96="","",N96/$M96)</f>
        <v>1.0012894214427195</v>
      </c>
      <c r="O125" s="621">
        <f t="shared" si="126"/>
        <v>0.35607871645765971</v>
      </c>
      <c r="P125" s="621">
        <f t="shared" si="126"/>
        <v>0.33763385686230518</v>
      </c>
      <c r="Q125" s="621" t="str">
        <f t="shared" si="126"/>
        <v/>
      </c>
      <c r="R125" s="621">
        <f t="shared" si="126"/>
        <v>0.49761789504066278</v>
      </c>
      <c r="S125" s="621" t="str">
        <f t="shared" si="126"/>
        <v/>
      </c>
      <c r="T125" s="621">
        <f>IF(T96="","",T96/$M96)</f>
        <v>0.12629478276421213</v>
      </c>
      <c r="U125" s="621">
        <f>IF(U96="","",U96/$M96)</f>
        <v>6.1426571134911363E-4</v>
      </c>
      <c r="V125" s="621">
        <f t="shared" si="126"/>
        <v>0.23507508782112307</v>
      </c>
      <c r="W125" s="621" t="str">
        <f t="shared" si="126"/>
        <v/>
      </c>
      <c r="X125" s="621" t="str">
        <f t="shared" si="126"/>
        <v/>
      </c>
      <c r="Y125" s="621" t="str">
        <f t="shared" si="126"/>
        <v/>
      </c>
      <c r="Z125" s="621">
        <f t="shared" si="126"/>
        <v>0.18857198140150916</v>
      </c>
    </row>
    <row r="126" spans="12:26" s="1" customFormat="1" x14ac:dyDescent="0.25">
      <c r="L126" s="544" t="s">
        <v>845</v>
      </c>
      <c r="M126" s="621">
        <f t="shared" ref="M126" si="127">IF(M97="","",M97/$M97)</f>
        <v>1</v>
      </c>
      <c r="N126" s="621">
        <f t="shared" ref="N126:Z126" si="128">IF(N97="","",N97/$M97)</f>
        <v>0.99883325263017586</v>
      </c>
      <c r="O126" s="621">
        <f t="shared" si="128"/>
        <v>0.31004372934454411</v>
      </c>
      <c r="P126" s="621">
        <f t="shared" si="128"/>
        <v>0.75559988665176769</v>
      </c>
      <c r="Q126" s="621" t="str">
        <f t="shared" si="128"/>
        <v/>
      </c>
      <c r="R126" s="621">
        <f t="shared" si="128"/>
        <v>0.44844083318521072</v>
      </c>
      <c r="S126" s="621">
        <f t="shared" si="128"/>
        <v>0.23566011593627384</v>
      </c>
      <c r="T126" s="621">
        <f t="shared" si="128"/>
        <v>0.29475321316119518</v>
      </c>
      <c r="U126" s="621">
        <f t="shared" si="128"/>
        <v>0.12183883735686001</v>
      </c>
      <c r="V126" s="621">
        <f t="shared" si="128"/>
        <v>8.2698295562446456E-2</v>
      </c>
      <c r="W126" s="621">
        <f t="shared" si="128"/>
        <v>6.2815527422288242E-2</v>
      </c>
      <c r="X126" s="621" t="str">
        <f t="shared" si="128"/>
        <v/>
      </c>
      <c r="Y126" s="621" t="str">
        <f t="shared" si="128"/>
        <v/>
      </c>
      <c r="Z126" s="621" t="str">
        <f t="shared" si="128"/>
        <v/>
      </c>
    </row>
    <row r="127" spans="12:26" s="1" customFormat="1" x14ac:dyDescent="0.25">
      <c r="L127" s="544" t="s">
        <v>846</v>
      </c>
      <c r="M127" s="621">
        <f t="shared" ref="M127" si="129">IF(M98="","",M98/$M98)</f>
        <v>1</v>
      </c>
      <c r="N127" s="621">
        <f t="shared" ref="N127:Z127" si="130">IF(N98="","",N98/$M98)</f>
        <v>0.50474547023295946</v>
      </c>
      <c r="O127" s="621">
        <f t="shared" si="130"/>
        <v>1.0008628127696291</v>
      </c>
      <c r="P127" s="621">
        <f t="shared" si="130"/>
        <v>0.84555651423641076</v>
      </c>
      <c r="Q127" s="621" t="str">
        <f t="shared" si="130"/>
        <v/>
      </c>
      <c r="R127" s="621">
        <f t="shared" si="130"/>
        <v>0.58239861949956873</v>
      </c>
      <c r="S127" s="621" t="str">
        <f t="shared" si="130"/>
        <v/>
      </c>
      <c r="T127" s="621">
        <f t="shared" si="130"/>
        <v>0.40983606557377061</v>
      </c>
      <c r="U127" s="621" t="str">
        <f t="shared" si="130"/>
        <v/>
      </c>
      <c r="V127" s="621">
        <f t="shared" si="130"/>
        <v>0.28472821397756687</v>
      </c>
      <c r="W127" s="621" t="str">
        <f t="shared" si="130"/>
        <v/>
      </c>
      <c r="X127" s="621">
        <f t="shared" si="130"/>
        <v>0.20276100086281287</v>
      </c>
      <c r="Y127" s="621">
        <f t="shared" si="130"/>
        <v>0.16393442622950821</v>
      </c>
      <c r="Z127" s="621" t="str">
        <f t="shared" si="130"/>
        <v/>
      </c>
    </row>
    <row r="128" spans="12:26" s="1" customFormat="1" x14ac:dyDescent="0.25">
      <c r="L128" s="544" t="s">
        <v>848</v>
      </c>
      <c r="M128" s="621">
        <f t="shared" ref="M128" si="131">IF(M99="","",M99/$M99)</f>
        <v>1</v>
      </c>
      <c r="N128" s="621">
        <f t="shared" ref="N128:Z128" si="132">IF(N99="","",N99/$M99)</f>
        <v>0.78056545109387754</v>
      </c>
      <c r="O128" s="621">
        <f t="shared" si="132"/>
        <v>0.34412371581696649</v>
      </c>
      <c r="P128" s="621">
        <f t="shared" si="132"/>
        <v>0.21704492141316459</v>
      </c>
      <c r="Q128" s="621" t="str">
        <f t="shared" si="132"/>
        <v/>
      </c>
      <c r="R128" s="621">
        <f t="shared" si="132"/>
        <v>0.10534422246412935</v>
      </c>
      <c r="S128" s="621" t="str">
        <f t="shared" si="132"/>
        <v/>
      </c>
      <c r="T128" s="621">
        <f t="shared" si="132"/>
        <v>2.9297241699206451E-2</v>
      </c>
      <c r="U128" s="621" t="str">
        <f t="shared" si="132"/>
        <v/>
      </c>
      <c r="V128" s="621">
        <f t="shared" si="132"/>
        <v>1.4232365375775069E-2</v>
      </c>
      <c r="W128" s="621" t="str">
        <f t="shared" si="132"/>
        <v/>
      </c>
      <c r="X128" s="621" t="str">
        <f t="shared" si="132"/>
        <v/>
      </c>
      <c r="Y128" s="621" t="str">
        <f t="shared" si="132"/>
        <v/>
      </c>
      <c r="Z128" s="621" t="str">
        <f t="shared" si="132"/>
        <v/>
      </c>
    </row>
    <row r="129" spans="12:26" s="1" customFormat="1" x14ac:dyDescent="0.25">
      <c r="L129" s="544" t="s">
        <v>851</v>
      </c>
      <c r="M129" s="621">
        <f t="shared" ref="M129" si="133">IF(M100="","",M100/$M100)</f>
        <v>1</v>
      </c>
      <c r="N129" s="621">
        <f t="shared" ref="N129:Z129" si="134">IF(N100="","",N100/$M100)</f>
        <v>0.94496365524402925</v>
      </c>
      <c r="O129" s="621" t="str">
        <f t="shared" si="134"/>
        <v/>
      </c>
      <c r="P129" s="621">
        <f t="shared" si="134"/>
        <v>0.73727933541017676</v>
      </c>
      <c r="Q129" s="621" t="str">
        <f t="shared" si="134"/>
        <v/>
      </c>
      <c r="R129" s="621">
        <f t="shared" si="134"/>
        <v>0.44652128764278304</v>
      </c>
      <c r="S129" s="621" t="str">
        <f t="shared" si="134"/>
        <v/>
      </c>
      <c r="T129" s="621">
        <f t="shared" si="134"/>
        <v>0.30114226375908659</v>
      </c>
      <c r="U129" s="621" t="str">
        <f t="shared" si="134"/>
        <v/>
      </c>
      <c r="V129" s="621">
        <f t="shared" si="134"/>
        <v>0.1973001038421604</v>
      </c>
      <c r="W129" s="621">
        <f t="shared" si="134"/>
        <v>0.17653167185877508</v>
      </c>
      <c r="X129" s="621" t="str">
        <f t="shared" si="134"/>
        <v/>
      </c>
      <c r="Y129" s="621" t="str">
        <f t="shared" si="134"/>
        <v/>
      </c>
      <c r="Z129" s="621" t="str">
        <f t="shared" si="134"/>
        <v/>
      </c>
    </row>
    <row r="130" spans="12:26" s="1" customFormat="1" x14ac:dyDescent="0.25">
      <c r="L130" s="544" t="s">
        <v>818</v>
      </c>
      <c r="M130" s="621">
        <f t="shared" ref="M130" si="135">IF(M101="","",M101/$M101)</f>
        <v>1</v>
      </c>
      <c r="N130" s="621">
        <f t="shared" ref="N130:Z130" si="136">IF(N101="","",N101/$M101)</f>
        <v>1.0310255469146412</v>
      </c>
      <c r="O130" s="621">
        <f t="shared" si="136"/>
        <v>0.17577819018199156</v>
      </c>
      <c r="P130" s="621">
        <f t="shared" si="136"/>
        <v>0.66092218511717382</v>
      </c>
      <c r="Q130" s="621" t="str">
        <f t="shared" si="136"/>
        <v/>
      </c>
      <c r="R130" s="621">
        <f t="shared" si="136"/>
        <v>0.33463958697627877</v>
      </c>
      <c r="S130" s="621" t="str">
        <f t="shared" si="136"/>
        <v/>
      </c>
      <c r="T130" s="621">
        <f t="shared" si="136"/>
        <v>0.20370091380627384</v>
      </c>
      <c r="U130" s="621" t="str">
        <f t="shared" si="136"/>
        <v/>
      </c>
      <c r="V130" s="621">
        <f t="shared" si="136"/>
        <v>3.7499258540915723E-2</v>
      </c>
      <c r="W130" s="621" t="str">
        <f t="shared" si="136"/>
        <v/>
      </c>
      <c r="X130" s="621">
        <f t="shared" si="136"/>
        <v>2.3808736263604358E-2</v>
      </c>
      <c r="Y130" s="621">
        <f t="shared" si="136"/>
        <v>1.3910049602457838E-2</v>
      </c>
      <c r="Z130" s="621" t="str">
        <f t="shared" si="136"/>
        <v/>
      </c>
    </row>
    <row r="131" spans="12:26" s="1" customFormat="1" x14ac:dyDescent="0.25">
      <c r="L131" s="544" t="s">
        <v>820</v>
      </c>
      <c r="M131" s="621">
        <f t="shared" ref="M131" si="137">IF(M102="","",M102/$M102)</f>
        <v>1</v>
      </c>
      <c r="N131" s="621">
        <f t="shared" ref="N131:Z131" si="138">IF(N102="","",N102/$M102)</f>
        <v>0.91296648521020596</v>
      </c>
      <c r="O131" s="621">
        <f t="shared" si="138"/>
        <v>1.037023676788877</v>
      </c>
      <c r="P131" s="621">
        <f t="shared" si="138"/>
        <v>0.81013478061257982</v>
      </c>
      <c r="Q131" s="621" t="str">
        <f t="shared" si="138"/>
        <v/>
      </c>
      <c r="R131" s="621" t="str">
        <f t="shared" si="138"/>
        <v/>
      </c>
      <c r="S131" s="621">
        <f t="shared" si="138"/>
        <v>0.4888748606283207</v>
      </c>
      <c r="T131" s="621">
        <f t="shared" si="138"/>
        <v>0.2910572571653447</v>
      </c>
      <c r="U131" s="621" t="str">
        <f t="shared" si="138"/>
        <v/>
      </c>
      <c r="V131" s="621">
        <f t="shared" si="138"/>
        <v>0.17878107168623381</v>
      </c>
      <c r="W131" s="621" t="str">
        <f t="shared" si="138"/>
        <v/>
      </c>
      <c r="X131" s="621">
        <f t="shared" si="138"/>
        <v>0.1234177215189884</v>
      </c>
      <c r="Y131" s="621" t="str">
        <f t="shared" si="138"/>
        <v/>
      </c>
      <c r="Z131" s="621" t="str">
        <f t="shared" si="138"/>
        <v/>
      </c>
    </row>
    <row r="132" spans="12:26" s="1" customFormat="1" x14ac:dyDescent="0.25">
      <c r="L132" s="544" t="s">
        <v>854</v>
      </c>
      <c r="M132" s="621">
        <f t="shared" ref="M132" si="139">IF(M103="","",M103/$M103)</f>
        <v>1</v>
      </c>
      <c r="N132" s="621">
        <f t="shared" ref="N132:Z132" si="140">IF(N103="","",N103/$M103)</f>
        <v>1.0666666666666669</v>
      </c>
      <c r="O132" s="621" t="str">
        <f t="shared" si="140"/>
        <v/>
      </c>
      <c r="P132" s="621">
        <f t="shared" si="140"/>
        <v>0.89481481481481495</v>
      </c>
      <c r="Q132" s="621" t="str">
        <f t="shared" si="140"/>
        <v/>
      </c>
      <c r="R132" s="621">
        <f t="shared" si="140"/>
        <v>0.58666666666666689</v>
      </c>
      <c r="S132" s="621" t="str">
        <f t="shared" si="140"/>
        <v/>
      </c>
      <c r="T132" s="621">
        <f t="shared" si="140"/>
        <v>0.37037037037037046</v>
      </c>
      <c r="U132" s="621" t="str">
        <f t="shared" si="140"/>
        <v/>
      </c>
      <c r="V132" s="621">
        <f t="shared" si="140"/>
        <v>0.25777777777777799</v>
      </c>
      <c r="W132" s="621" t="str">
        <f t="shared" si="140"/>
        <v/>
      </c>
      <c r="X132" s="621">
        <f t="shared" si="140"/>
        <v>0.18370370370370376</v>
      </c>
      <c r="Y132" s="621" t="str">
        <f t="shared" si="140"/>
        <v/>
      </c>
      <c r="Z132" s="621">
        <f t="shared" si="140"/>
        <v>0.12740740740740755</v>
      </c>
    </row>
    <row r="133" spans="12:26" s="1" customFormat="1" x14ac:dyDescent="0.25">
      <c r="L133" s="544" t="s">
        <v>856</v>
      </c>
      <c r="M133" s="621">
        <f t="shared" ref="M133" si="141">IF(M104="","",M104/$M104)</f>
        <v>1</v>
      </c>
      <c r="N133" s="621">
        <f t="shared" ref="N133:Z133" si="142">IF(N104="","",N104/$M104)</f>
        <v>0.8428801816344339</v>
      </c>
      <c r="O133" s="621" t="str">
        <f t="shared" si="142"/>
        <v/>
      </c>
      <c r="P133" s="621">
        <f t="shared" si="142"/>
        <v>0.37272447742425052</v>
      </c>
      <c r="Q133" s="621" t="str">
        <f t="shared" si="142"/>
        <v/>
      </c>
      <c r="R133" s="621">
        <f t="shared" si="142"/>
        <v>0.13070290395335787</v>
      </c>
      <c r="S133" s="621" t="str">
        <f t="shared" si="142"/>
        <v/>
      </c>
      <c r="T133" s="621">
        <f t="shared" si="142"/>
        <v>6.7508939285213676E-2</v>
      </c>
      <c r="U133" s="621" t="str">
        <f t="shared" si="142"/>
        <v/>
      </c>
      <c r="V133" s="621">
        <f t="shared" si="142"/>
        <v>4.1404773439048928E-2</v>
      </c>
      <c r="W133" s="621" t="str">
        <f t="shared" si="142"/>
        <v/>
      </c>
      <c r="X133" s="621" t="str">
        <f t="shared" si="142"/>
        <v/>
      </c>
      <c r="Y133" s="621" t="str">
        <f t="shared" si="142"/>
        <v/>
      </c>
      <c r="Z133" s="621" t="str">
        <f t="shared" si="142"/>
        <v/>
      </c>
    </row>
    <row r="134" spans="12:26" s="1" customFormat="1" x14ac:dyDescent="0.25">
      <c r="L134" s="544" t="s">
        <v>831</v>
      </c>
      <c r="M134" s="621">
        <f t="shared" ref="M134" si="143">IF(M105="","",M105/$M105)</f>
        <v>1</v>
      </c>
      <c r="N134" s="621">
        <f t="shared" ref="N134:Z134" si="144">IF(N105="","",N105/$M105)</f>
        <v>0.92899768313750497</v>
      </c>
      <c r="O134" s="621">
        <f t="shared" si="144"/>
        <v>8.8006034699522243E-2</v>
      </c>
      <c r="P134" s="621">
        <f t="shared" si="144"/>
        <v>0.54043952260260264</v>
      </c>
      <c r="Q134" s="621">
        <f t="shared" si="144"/>
        <v>3.5202413879808901E-2</v>
      </c>
      <c r="R134" s="621">
        <f t="shared" si="144"/>
        <v>0.27808028290295722</v>
      </c>
      <c r="S134" s="621">
        <f t="shared" si="144"/>
        <v>1.1440784510937895E-2</v>
      </c>
      <c r="T134" s="621">
        <f t="shared" si="144"/>
        <v>0.17236097966182454</v>
      </c>
      <c r="U134" s="621">
        <f t="shared" si="144"/>
        <v>0.11818736551369736</v>
      </c>
      <c r="V134" s="621">
        <f t="shared" si="144"/>
        <v>1.1613167329350567E-2</v>
      </c>
      <c r="W134" s="621" t="str">
        <f t="shared" si="144"/>
        <v/>
      </c>
      <c r="X134" s="621">
        <f t="shared" si="144"/>
        <v>7.3717377731980184E-3</v>
      </c>
      <c r="Y134" s="621" t="str">
        <f t="shared" si="144"/>
        <v/>
      </c>
      <c r="Z134" s="621">
        <f t="shared" si="144"/>
        <v>4.6978989951715908E-3</v>
      </c>
    </row>
    <row r="135" spans="12:26" s="1" customFormat="1" x14ac:dyDescent="0.25">
      <c r="L135" s="544" t="s">
        <v>833</v>
      </c>
      <c r="M135" s="621">
        <f t="shared" ref="M135" si="145">IF(M106="","",M106/$M106)</f>
        <v>1</v>
      </c>
      <c r="N135" s="621">
        <f t="shared" ref="N135:Z135" si="146">IF(N106="","",N106/$M106)</f>
        <v>0.92128772622171617</v>
      </c>
      <c r="O135" s="621">
        <f t="shared" si="146"/>
        <v>0.9604039951992509</v>
      </c>
      <c r="P135" s="621">
        <f t="shared" si="146"/>
        <v>0.80851590417488839</v>
      </c>
      <c r="Q135" s="621" t="str">
        <f t="shared" si="146"/>
        <v/>
      </c>
      <c r="R135" s="621">
        <f t="shared" si="146"/>
        <v>0.60022071238227004</v>
      </c>
      <c r="S135" s="621" t="str">
        <f t="shared" si="146"/>
        <v/>
      </c>
      <c r="T135" s="621">
        <f t="shared" si="146"/>
        <v>0.44922259064125319</v>
      </c>
      <c r="U135" s="621" t="str">
        <f t="shared" si="146"/>
        <v/>
      </c>
      <c r="V135" s="621">
        <f t="shared" si="146"/>
        <v>0.35556391844152041</v>
      </c>
      <c r="W135" s="621" t="str">
        <f t="shared" si="146"/>
        <v/>
      </c>
      <c r="X135" s="621">
        <f t="shared" si="146"/>
        <v>0.28101839608888168</v>
      </c>
      <c r="Y135" s="621" t="str">
        <f t="shared" si="146"/>
        <v/>
      </c>
      <c r="Z135" s="621">
        <f t="shared" si="146"/>
        <v>0.2446991734304329</v>
      </c>
    </row>
    <row r="136" spans="12:26" s="1" customFormat="1" x14ac:dyDescent="0.25">
      <c r="L136" s="544" t="s">
        <v>835</v>
      </c>
      <c r="M136" s="621">
        <f>IF(M107="","",M107/$M107)</f>
        <v>1</v>
      </c>
      <c r="N136" s="621">
        <f>IF(N107="","",N107/$M107)</f>
        <v>0.94704049844236715</v>
      </c>
      <c r="O136" s="621" t="str">
        <f t="shared" ref="O136:Z136" si="147">IF(O107="","",O107/$M107)</f>
        <v/>
      </c>
      <c r="P136" s="621">
        <f t="shared" si="147"/>
        <v>0.71178485866836716</v>
      </c>
      <c r="Q136" s="621" t="str">
        <f t="shared" si="147"/>
        <v/>
      </c>
      <c r="R136" s="621">
        <f t="shared" si="147"/>
        <v>0.42675039451844166</v>
      </c>
      <c r="S136" s="621" t="str">
        <f t="shared" si="147"/>
        <v/>
      </c>
      <c r="T136" s="621">
        <f t="shared" si="147"/>
        <v>0.29121593445679034</v>
      </c>
      <c r="U136" s="621" t="str">
        <f t="shared" si="147"/>
        <v/>
      </c>
      <c r="V136" s="621">
        <f t="shared" si="147"/>
        <v>0.21798677034529557</v>
      </c>
      <c r="W136" s="621" t="str">
        <f t="shared" si="147"/>
        <v/>
      </c>
      <c r="X136" s="621">
        <f t="shared" si="147"/>
        <v>0.16977784319016154</v>
      </c>
      <c r="Y136" s="621" t="str">
        <f t="shared" si="147"/>
        <v/>
      </c>
      <c r="Z136" s="621">
        <f t="shared" si="147"/>
        <v>0.12143809126662836</v>
      </c>
    </row>
    <row r="137" spans="12:26" s="1" customFormat="1" x14ac:dyDescent="0.25">
      <c r="L137" s="626" t="s">
        <v>1128</v>
      </c>
      <c r="M137" s="621">
        <f t="shared" ref="M137:Z137" si="148">IF(M108="","",M108/$M108)</f>
        <v>1</v>
      </c>
      <c r="N137" s="621">
        <f t="shared" si="148"/>
        <v>1.0390480978716272</v>
      </c>
      <c r="O137" s="621">
        <f t="shared" si="148"/>
        <v>1.3359189829778064</v>
      </c>
      <c r="P137" s="621">
        <f t="shared" si="148"/>
        <v>1.1300246594364241</v>
      </c>
      <c r="Q137" s="621" t="str">
        <f t="shared" si="148"/>
        <v/>
      </c>
      <c r="R137" s="621">
        <f t="shared" si="148"/>
        <v>0.78048313342430964</v>
      </c>
      <c r="S137" s="621" t="str">
        <f t="shared" si="148"/>
        <v/>
      </c>
      <c r="T137" s="621">
        <f t="shared" si="148"/>
        <v>0.53628288922406575</v>
      </c>
      <c r="U137" s="621" t="str">
        <f t="shared" si="148"/>
        <v/>
      </c>
      <c r="V137" s="621">
        <f t="shared" si="148"/>
        <v>0.37348272642390301</v>
      </c>
      <c r="W137" s="621" t="str">
        <f t="shared" si="148"/>
        <v/>
      </c>
      <c r="X137" s="621">
        <f t="shared" si="148"/>
        <v>0.25856496444731747</v>
      </c>
      <c r="Y137" s="621" t="str">
        <f t="shared" si="148"/>
        <v/>
      </c>
      <c r="Z137" s="621">
        <f t="shared" si="148"/>
        <v>0.18195312312959355</v>
      </c>
    </row>
    <row r="138" spans="12:26" s="1" customFormat="1" x14ac:dyDescent="0.25">
      <c r="L138" s="626" t="s">
        <v>1156</v>
      </c>
      <c r="M138" s="621">
        <f t="shared" ref="M138:Z138" si="149">IF(M109="","",M109/$M109)</f>
        <v>1</v>
      </c>
      <c r="N138" s="621">
        <f t="shared" si="149"/>
        <v>0.96350436681900098</v>
      </c>
      <c r="O138" s="621">
        <f t="shared" si="149"/>
        <v>0.95578856498458908</v>
      </c>
      <c r="P138" s="621">
        <f t="shared" si="149"/>
        <v>0.79066894578459357</v>
      </c>
      <c r="Q138" s="621">
        <f t="shared" si="149"/>
        <v>0.64750687806795737</v>
      </c>
      <c r="R138" s="621">
        <f t="shared" si="149"/>
        <v>0.47856950639927948</v>
      </c>
      <c r="S138" s="621">
        <f t="shared" si="149"/>
        <v>0.35727009383312897</v>
      </c>
      <c r="T138" s="621">
        <f t="shared" si="149"/>
        <v>0.30204772781862993</v>
      </c>
      <c r="U138" s="621">
        <f t="shared" si="149"/>
        <v>0.24685456067578454</v>
      </c>
      <c r="V138" s="621">
        <f t="shared" si="149"/>
        <v>0.19152999861049871</v>
      </c>
      <c r="W138" s="621">
        <f t="shared" si="149"/>
        <v>0.14718421228689244</v>
      </c>
      <c r="X138" s="621">
        <f t="shared" si="149"/>
        <v>0.12494927152282567</v>
      </c>
      <c r="Y138" s="621">
        <f t="shared" si="149"/>
        <v>0.10271433075875916</v>
      </c>
      <c r="Z138" s="621" t="str">
        <f t="shared" si="149"/>
        <v/>
      </c>
    </row>
    <row r="139" spans="12:26" s="1" customFormat="1" x14ac:dyDescent="0.25">
      <c r="L139" s="626" t="s">
        <v>1134</v>
      </c>
      <c r="M139" s="621">
        <f t="shared" ref="M139:Z139" si="150">IF(M110="","",M110/$M110)</f>
        <v>1</v>
      </c>
      <c r="N139" s="621">
        <f t="shared" si="150"/>
        <v>0.97993311036789299</v>
      </c>
      <c r="O139" s="621">
        <f t="shared" si="150"/>
        <v>0.95317725752508342</v>
      </c>
      <c r="P139" s="621">
        <f t="shared" si="150"/>
        <v>0.81270903010033435</v>
      </c>
      <c r="Q139" s="621">
        <f t="shared" si="150"/>
        <v>0.69565217391304335</v>
      </c>
      <c r="R139" s="621">
        <f t="shared" si="150"/>
        <v>0.55183946488294311</v>
      </c>
      <c r="S139" s="621">
        <f t="shared" si="150"/>
        <v>0.45150501672240795</v>
      </c>
      <c r="T139" s="621">
        <f t="shared" si="150"/>
        <v>0.38795986622073569</v>
      </c>
      <c r="U139" s="621">
        <f t="shared" si="150"/>
        <v>0.334448160535117</v>
      </c>
      <c r="V139" s="621">
        <f t="shared" si="150"/>
        <v>0.27090301003344475</v>
      </c>
      <c r="W139" s="621" t="str">
        <f t="shared" si="150"/>
        <v/>
      </c>
      <c r="X139" s="621" t="str">
        <f t="shared" si="150"/>
        <v/>
      </c>
      <c r="Y139" s="621" t="str">
        <f t="shared" si="150"/>
        <v/>
      </c>
      <c r="Z139" s="621" t="str">
        <f t="shared" si="150"/>
        <v/>
      </c>
    </row>
    <row r="140" spans="12:26" s="1" customFormat="1" x14ac:dyDescent="0.25"/>
    <row r="141" spans="12:26" s="1" customFormat="1" x14ac:dyDescent="0.25"/>
    <row r="142" spans="12:26" s="1" customFormat="1" x14ac:dyDescent="0.25"/>
    <row r="143" spans="12:26" s="1" customFormat="1" x14ac:dyDescent="0.25">
      <c r="N143" s="616">
        <v>2020</v>
      </c>
      <c r="O143" s="616">
        <v>2023</v>
      </c>
      <c r="P143" s="616">
        <v>2025</v>
      </c>
      <c r="Q143" s="616">
        <v>2027</v>
      </c>
      <c r="R143" s="616">
        <v>2030</v>
      </c>
      <c r="S143" s="616">
        <v>2033</v>
      </c>
      <c r="T143" s="616">
        <v>2035</v>
      </c>
      <c r="U143" s="616">
        <v>2037</v>
      </c>
      <c r="V143" s="616">
        <v>2040</v>
      </c>
      <c r="W143" s="616">
        <v>2043</v>
      </c>
      <c r="X143" s="616">
        <v>2045</v>
      </c>
      <c r="Y143" s="616">
        <v>2047</v>
      </c>
      <c r="Z143" s="616">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75" priority="7" operator="containsText" text="Oil and Gas">
      <formula>NOT(ISERROR(SEARCH("Oil and Gas",I39)))</formula>
    </cfRule>
    <cfRule type="containsText" dxfId="74" priority="8" operator="containsText" text="Oil">
      <formula>NOT(ISERROR(SEARCH("Oil",I39)))</formula>
    </cfRule>
    <cfRule type="containsText" dxfId="73" priority="9" operator="containsText" text="Gas">
      <formula>NOT(ISERROR(SEARCH("Gas",I39)))</formula>
    </cfRule>
  </conditionalFormatting>
  <conditionalFormatting sqref="K6:K28">
    <cfRule type="containsBlanks" dxfId="72" priority="6">
      <formula>LEN(TRIM(K6))=0</formula>
    </cfRule>
  </conditionalFormatting>
  <conditionalFormatting sqref="AT6">
    <cfRule type="containsBlanks" dxfId="71" priority="5">
      <formula>LEN(TRIM(AT6))=0</formula>
    </cfRule>
  </conditionalFormatting>
  <conditionalFormatting sqref="K88:K107">
    <cfRule type="containsBlanks" dxfId="70" priority="4">
      <formula>LEN(TRIM(K88))=0</formula>
    </cfRule>
  </conditionalFormatting>
  <conditionalFormatting sqref="I72:I74">
    <cfRule type="containsText" dxfId="69" priority="1" operator="containsText" text="Oil and Gas">
      <formula>NOT(ISERROR(SEARCH("Oil and Gas",I72)))</formula>
    </cfRule>
    <cfRule type="containsText" dxfId="68" priority="2" operator="containsText" text="Oil">
      <formula>NOT(ISERROR(SEARCH("Oil",I72)))</formula>
    </cfRule>
    <cfRule type="containsText" dxfId="67"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Q203"/>
  <sheetViews>
    <sheetView showGridLines="0" tabSelected="1" topLeftCell="J174" zoomScaleNormal="100" workbookViewId="0">
      <selection activeCell="J203" sqref="J203:AG203"/>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4" max="14" width="13.42578125" bestFit="1"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79" width="8.7109375" customWidth="1"/>
    <col min="80" max="80" width="7.7109375" customWidth="1"/>
    <col min="81" max="81" width="8.85546875" customWidth="1"/>
    <col min="82" max="92" width="7.7109375" customWidth="1"/>
    <col min="93" max="99" width="8.7109375" customWidth="1"/>
    <col min="100" max="106" width="8.7109375" style="1" customWidth="1"/>
    <col min="107" max="121" width="8.7109375" customWidth="1"/>
  </cols>
  <sheetData>
    <row r="3" spans="2:40" ht="18.75" x14ac:dyDescent="0.25">
      <c r="N3" s="19" t="s">
        <v>988</v>
      </c>
      <c r="O3" s="19" t="s">
        <v>988</v>
      </c>
      <c r="P3" s="19" t="s">
        <v>988</v>
      </c>
      <c r="Q3" s="19" t="s">
        <v>988</v>
      </c>
      <c r="R3" s="19" t="s">
        <v>988</v>
      </c>
      <c r="S3" s="19" t="s">
        <v>988</v>
      </c>
      <c r="T3" s="19" t="s">
        <v>988</v>
      </c>
      <c r="U3" s="19" t="s">
        <v>988</v>
      </c>
      <c r="V3" s="19" t="s">
        <v>988</v>
      </c>
      <c r="W3" s="19" t="s">
        <v>988</v>
      </c>
      <c r="X3" s="19" t="s">
        <v>988</v>
      </c>
      <c r="Y3" s="19" t="s">
        <v>989</v>
      </c>
      <c r="Z3" s="19" t="s">
        <v>988</v>
      </c>
      <c r="AA3" s="1"/>
      <c r="AB3" s="911">
        <v>2019</v>
      </c>
      <c r="AC3" s="911"/>
      <c r="AD3" s="911"/>
      <c r="AE3" s="911"/>
      <c r="AF3" s="911"/>
      <c r="AG3" s="622"/>
      <c r="AH3" s="622"/>
      <c r="AI3" s="622"/>
      <c r="AJ3" s="622"/>
      <c r="AK3" s="622"/>
      <c r="AL3" s="622"/>
      <c r="AM3" s="622"/>
      <c r="AN3" s="622"/>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1016</v>
      </c>
      <c r="AC4" s="22" t="s">
        <v>1017</v>
      </c>
      <c r="AD4" s="468" t="s">
        <v>1015</v>
      </c>
      <c r="AE4" s="468" t="s">
        <v>1018</v>
      </c>
      <c r="AF4" s="468" t="s">
        <v>1019</v>
      </c>
      <c r="AI4" s="468"/>
      <c r="AJ4" s="468"/>
      <c r="AK4" s="468"/>
      <c r="AL4" s="623"/>
      <c r="AM4" s="623"/>
      <c r="AN4" s="623"/>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27">
        <f t="shared" ref="AC5:AC24" si="3">+Y5+(Z5*1000000/$D$22)</f>
        <v>28095.314123760039</v>
      </c>
      <c r="AD5" s="619">
        <v>26000</v>
      </c>
      <c r="AE5" s="624">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19">
        <v>3750</v>
      </c>
      <c r="AE6" s="624">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19">
        <v>5700</v>
      </c>
      <c r="AE7" s="624">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19">
        <v>50400</v>
      </c>
      <c r="AE8" s="625">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19">
        <v>33000</v>
      </c>
      <c r="AE9" s="624">
        <f t="shared" si="4"/>
        <v>4.3171683521127997E-2</v>
      </c>
      <c r="AF9" s="628">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19">
        <v>59550</v>
      </c>
      <c r="AE10" s="624">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19">
        <v>8450</v>
      </c>
      <c r="AE11" s="624">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19">
        <v>112500</v>
      </c>
      <c r="AE12" s="624">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19">
        <v>112200</v>
      </c>
      <c r="AE13" s="624">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19">
        <v>69000</v>
      </c>
      <c r="AE14" s="624">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19">
        <v>19000</v>
      </c>
      <c r="AE15" s="624">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19">
        <v>4210</v>
      </c>
      <c r="AE16" s="624">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19">
        <v>2100</v>
      </c>
      <c r="AE17" s="624">
        <f t="shared" si="4"/>
        <v>7.030110481464999E-2</v>
      </c>
      <c r="AF17" s="628">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19">
        <v>11750</v>
      </c>
      <c r="AE18" s="624">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19">
        <v>1500</v>
      </c>
      <c r="AE19" s="624">
        <f t="shared" si="4"/>
        <v>1.5899711864864514E-2</v>
      </c>
      <c r="AF19" s="322">
        <f t="shared" si="5"/>
        <v>-1.1597711073822205E-2</v>
      </c>
      <c r="AI19" s="382"/>
      <c r="AJ19" s="382"/>
      <c r="AK19" s="382"/>
      <c r="AL19" s="413"/>
      <c r="AM19" s="413"/>
      <c r="AN19" s="413"/>
    </row>
    <row r="20" spans="2:40" x14ac:dyDescent="0.25">
      <c r="C20" t="s">
        <v>871</v>
      </c>
      <c r="D20" s="343">
        <v>6117863200</v>
      </c>
      <c r="E20" t="s">
        <v>1004</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19">
        <v>18000</v>
      </c>
      <c r="AE20" s="624">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19">
        <v>42100</v>
      </c>
      <c r="AE21" s="624">
        <f t="shared" si="4"/>
        <v>-2.0440707812030345E-2</v>
      </c>
      <c r="AF21" s="322">
        <f t="shared" si="5"/>
        <v>-3.2246101341738088E-2</v>
      </c>
      <c r="AI21" s="382"/>
      <c r="AJ21" s="382"/>
      <c r="AK21" s="382"/>
      <c r="AL21" s="413"/>
      <c r="AM21" s="413"/>
      <c r="AN21" s="413"/>
    </row>
    <row r="22" spans="2:40" x14ac:dyDescent="0.25">
      <c r="D22">
        <v>5800</v>
      </c>
      <c r="E22" t="s">
        <v>1013</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19">
        <v>4850</v>
      </c>
      <c r="AE22" s="624">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19">
        <v>4000</v>
      </c>
      <c r="AE23" s="624">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19">
        <v>4000</v>
      </c>
      <c r="AE24" s="624">
        <f>+(AD24-AB24)/AB24</f>
        <v>-1.2937378261902638E-2</v>
      </c>
      <c r="AF24" s="322">
        <f>+(AD24-AC24)/AC24</f>
        <v>-3.5312224457850129E-2</v>
      </c>
      <c r="AI24" s="382"/>
      <c r="AJ24" s="382"/>
      <c r="AK24" s="382"/>
      <c r="AL24" s="413"/>
      <c r="AM24" s="413"/>
      <c r="AN24" s="413"/>
    </row>
    <row r="25" spans="2:40" x14ac:dyDescent="0.25">
      <c r="I25" s="474" t="s">
        <v>1111</v>
      </c>
      <c r="J25" s="480" t="s">
        <v>1128</v>
      </c>
      <c r="K25" s="473" t="s">
        <v>665</v>
      </c>
      <c r="L25" s="476" t="s">
        <v>51</v>
      </c>
      <c r="M25" s="476" t="s">
        <v>987</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19">
        <v>468</v>
      </c>
      <c r="AE25" s="624">
        <f>+(AD25-AB25)/AB25</f>
        <v>-7.7327969155980281E-2</v>
      </c>
      <c r="AF25" s="322">
        <f t="shared" ref="AF25:AF27" si="9">+(AD25-AC25)/AC25</f>
        <v>-7.7327969155980281E-2</v>
      </c>
      <c r="AI25" s="382"/>
      <c r="AJ25" s="382"/>
      <c r="AK25" s="382"/>
      <c r="AL25" s="413"/>
      <c r="AM25" s="413"/>
      <c r="AN25" s="413"/>
    </row>
    <row r="26" spans="2:40" x14ac:dyDescent="0.25">
      <c r="I26" s="474" t="s">
        <v>1111</v>
      </c>
      <c r="J26" s="480" t="s">
        <v>1156</v>
      </c>
      <c r="K26" s="473" t="s">
        <v>665</v>
      </c>
      <c r="L26" s="476" t="s">
        <v>51</v>
      </c>
      <c r="M26" s="476" t="s">
        <v>987</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19">
        <v>1017</v>
      </c>
      <c r="AE26" s="624">
        <f t="shared" ref="AE26:AE27" si="11">+(AD26-AB26)/AB26</f>
        <v>-3.700800800858469E-2</v>
      </c>
      <c r="AF26" s="322">
        <f t="shared" si="9"/>
        <v>-5.7281444872152268E-2</v>
      </c>
      <c r="AI26" s="382"/>
      <c r="AJ26" s="382"/>
      <c r="AK26" s="382"/>
      <c r="AL26" s="413"/>
      <c r="AM26" s="413"/>
      <c r="AN26" s="413"/>
    </row>
    <row r="27" spans="2:40" x14ac:dyDescent="0.25">
      <c r="I27" s="474" t="s">
        <v>1111</v>
      </c>
      <c r="J27" s="480" t="s">
        <v>1134</v>
      </c>
      <c r="K27" s="473" t="s">
        <v>665</v>
      </c>
      <c r="L27" s="476" t="s">
        <v>51</v>
      </c>
      <c r="M27" s="476" t="s">
        <v>987</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19">
        <v>4600</v>
      </c>
      <c r="AE27" s="624">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911"/>
      <c r="AB33" s="911"/>
      <c r="AC33" s="911"/>
      <c r="AD33" s="911"/>
      <c r="AE33" s="911"/>
      <c r="AF33" s="911"/>
      <c r="AG33" s="911"/>
      <c r="AH33" s="911"/>
      <c r="AI33" s="911"/>
      <c r="AJ33" s="911"/>
      <c r="AK33" s="911"/>
      <c r="AL33" s="911"/>
      <c r="AM33" s="911"/>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23"/>
      <c r="AL34" s="623"/>
      <c r="AM34" s="623"/>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65"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65"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65"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65"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65"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65"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65" x14ac:dyDescent="0.25">
      <c r="I55" s="474" t="s">
        <v>1111</v>
      </c>
      <c r="J55" s="737" t="s">
        <v>1128</v>
      </c>
      <c r="K55" s="473" t="s">
        <v>665</v>
      </c>
      <c r="L55" s="476" t="s">
        <v>51</v>
      </c>
      <c r="M55" s="476" t="s">
        <v>987</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65" x14ac:dyDescent="0.25">
      <c r="I56" s="474" t="s">
        <v>1111</v>
      </c>
      <c r="J56" s="737" t="s">
        <v>1156</v>
      </c>
      <c r="K56" s="473" t="s">
        <v>665</v>
      </c>
      <c r="L56" s="476" t="s">
        <v>51</v>
      </c>
      <c r="M56" s="476" t="s">
        <v>987</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57">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65" x14ac:dyDescent="0.25">
      <c r="I57" s="474" t="s">
        <v>1111</v>
      </c>
      <c r="J57" s="737" t="s">
        <v>1134</v>
      </c>
      <c r="K57" s="473" t="s">
        <v>665</v>
      </c>
      <c r="L57" s="476" t="s">
        <v>51</v>
      </c>
      <c r="M57" s="476" t="s">
        <v>987</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57">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65" s="1" customFormat="1" x14ac:dyDescent="0.25">
      <c r="I58" s="540"/>
      <c r="J58" s="544"/>
      <c r="K58" s="541"/>
      <c r="L58" s="320"/>
      <c r="M58" s="320"/>
      <c r="N58" s="543"/>
      <c r="O58" s="543"/>
      <c r="P58" s="543"/>
      <c r="Q58" s="543"/>
      <c r="R58" s="543"/>
      <c r="S58" s="543"/>
      <c r="T58" s="543"/>
      <c r="U58" s="543"/>
      <c r="V58" s="543"/>
      <c r="W58" s="543"/>
      <c r="X58" s="543"/>
      <c r="Y58" s="543"/>
      <c r="Z58" s="545"/>
    </row>
    <row r="59" spans="2:65" s="1" customFormat="1" x14ac:dyDescent="0.25">
      <c r="I59" s="540"/>
      <c r="J59" s="544"/>
      <c r="K59" s="541"/>
      <c r="L59" s="320"/>
      <c r="M59" s="320"/>
      <c r="N59" s="543"/>
      <c r="O59" s="543"/>
      <c r="P59" s="543"/>
      <c r="Q59" s="543"/>
      <c r="R59" s="543"/>
      <c r="S59" s="543"/>
      <c r="T59" s="543"/>
      <c r="U59" s="543"/>
      <c r="V59" s="543"/>
      <c r="W59" s="543"/>
      <c r="X59" s="543"/>
      <c r="Y59" s="543"/>
      <c r="Z59" s="545"/>
    </row>
    <row r="60" spans="2:65" s="1" customFormat="1" x14ac:dyDescent="0.25">
      <c r="I60" s="540"/>
      <c r="J60" s="544"/>
      <c r="K60" s="541"/>
      <c r="L60" s="320"/>
      <c r="M60" s="320"/>
      <c r="N60" s="543"/>
      <c r="O60" s="543"/>
      <c r="P60" s="543"/>
      <c r="Q60" s="543"/>
      <c r="R60" s="543"/>
      <c r="S60" s="543"/>
      <c r="T60" s="543"/>
      <c r="U60" s="543"/>
      <c r="V60" s="543"/>
      <c r="W60" s="543"/>
      <c r="X60" s="543"/>
      <c r="Y60" s="543"/>
      <c r="Z60" s="545"/>
    </row>
    <row r="61" spans="2:65" x14ac:dyDescent="0.25">
      <c r="B61" s="1"/>
      <c r="C61" s="1"/>
      <c r="D61" s="1"/>
      <c r="E61" s="1"/>
      <c r="F61" s="1"/>
      <c r="G61" s="1"/>
      <c r="H61" s="1"/>
      <c r="I61" s="1"/>
      <c r="T61" s="75">
        <f>+SUM(T35:T57)</f>
        <v>33.632625562956704</v>
      </c>
    </row>
    <row r="62" spans="2:65" x14ac:dyDescent="0.25">
      <c r="B62" s="1"/>
      <c r="C62" s="1"/>
      <c r="D62" s="1"/>
      <c r="E62" s="1"/>
      <c r="F62" s="1"/>
      <c r="G62" s="1"/>
      <c r="H62" s="1"/>
      <c r="I62" s="1"/>
    </row>
    <row r="63" spans="2:65" x14ac:dyDescent="0.25">
      <c r="B63" s="1"/>
      <c r="C63" s="1"/>
      <c r="D63" s="1"/>
      <c r="E63" s="1"/>
      <c r="F63" s="1"/>
      <c r="G63" s="1"/>
      <c r="H63" s="1"/>
      <c r="I63" s="1"/>
      <c r="Y63" s="75"/>
      <c r="BL63" s="626"/>
      <c r="BM63" t="s">
        <v>1022</v>
      </c>
    </row>
    <row r="64" spans="2:65" x14ac:dyDescent="0.25">
      <c r="N64" s="75"/>
      <c r="R64" s="912" t="s">
        <v>992</v>
      </c>
      <c r="S64" s="912"/>
      <c r="T64" s="912"/>
      <c r="U64" s="912"/>
      <c r="V64" s="912"/>
      <c r="W64" s="913" t="s">
        <v>990</v>
      </c>
      <c r="X64" s="913"/>
      <c r="Y64" s="913"/>
      <c r="Z64" s="913"/>
      <c r="AA64" s="539" t="s">
        <v>991</v>
      </c>
      <c r="AB64" t="s">
        <v>1005</v>
      </c>
    </row>
    <row r="65" spans="9:121" ht="15.75" x14ac:dyDescent="0.25">
      <c r="N65" s="19" t="str">
        <f>Y33</f>
        <v>PJ</v>
      </c>
      <c r="O65" s="19" t="str">
        <f>Z33</f>
        <v>PJ</v>
      </c>
      <c r="P65" s="546" t="s">
        <v>924</v>
      </c>
      <c r="Q65" s="546" t="s">
        <v>9</v>
      </c>
      <c r="R65" s="533" t="str">
        <f>T33</f>
        <v>PJ</v>
      </c>
      <c r="S65" s="533" t="str">
        <f>U33</f>
        <v>PJ</v>
      </c>
      <c r="T65" s="533" t="str">
        <f>V33</f>
        <v>PJ</v>
      </c>
      <c r="U65" s="533" t="str">
        <f>W33</f>
        <v>PJ</v>
      </c>
      <c r="V65" s="533" t="str">
        <f>X33</f>
        <v>PJ</v>
      </c>
      <c r="W65" s="534" t="s">
        <v>924</v>
      </c>
      <c r="X65" s="534" t="s">
        <v>924</v>
      </c>
      <c r="Y65" s="534" t="s">
        <v>924</v>
      </c>
      <c r="Z65" s="534" t="s">
        <v>924</v>
      </c>
      <c r="AA65" s="270" t="s">
        <v>924</v>
      </c>
      <c r="AB65" s="563" t="s">
        <v>9</v>
      </c>
      <c r="AC65" s="563" t="s">
        <v>1002</v>
      </c>
      <c r="AD65" s="546" t="s">
        <v>9</v>
      </c>
      <c r="AE65" s="546" t="s">
        <v>1002</v>
      </c>
      <c r="AF65" s="546" t="s">
        <v>9</v>
      </c>
      <c r="AG65" s="546" t="s">
        <v>1002</v>
      </c>
      <c r="AH65" s="19" t="s">
        <v>9</v>
      </c>
      <c r="AI65" s="905" t="s">
        <v>1023</v>
      </c>
      <c r="AJ65" s="906"/>
      <c r="AK65" s="906"/>
      <c r="AL65" s="906"/>
      <c r="AM65" s="906"/>
      <c r="AN65" s="906"/>
      <c r="AO65" s="906"/>
      <c r="AP65" s="906"/>
      <c r="AQ65" s="906"/>
      <c r="AR65" s="906"/>
      <c r="AS65" s="906"/>
      <c r="AT65" s="906"/>
      <c r="AU65" s="906"/>
      <c r="AV65" s="907"/>
      <c r="AW65" s="905" t="s">
        <v>1024</v>
      </c>
      <c r="AX65" s="906"/>
      <c r="AY65" s="906"/>
      <c r="AZ65" s="906"/>
      <c r="BA65" s="906"/>
      <c r="BB65" s="906"/>
      <c r="BC65" s="906"/>
      <c r="BD65" s="906"/>
      <c r="BE65" s="906"/>
      <c r="BF65" s="906"/>
      <c r="BG65" s="906"/>
      <c r="BH65" s="906"/>
      <c r="BI65" s="906"/>
      <c r="BJ65" s="907"/>
      <c r="BK65" s="905" t="s">
        <v>1025</v>
      </c>
      <c r="BL65" s="906"/>
      <c r="BM65" s="906"/>
      <c r="BN65" s="906"/>
      <c r="BO65" s="906"/>
      <c r="BP65" s="906"/>
      <c r="BQ65" s="906"/>
      <c r="BR65" s="906"/>
      <c r="BS65" s="906"/>
      <c r="BT65" s="906"/>
      <c r="BU65" s="906"/>
      <c r="BV65" s="906"/>
      <c r="BW65" s="906"/>
      <c r="BX65" s="907"/>
      <c r="BY65" s="631"/>
      <c r="BZ65" s="631"/>
      <c r="CA65" s="631"/>
      <c r="CB65" s="831" t="s">
        <v>1023</v>
      </c>
      <c r="CC65" s="832"/>
      <c r="CD65" s="832"/>
      <c r="CE65" s="832"/>
      <c r="CF65" s="832"/>
      <c r="CG65" s="832"/>
      <c r="CH65" s="832"/>
      <c r="CI65" s="832"/>
      <c r="CJ65" s="832"/>
      <c r="CK65" s="832"/>
      <c r="CL65" s="832"/>
      <c r="CM65" s="832"/>
      <c r="CN65" s="832"/>
      <c r="CO65" s="833"/>
      <c r="CP65" s="831" t="s">
        <v>1024</v>
      </c>
      <c r="CQ65" s="832"/>
      <c r="CR65" s="832"/>
      <c r="CS65" s="832"/>
      <c r="CT65" s="832"/>
      <c r="CU65" s="832"/>
      <c r="CV65" s="832"/>
      <c r="CW65" s="832"/>
      <c r="CX65" s="832"/>
      <c r="CY65" s="832"/>
      <c r="CZ65" s="832"/>
      <c r="DA65" s="832"/>
      <c r="DB65" s="832"/>
      <c r="DC65" s="833"/>
      <c r="DD65" s="831" t="s">
        <v>1025</v>
      </c>
      <c r="DE65" s="832"/>
      <c r="DF65" s="832"/>
      <c r="DG65" s="832"/>
      <c r="DH65" s="832"/>
      <c r="DI65" s="832"/>
      <c r="DJ65" s="832"/>
      <c r="DK65" s="832"/>
      <c r="DL65" s="832"/>
      <c r="DM65" s="832"/>
      <c r="DN65" s="832"/>
      <c r="DO65" s="832"/>
      <c r="DP65" s="832"/>
      <c r="DQ65" s="833"/>
    </row>
    <row r="66" spans="9:121" s="18" customFormat="1" ht="40.5" x14ac:dyDescent="0.25">
      <c r="I66" s="470" t="s">
        <v>798</v>
      </c>
      <c r="J66" s="470" t="s">
        <v>799</v>
      </c>
      <c r="K66" s="470" t="s">
        <v>800</v>
      </c>
      <c r="L66" s="471"/>
      <c r="M66" s="470" t="str">
        <f t="shared" ref="M66:M86" si="40">M34</f>
        <v>Type of Oil producing</v>
      </c>
      <c r="N66" s="470" t="s">
        <v>813</v>
      </c>
      <c r="O66" s="470" t="s">
        <v>814</v>
      </c>
      <c r="P66" s="547" t="s">
        <v>1010</v>
      </c>
      <c r="Q66" s="547" t="s">
        <v>804</v>
      </c>
      <c r="R66" s="472" t="s">
        <v>808</v>
      </c>
      <c r="S66" s="472" t="s">
        <v>809</v>
      </c>
      <c r="T66" s="472" t="s">
        <v>810</v>
      </c>
      <c r="U66" s="472" t="s">
        <v>811</v>
      </c>
      <c r="V66" s="472" t="s">
        <v>812</v>
      </c>
      <c r="W66" s="535" t="s">
        <v>808</v>
      </c>
      <c r="X66" s="535" t="s">
        <v>809</v>
      </c>
      <c r="Y66" s="535" t="s">
        <v>810</v>
      </c>
      <c r="Z66" s="535" t="s">
        <v>812</v>
      </c>
      <c r="AA66" s="537" t="s">
        <v>811</v>
      </c>
      <c r="AB66" s="564" t="s">
        <v>1003</v>
      </c>
      <c r="AC66" s="564" t="s">
        <v>1001</v>
      </c>
      <c r="AD66" s="547" t="s">
        <v>1006</v>
      </c>
      <c r="AE66" s="547" t="s">
        <v>1007</v>
      </c>
      <c r="AF66" s="547" t="s">
        <v>1008</v>
      </c>
      <c r="AG66" s="547" t="s">
        <v>1009</v>
      </c>
      <c r="AH66" s="632" t="s">
        <v>1020</v>
      </c>
      <c r="AI66" s="633">
        <v>2019</v>
      </c>
      <c r="AJ66" s="615">
        <v>2020</v>
      </c>
      <c r="AK66" s="615">
        <v>2023</v>
      </c>
      <c r="AL66" s="615">
        <v>2025</v>
      </c>
      <c r="AM66" s="615">
        <v>2027</v>
      </c>
      <c r="AN66" s="615">
        <v>2030</v>
      </c>
      <c r="AO66" s="615">
        <v>2033</v>
      </c>
      <c r="AP66" s="615">
        <v>2035</v>
      </c>
      <c r="AQ66" s="615">
        <v>2037</v>
      </c>
      <c r="AR66" s="615">
        <v>2040</v>
      </c>
      <c r="AS66" s="615">
        <v>2043</v>
      </c>
      <c r="AT66" s="615">
        <v>2045</v>
      </c>
      <c r="AU66" s="615">
        <v>2047</v>
      </c>
      <c r="AV66" s="634">
        <v>2050</v>
      </c>
      <c r="AW66" s="633">
        <v>2019</v>
      </c>
      <c r="AX66" s="615">
        <v>2020</v>
      </c>
      <c r="AY66" s="615">
        <v>2023</v>
      </c>
      <c r="AZ66" s="615">
        <v>2025</v>
      </c>
      <c r="BA66" s="615">
        <v>2027</v>
      </c>
      <c r="BB66" s="615">
        <v>2030</v>
      </c>
      <c r="BC66" s="615">
        <v>2033</v>
      </c>
      <c r="BD66" s="615">
        <v>2035</v>
      </c>
      <c r="BE66" s="615">
        <v>2037</v>
      </c>
      <c r="BF66" s="615">
        <v>2040</v>
      </c>
      <c r="BG66" s="615">
        <v>2043</v>
      </c>
      <c r="BH66" s="615">
        <v>2045</v>
      </c>
      <c r="BI66" s="615">
        <v>2047</v>
      </c>
      <c r="BJ66" s="634">
        <v>2050</v>
      </c>
      <c r="BK66" s="633">
        <v>2019</v>
      </c>
      <c r="BL66" s="615">
        <v>2020</v>
      </c>
      <c r="BM66" s="615">
        <v>2023</v>
      </c>
      <c r="BN66" s="615">
        <v>2025</v>
      </c>
      <c r="BO66" s="615">
        <v>2027</v>
      </c>
      <c r="BP66" s="615">
        <v>2030</v>
      </c>
      <c r="BQ66" s="615">
        <v>2033</v>
      </c>
      <c r="BR66" s="615">
        <v>2035</v>
      </c>
      <c r="BS66" s="615">
        <v>2037</v>
      </c>
      <c r="BT66" s="615">
        <v>2040</v>
      </c>
      <c r="BU66" s="615">
        <v>2043</v>
      </c>
      <c r="BV66" s="615">
        <v>2045</v>
      </c>
      <c r="BW66" s="615">
        <v>2047</v>
      </c>
      <c r="BX66" s="634">
        <v>2050</v>
      </c>
      <c r="BY66" s="468"/>
      <c r="BZ66" s="468"/>
      <c r="CA66" s="468"/>
      <c r="CB66" s="633">
        <v>2019</v>
      </c>
      <c r="CC66" s="615">
        <v>2020</v>
      </c>
      <c r="CD66" s="615">
        <v>2023</v>
      </c>
      <c r="CE66" s="615">
        <v>2025</v>
      </c>
      <c r="CF66" s="615">
        <v>2027</v>
      </c>
      <c r="CG66" s="615">
        <v>2030</v>
      </c>
      <c r="CH66" s="615">
        <v>2033</v>
      </c>
      <c r="CI66" s="615">
        <v>2035</v>
      </c>
      <c r="CJ66" s="615">
        <v>2037</v>
      </c>
      <c r="CK66" s="615">
        <v>2040</v>
      </c>
      <c r="CL66" s="615">
        <v>2043</v>
      </c>
      <c r="CM66" s="615">
        <v>2045</v>
      </c>
      <c r="CN66" s="615">
        <v>2047</v>
      </c>
      <c r="CO66" s="634">
        <v>2050</v>
      </c>
      <c r="CP66" s="633">
        <v>2019</v>
      </c>
      <c r="CQ66" s="615">
        <v>2020</v>
      </c>
      <c r="CR66" s="615">
        <v>2023</v>
      </c>
      <c r="CS66" s="615">
        <v>2025</v>
      </c>
      <c r="CT66" s="615">
        <v>2027</v>
      </c>
      <c r="CU66" s="615">
        <v>2030</v>
      </c>
      <c r="CV66" s="615">
        <v>2033</v>
      </c>
      <c r="CW66" s="615">
        <v>2035</v>
      </c>
      <c r="CX66" s="615">
        <v>2037</v>
      </c>
      <c r="CY66" s="615">
        <v>2040</v>
      </c>
      <c r="CZ66" s="615">
        <v>2043</v>
      </c>
      <c r="DA66" s="615">
        <v>2045</v>
      </c>
      <c r="DB66" s="615">
        <v>2047</v>
      </c>
      <c r="DC66" s="634">
        <v>2050</v>
      </c>
      <c r="DD66" s="633">
        <v>2019</v>
      </c>
      <c r="DE66" s="615">
        <v>2020</v>
      </c>
      <c r="DF66" s="615">
        <v>2023</v>
      </c>
      <c r="DG66" s="615">
        <v>2025</v>
      </c>
      <c r="DH66" s="615">
        <v>2027</v>
      </c>
      <c r="DI66" s="615">
        <v>2030</v>
      </c>
      <c r="DJ66" s="615">
        <v>2033</v>
      </c>
      <c r="DK66" s="615">
        <v>2035</v>
      </c>
      <c r="DL66" s="615">
        <v>2037</v>
      </c>
      <c r="DM66" s="615">
        <v>2040</v>
      </c>
      <c r="DN66" s="615">
        <v>2043</v>
      </c>
      <c r="DO66" s="615">
        <v>2045</v>
      </c>
      <c r="DP66" s="615">
        <v>2047</v>
      </c>
      <c r="DQ66" s="634">
        <v>2050</v>
      </c>
    </row>
    <row r="67" spans="9:121" x14ac:dyDescent="0.25">
      <c r="I67" s="474" t="s">
        <v>837</v>
      </c>
      <c r="J67" s="475" t="s">
        <v>838</v>
      </c>
      <c r="K67" s="473" t="s">
        <v>665</v>
      </c>
      <c r="L67" s="476" t="s">
        <v>51</v>
      </c>
      <c r="M67" s="476" t="str">
        <f t="shared" si="40"/>
        <v>Doesn't Apply</v>
      </c>
      <c r="N67" s="478">
        <f t="shared" ref="N67:N86" si="41">Y35</f>
        <v>0</v>
      </c>
      <c r="O67" s="532">
        <f t="shared" ref="O67:O86" si="42">Z35</f>
        <v>60.04622961587031</v>
      </c>
      <c r="P67" s="581">
        <f t="shared" ref="P67:P87" si="43">+O67/(N67+O67)</f>
        <v>1</v>
      </c>
      <c r="Q67" s="548">
        <f>+V67+T67-U67</f>
        <v>57.556398720157048</v>
      </c>
      <c r="R67" s="477">
        <f t="shared" ref="R67:R86" si="44">T35</f>
        <v>2.4069462377542221</v>
      </c>
      <c r="S67" s="477">
        <f t="shared" ref="S67:S86" si="45">U35</f>
        <v>8.2884657959038696E-2</v>
      </c>
      <c r="T67" s="477">
        <f t="shared" ref="T67:T86" si="46">V35</f>
        <v>4.8961411123406373</v>
      </c>
      <c r="U67" s="477">
        <f t="shared" ref="U67:U86" si="47">W35</f>
        <v>0</v>
      </c>
      <c r="V67" s="477">
        <f t="shared" ref="V67:V86" si="48">X35</f>
        <v>52.660257607816412</v>
      </c>
      <c r="W67" s="536">
        <f t="shared" ref="W67:W85" si="49">+IF($O67=0,"-",R67/$O67)</f>
        <v>4.0084885481603369E-2</v>
      </c>
      <c r="X67" s="536">
        <f t="shared" ref="X67:X86" si="50">+IF($O67=0,"-",S67/$O67)</f>
        <v>1.3803474171362818E-3</v>
      </c>
      <c r="Y67" s="536">
        <f t="shared" ref="Y67:Y86" si="51">+IF($O67=0,"-",T67/$O67)</f>
        <v>8.1539526189444198E-2</v>
      </c>
      <c r="Z67" s="536">
        <f t="shared" ref="Z67:Z86" si="52">+IF($O67=0,"-",V67/$O67)</f>
        <v>0.87699524091181613</v>
      </c>
      <c r="AA67" s="538">
        <f t="shared" ref="AA67:AA85" si="53">+IF($T67=0,"-",U67/$T67)</f>
        <v>0</v>
      </c>
      <c r="AB67" s="565">
        <f>+'5. GlobalData'!M6*1000*$D$21/1000</f>
        <v>175.46031657600003</v>
      </c>
      <c r="AC67" s="566">
        <f>+AB67/(Q67+N67)</f>
        <v>3.0484936597423249</v>
      </c>
      <c r="AD67" s="571">
        <f>+AB67*(N67/(N67+O67))</f>
        <v>0</v>
      </c>
      <c r="AE67" s="585" t="str">
        <f t="shared" ref="AE67:AE85" si="54">+IF(N67=0,"-",AD67/N67)</f>
        <v>-</v>
      </c>
      <c r="AF67" s="571">
        <f>+AB67*(O67/(O67+N67))</f>
        <v>175.46031657600003</v>
      </c>
      <c r="AG67" s="587">
        <f t="shared" ref="AG67:AG86" si="55">+IF(O67=0,"-",AF67/O67)</f>
        <v>2.9220871601507783</v>
      </c>
      <c r="AH67" s="436">
        <f t="shared" ref="AH67:AH89" si="56">+N67+O67</f>
        <v>60.04622961587031</v>
      </c>
      <c r="AI67" s="635">
        <v>1</v>
      </c>
      <c r="AJ67" s="636">
        <v>0.82105610703186049</v>
      </c>
      <c r="AK67" s="636">
        <v>0.65141290382779549</v>
      </c>
      <c r="AL67" s="636">
        <v>0.53831743502508556</v>
      </c>
      <c r="AM67" s="636">
        <v>0.42181118695405573</v>
      </c>
      <c r="AN67" s="636">
        <v>0.24705181484752231</v>
      </c>
      <c r="AO67" s="636">
        <v>7.2292442740975987E-2</v>
      </c>
      <c r="AP67" s="636">
        <v>0</v>
      </c>
      <c r="AQ67" s="636">
        <v>0</v>
      </c>
      <c r="AR67" s="636">
        <v>0</v>
      </c>
      <c r="AS67" s="636">
        <v>0</v>
      </c>
      <c r="AT67" s="636">
        <v>0</v>
      </c>
      <c r="AU67" s="636">
        <v>0</v>
      </c>
      <c r="AV67" s="637">
        <v>0</v>
      </c>
      <c r="AW67" s="641">
        <f>+IF(AI67="","",AI67*$AH67)</f>
        <v>60.04622961587031</v>
      </c>
      <c r="AX67" s="642">
        <f t="shared" ref="AX67:BJ67" si="57">+IF(AJ67="","",AJ67*$AH67)</f>
        <v>49.301323530347688</v>
      </c>
      <c r="AY67" s="642">
        <f t="shared" si="57"/>
        <v>39.114888797984648</v>
      </c>
      <c r="AZ67" s="642">
        <f t="shared" si="57"/>
        <v>32.323932309742631</v>
      </c>
      <c r="BA67" s="642">
        <f t="shared" si="57"/>
        <v>25.328171386386028</v>
      </c>
      <c r="BB67" s="642">
        <f t="shared" si="57"/>
        <v>14.834530001351803</v>
      </c>
      <c r="BC67" s="642">
        <f t="shared" si="57"/>
        <v>4.3408886163168008</v>
      </c>
      <c r="BD67" s="642">
        <f t="shared" si="57"/>
        <v>0</v>
      </c>
      <c r="BE67" s="642">
        <f t="shared" si="57"/>
        <v>0</v>
      </c>
      <c r="BF67" s="642">
        <f t="shared" si="57"/>
        <v>0</v>
      </c>
      <c r="BG67" s="642">
        <f t="shared" si="57"/>
        <v>0</v>
      </c>
      <c r="BH67" s="642">
        <f t="shared" si="57"/>
        <v>0</v>
      </c>
      <c r="BI67" s="642">
        <f t="shared" si="57"/>
        <v>0</v>
      </c>
      <c r="BJ67" s="643">
        <f t="shared" si="57"/>
        <v>0</v>
      </c>
      <c r="BK67" s="641">
        <v>60.04622961587031</v>
      </c>
      <c r="BL67" s="642">
        <v>49.301323530347688</v>
      </c>
      <c r="BM67" s="649">
        <v>39.114888797984648</v>
      </c>
      <c r="BN67" s="642">
        <v>32.323932309742631</v>
      </c>
      <c r="BO67" s="642">
        <v>25.328171386386028</v>
      </c>
      <c r="BP67" s="647">
        <v>14.834530001351803</v>
      </c>
      <c r="BQ67" s="647">
        <v>4.3408886163168008</v>
      </c>
      <c r="BR67" s="647">
        <v>0</v>
      </c>
      <c r="BS67" s="647">
        <v>0</v>
      </c>
      <c r="BT67" s="647">
        <v>0</v>
      </c>
      <c r="BU67" s="647">
        <v>0</v>
      </c>
      <c r="BV67" s="647">
        <v>0</v>
      </c>
      <c r="BW67" s="647">
        <v>0</v>
      </c>
      <c r="BX67" s="648">
        <v>0</v>
      </c>
      <c r="BY67" s="630"/>
      <c r="BZ67" s="630"/>
      <c r="CA67" s="630"/>
      <c r="CB67" s="635" t="str">
        <f>+IF('5. GlobalData'!BF117="","",'5. GlobalData'!BF117)</f>
        <v/>
      </c>
      <c r="CC67" s="636" t="str">
        <f>+IF('5. GlobalData'!BG117="","",'5. GlobalData'!BG117)</f>
        <v/>
      </c>
      <c r="CD67" s="636" t="str">
        <f>+IF('5. GlobalData'!BH117="","",'5. GlobalData'!BH117)</f>
        <v/>
      </c>
      <c r="CE67" s="636" t="str">
        <f>+IF('5. GlobalData'!BI117="","",'5. GlobalData'!BI117)</f>
        <v/>
      </c>
      <c r="CF67" s="636" t="str">
        <f>+IF('5. GlobalData'!BJ117="","",'5. GlobalData'!BJ117)</f>
        <v/>
      </c>
      <c r="CG67" s="636" t="str">
        <f>+IF('5. GlobalData'!BK117="","",'5. GlobalData'!BK117)</f>
        <v/>
      </c>
      <c r="CH67" s="636" t="str">
        <f>+IF('5. GlobalData'!BL117="","",'5. GlobalData'!BL117)</f>
        <v/>
      </c>
      <c r="CI67" s="636" t="str">
        <f>+IF('5. GlobalData'!BM117="","",'5. GlobalData'!BM117)</f>
        <v/>
      </c>
      <c r="CJ67" s="636" t="str">
        <f>+IF('5. GlobalData'!BN117="","",'5. GlobalData'!BN117)</f>
        <v/>
      </c>
      <c r="CK67" s="636" t="str">
        <f>+IF('5. GlobalData'!BO117="","",'5. GlobalData'!BO117)</f>
        <v/>
      </c>
      <c r="CL67" s="636" t="str">
        <f>+IF('5. GlobalData'!BP117="","",'5. GlobalData'!BP117)</f>
        <v/>
      </c>
      <c r="CM67" s="636" t="str">
        <f>+IF('5. GlobalData'!BQ117="","",'5. GlobalData'!BQ117)</f>
        <v/>
      </c>
      <c r="CN67" s="636" t="str">
        <f>+IF('5. GlobalData'!BR117="","",'5. GlobalData'!BR117)</f>
        <v/>
      </c>
      <c r="CO67" s="637" t="str">
        <f>+IF('5. GlobalData'!BS117="","",'5. GlobalData'!BS117)</f>
        <v/>
      </c>
      <c r="CP67" s="641" t="str">
        <f>+IF(CB67="","",CB67*$AH67)</f>
        <v/>
      </c>
      <c r="CQ67" s="642" t="str">
        <f t="shared" ref="CQ67:CQ89" si="58">+IF(CC67="","",CC67*$AH67)</f>
        <v/>
      </c>
      <c r="CR67" s="642" t="str">
        <f t="shared" ref="CR67:CR89" si="59">+IF(CD67="","",CD67*$AH67)</f>
        <v/>
      </c>
      <c r="CS67" s="642" t="str">
        <f t="shared" ref="CS67:CS89" si="60">+IF(CE67="","",CE67*$AH67)</f>
        <v/>
      </c>
      <c r="CT67" s="642" t="str">
        <f t="shared" ref="CT67:CT89" si="61">+IF(CF67="","",CF67*$AH67)</f>
        <v/>
      </c>
      <c r="CU67" s="642" t="str">
        <f t="shared" ref="CU67:CU89" si="62">+IF(CG67="","",CG67*$AH67)</f>
        <v/>
      </c>
      <c r="CV67" s="642" t="str">
        <f t="shared" ref="CV67:CV89" si="63">+IF(CH67="","",CH67*$AH67)</f>
        <v/>
      </c>
      <c r="CW67" s="642" t="str">
        <f t="shared" ref="CW67:CW89" si="64">+IF(CI67="","",CI67*$AH67)</f>
        <v/>
      </c>
      <c r="CX67" s="642" t="str">
        <f t="shared" ref="CX67:CX89" si="65">+IF(CJ67="","",CJ67*$AH67)</f>
        <v/>
      </c>
      <c r="CY67" s="642" t="str">
        <f t="shared" ref="CY67:CY89" si="66">+IF(CK67="","",CK67*$AH67)</f>
        <v/>
      </c>
      <c r="CZ67" s="642" t="str">
        <f t="shared" ref="CZ67:CZ89" si="67">+IF(CL67="","",CL67*$AH67)</f>
        <v/>
      </c>
      <c r="DA67" s="642" t="str">
        <f t="shared" ref="DA67:DA84" si="68">+IF(CM67="","",CM67*$AH67)</f>
        <v/>
      </c>
      <c r="DB67" s="642" t="str">
        <f t="shared" ref="DB67:DB89" si="69">+IF(CN67="","",CN67*$AH67)</f>
        <v/>
      </c>
      <c r="DC67" s="643" t="str">
        <f t="shared" ref="DC67:DC89" si="70">+IF(CO67="","",CO67*$AH67)</f>
        <v/>
      </c>
      <c r="DD67" s="641">
        <v>60.04622961587031</v>
      </c>
      <c r="DE67" s="642">
        <v>42.664606901262424</v>
      </c>
      <c r="DF67" s="649">
        <f>+DE67+(DG67-DE67)*(2023-2020)/(2025-2020)</f>
        <v>33.849422998255946</v>
      </c>
      <c r="DG67" s="642">
        <v>27.972633729584967</v>
      </c>
      <c r="DH67" s="642">
        <v>21.918609853603293</v>
      </c>
      <c r="DI67" s="647" t="s">
        <v>1021</v>
      </c>
      <c r="DJ67" s="647" t="s">
        <v>1021</v>
      </c>
      <c r="DK67" s="647" t="s">
        <v>1021</v>
      </c>
      <c r="DL67" s="647" t="s">
        <v>1021</v>
      </c>
      <c r="DM67" s="647" t="s">
        <v>1021</v>
      </c>
      <c r="DN67" s="647" t="s">
        <v>1021</v>
      </c>
      <c r="DO67" s="647" t="s">
        <v>1021</v>
      </c>
      <c r="DP67" s="647" t="s">
        <v>1021</v>
      </c>
      <c r="DQ67" s="648" t="s">
        <v>1021</v>
      </c>
    </row>
    <row r="68" spans="9:121" x14ac:dyDescent="0.25">
      <c r="I68" s="474" t="s">
        <v>837</v>
      </c>
      <c r="J68" s="475" t="s">
        <v>839</v>
      </c>
      <c r="K68" s="473" t="s">
        <v>665</v>
      </c>
      <c r="L68" s="476" t="s">
        <v>51</v>
      </c>
      <c r="M68" s="476" t="str">
        <f t="shared" si="40"/>
        <v>Doesn't Apply</v>
      </c>
      <c r="N68" s="478">
        <f t="shared" si="41"/>
        <v>0</v>
      </c>
      <c r="O68" s="532">
        <f t="shared" si="42"/>
        <v>8.539502325113304</v>
      </c>
      <c r="P68" s="581">
        <f t="shared" si="43"/>
        <v>1</v>
      </c>
      <c r="Q68" s="548">
        <f t="shared" ref="Q68:Q85" si="71">+V68+T68-U68</f>
        <v>8.486450086675454</v>
      </c>
      <c r="R68" s="477">
        <f t="shared" si="44"/>
        <v>4.3098003024011712E-2</v>
      </c>
      <c r="S68" s="477">
        <f t="shared" si="45"/>
        <v>9.9542354138382663E-3</v>
      </c>
      <c r="T68" s="477">
        <f t="shared" si="46"/>
        <v>0.72254019124584645</v>
      </c>
      <c r="U68" s="477">
        <f t="shared" si="47"/>
        <v>0</v>
      </c>
      <c r="V68" s="477">
        <f t="shared" si="48"/>
        <v>7.7639098954296077</v>
      </c>
      <c r="W68" s="536">
        <f t="shared" si="49"/>
        <v>5.046898681351419E-3</v>
      </c>
      <c r="X68" s="536">
        <f t="shared" si="50"/>
        <v>1.1656692667632936E-3</v>
      </c>
      <c r="Y68" s="536">
        <f t="shared" si="51"/>
        <v>8.4611510570232168E-2</v>
      </c>
      <c r="Z68" s="536">
        <f t="shared" si="52"/>
        <v>0.90917592148165316</v>
      </c>
      <c r="AA68" s="538">
        <f t="shared" si="53"/>
        <v>0</v>
      </c>
      <c r="AB68" s="565">
        <f>+'5. GlobalData'!M7*1000*$D$21/1000</f>
        <v>91.278518944000012</v>
      </c>
      <c r="AC68" s="566">
        <f t="shared" ref="AC68:AC85" si="72">+AB68/(Q68+N68)</f>
        <v>10.755795180757158</v>
      </c>
      <c r="AD68" s="571">
        <f t="shared" ref="AD68:AD85" si="73">+AB68*(N68/(N68+O68))</f>
        <v>0</v>
      </c>
      <c r="AE68" s="585" t="str">
        <f t="shared" si="54"/>
        <v>-</v>
      </c>
      <c r="AF68" s="571">
        <f t="shared" ref="AF68:AF86" si="74">+AB68*(O68/(O68+N68))</f>
        <v>91.278518944000012</v>
      </c>
      <c r="AG68" s="587">
        <f t="shared" si="55"/>
        <v>10.688974072360699</v>
      </c>
      <c r="AH68" s="436">
        <f t="shared" si="56"/>
        <v>8.539502325113304</v>
      </c>
      <c r="AI68" s="635">
        <v>1</v>
      </c>
      <c r="AJ68" s="636">
        <v>0.71685328526162295</v>
      </c>
      <c r="AK68" s="636">
        <v>1.0757259540778876</v>
      </c>
      <c r="AL68" s="636">
        <v>0.77263629352239904</v>
      </c>
      <c r="AM68" s="636">
        <v>0.67891132441900459</v>
      </c>
      <c r="AN68" s="636">
        <v>0.61682447940381147</v>
      </c>
      <c r="AO68" s="636">
        <v>0.42940427627605338</v>
      </c>
      <c r="AP68" s="636">
        <v>0.33576851240974936</v>
      </c>
      <c r="AQ68" s="636">
        <v>0.27368166739455629</v>
      </c>
      <c r="AR68" s="636">
        <v>0.1805513998717613</v>
      </c>
      <c r="AS68" s="636">
        <v>8.7421132348974542E-2</v>
      </c>
      <c r="AT68" s="636">
        <v>2.5334287333775622E-2</v>
      </c>
      <c r="AU68" s="636">
        <v>0</v>
      </c>
      <c r="AV68" s="637">
        <v>0</v>
      </c>
      <c r="AW68" s="641">
        <f t="shared" ref="AW68:AW85" si="75">+IF(AI68="","",AI68*$AH68)</f>
        <v>8.539502325113304</v>
      </c>
      <c r="AX68" s="642">
        <f t="shared" ref="AX68:AX86" si="76">+IF(AJ68="","",AJ68*$AH68)</f>
        <v>6.1215702962567402</v>
      </c>
      <c r="AY68" s="642">
        <f t="shared" ref="AY68:AY86" si="77">+IF(AK68="","",AK68*$AH68)</f>
        <v>9.1861642860328487</v>
      </c>
      <c r="AZ68" s="642">
        <f t="shared" ref="AZ68:AZ86" si="78">+IF(AL68="","",AL68*$AH68)</f>
        <v>6.5979294250014515</v>
      </c>
      <c r="BA68" s="642">
        <f t="shared" ref="BA68:BA86" si="79">+IF(AM68="","",AM68*$AH68)</f>
        <v>5.7975648334218421</v>
      </c>
      <c r="BB68" s="642">
        <f t="shared" ref="BB68:BB86" si="80">+IF(AN68="","",AN68*$AH68)</f>
        <v>5.2673740760556509</v>
      </c>
      <c r="BC68" s="642">
        <f t="shared" ref="BC68:BC86" si="81">+IF(AO68="","",AO68*$AH68)</f>
        <v>3.6668988156729534</v>
      </c>
      <c r="BD68" s="642">
        <f t="shared" ref="BD68:BD86" si="82">+IF(AP68="","",AP68*$AH68)</f>
        <v>2.86729599242289</v>
      </c>
      <c r="BE68" s="642">
        <f t="shared" ref="BE68:BE86" si="83">+IF(AQ68="","",AQ68*$AH68)</f>
        <v>2.3371052350566992</v>
      </c>
      <c r="BF68" s="642">
        <f t="shared" ref="BF68:BF86" si="84">+IF(AR68="","",AR68*$AH68)</f>
        <v>1.5418190990073675</v>
      </c>
      <c r="BG68" s="642">
        <f t="shared" ref="BG68:BG86" si="85">+IF(AS68="","",AS68*$AH68)</f>
        <v>0.74653296295810601</v>
      </c>
      <c r="BH68" s="642">
        <f t="shared" ref="BH68:BH86" si="86">+IF(AT68="","",AT68*$AH68)</f>
        <v>0.21634220559186546</v>
      </c>
      <c r="BI68" s="642">
        <f t="shared" ref="BI68:BI86" si="87">+IF(AU68="","",AU68*$AH68)</f>
        <v>0</v>
      </c>
      <c r="BJ68" s="643">
        <f t="shared" ref="BJ68:BJ86" si="88">+IF(AV68="","",AV68*$AH68)</f>
        <v>0</v>
      </c>
      <c r="BK68" s="641">
        <v>8.539502325113304</v>
      </c>
      <c r="BL68" s="642">
        <v>6.1215702962567402</v>
      </c>
      <c r="BM68" s="642">
        <v>9.1861642860328487</v>
      </c>
      <c r="BN68" s="642">
        <v>6.5979294250014515</v>
      </c>
      <c r="BO68" s="642">
        <v>5.7975648334218421</v>
      </c>
      <c r="BP68" s="642">
        <v>5.2673740760556509</v>
      </c>
      <c r="BQ68" s="642">
        <v>3.6668988156729534</v>
      </c>
      <c r="BR68" s="642">
        <v>2.86729599242289</v>
      </c>
      <c r="BS68" s="642">
        <v>2.3371052350566992</v>
      </c>
      <c r="BT68" s="647">
        <v>1.5418190990073675</v>
      </c>
      <c r="BU68" s="647">
        <v>0.74653296295810601</v>
      </c>
      <c r="BV68" s="647">
        <v>0.21634220559186546</v>
      </c>
      <c r="BW68" s="647">
        <v>0</v>
      </c>
      <c r="BX68" s="648">
        <v>0</v>
      </c>
      <c r="BY68" s="630"/>
      <c r="BZ68" s="630"/>
      <c r="CA68" s="630"/>
      <c r="CB68" s="635" t="str">
        <f>+IF('5. GlobalData'!BF118="","",'5. GlobalData'!BF118)</f>
        <v/>
      </c>
      <c r="CC68" s="636" t="str">
        <f>+IF('5. GlobalData'!BG118="","",'5. GlobalData'!BG118)</f>
        <v/>
      </c>
      <c r="CD68" s="636" t="str">
        <f>+IF('5. GlobalData'!BH118="","",'5. GlobalData'!BH118)</f>
        <v/>
      </c>
      <c r="CE68" s="636" t="str">
        <f>+IF('5. GlobalData'!BI118="","",'5. GlobalData'!BI118)</f>
        <v/>
      </c>
      <c r="CF68" s="636" t="str">
        <f>+IF('5. GlobalData'!BJ118="","",'5. GlobalData'!BJ118)</f>
        <v/>
      </c>
      <c r="CG68" s="636" t="str">
        <f>+IF('5. GlobalData'!BK118="","",'5. GlobalData'!BK118)</f>
        <v/>
      </c>
      <c r="CH68" s="636" t="str">
        <f>+IF('5. GlobalData'!BL118="","",'5. GlobalData'!BL118)</f>
        <v/>
      </c>
      <c r="CI68" s="636" t="str">
        <f>+IF('5. GlobalData'!BM118="","",'5. GlobalData'!BM118)</f>
        <v/>
      </c>
      <c r="CJ68" s="636" t="str">
        <f>+IF('5. GlobalData'!BN118="","",'5. GlobalData'!BN118)</f>
        <v/>
      </c>
      <c r="CK68" s="636" t="str">
        <f>+IF('5. GlobalData'!BO118="","",'5. GlobalData'!BO118)</f>
        <v/>
      </c>
      <c r="CL68" s="636" t="str">
        <f>+IF('5. GlobalData'!BP118="","",'5. GlobalData'!BP118)</f>
        <v/>
      </c>
      <c r="CM68" s="636" t="str">
        <f>+IF('5. GlobalData'!BQ118="","",'5. GlobalData'!BQ118)</f>
        <v/>
      </c>
      <c r="CN68" s="636" t="str">
        <f>+IF('5. GlobalData'!BR118="","",'5. GlobalData'!BR118)</f>
        <v/>
      </c>
      <c r="CO68" s="637" t="str">
        <f>+IF('5. GlobalData'!BS118="","",'5. GlobalData'!BS118)</f>
        <v/>
      </c>
      <c r="CP68" s="641" t="str">
        <f t="shared" ref="CP68:CP85" si="89">+IF(CB68="","",CB68*$AH68)</f>
        <v/>
      </c>
      <c r="CQ68" s="642" t="str">
        <f t="shared" si="58"/>
        <v/>
      </c>
      <c r="CR68" s="642" t="str">
        <f t="shared" si="59"/>
        <v/>
      </c>
      <c r="CS68" s="642" t="str">
        <f t="shared" si="60"/>
        <v/>
      </c>
      <c r="CT68" s="642" t="str">
        <f t="shared" si="61"/>
        <v/>
      </c>
      <c r="CU68" s="642" t="str">
        <f t="shared" si="62"/>
        <v/>
      </c>
      <c r="CV68" s="642" t="str">
        <f t="shared" si="63"/>
        <v/>
      </c>
      <c r="CW68" s="642" t="str">
        <f t="shared" si="64"/>
        <v/>
      </c>
      <c r="CX68" s="642" t="str">
        <f t="shared" si="65"/>
        <v/>
      </c>
      <c r="CY68" s="642" t="str">
        <f t="shared" si="66"/>
        <v/>
      </c>
      <c r="CZ68" s="642" t="str">
        <f t="shared" si="67"/>
        <v/>
      </c>
      <c r="DA68" s="642" t="str">
        <f t="shared" si="68"/>
        <v/>
      </c>
      <c r="DB68" s="642" t="str">
        <f t="shared" si="69"/>
        <v/>
      </c>
      <c r="DC68" s="643" t="str">
        <f t="shared" si="70"/>
        <v/>
      </c>
      <c r="DD68" s="641">
        <v>8.539502325113304</v>
      </c>
      <c r="DE68" s="642">
        <v>6.1215702962567402</v>
      </c>
      <c r="DF68" s="642">
        <v>9.1861642860328487</v>
      </c>
      <c r="DG68" s="642">
        <v>6.5979294250014515</v>
      </c>
      <c r="DH68" s="642">
        <v>5.7975648334218421</v>
      </c>
      <c r="DI68" s="642">
        <v>5.2673740760556509</v>
      </c>
      <c r="DJ68" s="642">
        <v>3.6668988156729534</v>
      </c>
      <c r="DK68" s="642">
        <v>2.86729599242289</v>
      </c>
      <c r="DL68" s="642">
        <v>2.3371052350566992</v>
      </c>
      <c r="DM68" s="647" t="s">
        <v>1021</v>
      </c>
      <c r="DN68" s="647" t="s">
        <v>1021</v>
      </c>
      <c r="DO68" s="647" t="s">
        <v>1021</v>
      </c>
      <c r="DP68" s="647" t="s">
        <v>1021</v>
      </c>
      <c r="DQ68" s="648" t="s">
        <v>1021</v>
      </c>
    </row>
    <row r="69" spans="9:121" x14ac:dyDescent="0.25">
      <c r="I69" s="474" t="s">
        <v>822</v>
      </c>
      <c r="J69" s="475" t="s">
        <v>850</v>
      </c>
      <c r="K69" s="473" t="s">
        <v>665</v>
      </c>
      <c r="L69" s="476" t="s">
        <v>51</v>
      </c>
      <c r="M69" s="476" t="str">
        <f t="shared" si="40"/>
        <v>Doesn't Apply</v>
      </c>
      <c r="N69" s="478">
        <f t="shared" si="41"/>
        <v>0</v>
      </c>
      <c r="O69" s="532">
        <f t="shared" si="42"/>
        <v>13.106881088314344</v>
      </c>
      <c r="P69" s="581">
        <f t="shared" si="43"/>
        <v>1</v>
      </c>
      <c r="Q69" s="548">
        <f t="shared" si="71"/>
        <v>11.790499076061606</v>
      </c>
      <c r="R69" s="477">
        <f t="shared" si="44"/>
        <v>0</v>
      </c>
      <c r="S69" s="477">
        <f t="shared" si="45"/>
        <v>0</v>
      </c>
      <c r="T69" s="477">
        <f t="shared" si="46"/>
        <v>13.106881088314344</v>
      </c>
      <c r="U69" s="477">
        <f t="shared" si="47"/>
        <v>1.3163820122527377</v>
      </c>
      <c r="V69" s="477">
        <f t="shared" si="48"/>
        <v>0</v>
      </c>
      <c r="W69" s="536">
        <f t="shared" si="49"/>
        <v>0</v>
      </c>
      <c r="X69" s="536">
        <f t="shared" si="50"/>
        <v>0</v>
      </c>
      <c r="Y69" s="536">
        <f t="shared" si="51"/>
        <v>1</v>
      </c>
      <c r="Z69" s="536">
        <f t="shared" si="52"/>
        <v>0</v>
      </c>
      <c r="AA69" s="538">
        <f t="shared" si="53"/>
        <v>0.10043442092614846</v>
      </c>
      <c r="AB69" s="565">
        <f>+'5. GlobalData'!M8*1000*$D$21/1000</f>
        <v>23.492594688000001</v>
      </c>
      <c r="AC69" s="566">
        <f t="shared" si="72"/>
        <v>1.9925021440099429</v>
      </c>
      <c r="AD69" s="571">
        <f t="shared" si="73"/>
        <v>0</v>
      </c>
      <c r="AE69" s="585" t="str">
        <f t="shared" si="54"/>
        <v>-</v>
      </c>
      <c r="AF69" s="571">
        <f t="shared" si="74"/>
        <v>23.492594688000001</v>
      </c>
      <c r="AG69" s="587">
        <f t="shared" si="55"/>
        <v>1.7923863449821951</v>
      </c>
      <c r="AH69" s="436">
        <f t="shared" si="56"/>
        <v>13.106881088314344</v>
      </c>
      <c r="AI69" s="635">
        <v>1</v>
      </c>
      <c r="AJ69" s="636">
        <v>0.95820762096323608</v>
      </c>
      <c r="AK69" s="636">
        <v>0.30506201810258143</v>
      </c>
      <c r="AL69" s="636">
        <v>0.16426416359369764</v>
      </c>
      <c r="AM69" s="636">
        <v>8.2132081796848902E-2</v>
      </c>
      <c r="AN69" s="636">
        <v>0</v>
      </c>
      <c r="AO69" s="636">
        <v>0</v>
      </c>
      <c r="AP69" s="636">
        <v>0</v>
      </c>
      <c r="AQ69" s="636">
        <v>0</v>
      </c>
      <c r="AR69" s="636">
        <v>0</v>
      </c>
      <c r="AS69" s="636">
        <v>0</v>
      </c>
      <c r="AT69" s="636">
        <v>0</v>
      </c>
      <c r="AU69" s="636">
        <v>0</v>
      </c>
      <c r="AV69" s="637">
        <v>0</v>
      </c>
      <c r="AW69" s="641">
        <f t="shared" si="75"/>
        <v>13.106881088314344</v>
      </c>
      <c r="AX69" s="642">
        <f t="shared" si="76"/>
        <v>12.559113345881718</v>
      </c>
      <c r="AY69" s="642">
        <f t="shared" si="77"/>
        <v>3.9984115958317328</v>
      </c>
      <c r="AZ69" s="642">
        <f t="shared" si="78"/>
        <v>2.1529908592940092</v>
      </c>
      <c r="BA69" s="642">
        <f t="shared" si="79"/>
        <v>1.0764954296470057</v>
      </c>
      <c r="BB69" s="642">
        <f t="shared" si="80"/>
        <v>0</v>
      </c>
      <c r="BC69" s="642">
        <f t="shared" si="81"/>
        <v>0</v>
      </c>
      <c r="BD69" s="642">
        <f t="shared" si="82"/>
        <v>0</v>
      </c>
      <c r="BE69" s="642">
        <f t="shared" si="83"/>
        <v>0</v>
      </c>
      <c r="BF69" s="642">
        <f t="shared" si="84"/>
        <v>0</v>
      </c>
      <c r="BG69" s="642">
        <f t="shared" si="85"/>
        <v>0</v>
      </c>
      <c r="BH69" s="642">
        <f t="shared" si="86"/>
        <v>0</v>
      </c>
      <c r="BI69" s="642">
        <f t="shared" si="87"/>
        <v>0</v>
      </c>
      <c r="BJ69" s="643">
        <f t="shared" si="88"/>
        <v>0</v>
      </c>
      <c r="BK69" s="641">
        <v>13.106881088314344</v>
      </c>
      <c r="BL69" s="642">
        <v>12.559113345881718</v>
      </c>
      <c r="BM69" s="642">
        <v>3.9984115958317328</v>
      </c>
      <c r="BN69" s="642">
        <v>2.1529908592940092</v>
      </c>
      <c r="BO69" s="642">
        <v>1.0764954296470057</v>
      </c>
      <c r="BP69" s="647">
        <v>0</v>
      </c>
      <c r="BQ69" s="647">
        <v>0</v>
      </c>
      <c r="BR69" s="647">
        <v>0</v>
      </c>
      <c r="BS69" s="647">
        <v>0</v>
      </c>
      <c r="BT69" s="647">
        <v>0</v>
      </c>
      <c r="BU69" s="647">
        <v>0</v>
      </c>
      <c r="BV69" s="647">
        <v>0</v>
      </c>
      <c r="BW69" s="647">
        <v>0</v>
      </c>
      <c r="BX69" s="648">
        <v>0</v>
      </c>
      <c r="BY69" s="630"/>
      <c r="BZ69" s="630"/>
      <c r="CA69" s="630"/>
      <c r="CB69" s="635" t="str">
        <f>+IF('5. GlobalData'!BF119="","",'5. GlobalData'!BF119)</f>
        <v/>
      </c>
      <c r="CC69" s="636" t="str">
        <f>+IF('5. GlobalData'!BG119="","",'5. GlobalData'!BG119)</f>
        <v/>
      </c>
      <c r="CD69" s="636" t="str">
        <f>+IF('5. GlobalData'!BH119="","",'5. GlobalData'!BH119)</f>
        <v/>
      </c>
      <c r="CE69" s="636" t="str">
        <f>+IF('5. GlobalData'!BI119="","",'5. GlobalData'!BI119)</f>
        <v/>
      </c>
      <c r="CF69" s="636" t="str">
        <f>+IF('5. GlobalData'!BJ119="","",'5. GlobalData'!BJ119)</f>
        <v/>
      </c>
      <c r="CG69" s="636" t="str">
        <f>+IF('5. GlobalData'!BK119="","",'5. GlobalData'!BK119)</f>
        <v/>
      </c>
      <c r="CH69" s="636" t="str">
        <f>+IF('5. GlobalData'!BL119="","",'5. GlobalData'!BL119)</f>
        <v/>
      </c>
      <c r="CI69" s="636" t="str">
        <f>+IF('5. GlobalData'!BM119="","",'5. GlobalData'!BM119)</f>
        <v/>
      </c>
      <c r="CJ69" s="636" t="str">
        <f>+IF('5. GlobalData'!BN119="","",'5. GlobalData'!BN119)</f>
        <v/>
      </c>
      <c r="CK69" s="636" t="str">
        <f>+IF('5. GlobalData'!BO119="","",'5. GlobalData'!BO119)</f>
        <v/>
      </c>
      <c r="CL69" s="636" t="str">
        <f>+IF('5. GlobalData'!BP119="","",'5. GlobalData'!BP119)</f>
        <v/>
      </c>
      <c r="CM69" s="636" t="str">
        <f>+IF('5. GlobalData'!BQ119="","",'5. GlobalData'!BQ119)</f>
        <v/>
      </c>
      <c r="CN69" s="636" t="str">
        <f>+IF('5. GlobalData'!BR119="","",'5. GlobalData'!BR119)</f>
        <v/>
      </c>
      <c r="CO69" s="637" t="str">
        <f>+IF('5. GlobalData'!BS119="","",'5. GlobalData'!BS119)</f>
        <v/>
      </c>
      <c r="CP69" s="641" t="str">
        <f t="shared" si="89"/>
        <v/>
      </c>
      <c r="CQ69" s="642" t="str">
        <f t="shared" si="58"/>
        <v/>
      </c>
      <c r="CR69" s="642" t="str">
        <f t="shared" si="59"/>
        <v/>
      </c>
      <c r="CS69" s="642" t="str">
        <f t="shared" si="60"/>
        <v/>
      </c>
      <c r="CT69" s="642" t="str">
        <f t="shared" si="61"/>
        <v/>
      </c>
      <c r="CU69" s="642" t="str">
        <f t="shared" si="62"/>
        <v/>
      </c>
      <c r="CV69" s="642" t="str">
        <f t="shared" si="63"/>
        <v/>
      </c>
      <c r="CW69" s="642" t="str">
        <f t="shared" si="64"/>
        <v/>
      </c>
      <c r="CX69" s="642" t="str">
        <f t="shared" si="65"/>
        <v/>
      </c>
      <c r="CY69" s="642" t="str">
        <f t="shared" si="66"/>
        <v/>
      </c>
      <c r="CZ69" s="642" t="str">
        <f t="shared" si="67"/>
        <v/>
      </c>
      <c r="DA69" s="642" t="str">
        <f t="shared" si="68"/>
        <v/>
      </c>
      <c r="DB69" s="642" t="str">
        <f t="shared" si="69"/>
        <v/>
      </c>
      <c r="DC69" s="643" t="str">
        <f t="shared" si="70"/>
        <v/>
      </c>
      <c r="DD69" s="641">
        <v>13.106881088314344</v>
      </c>
      <c r="DE69" s="642">
        <v>12.559113345881718</v>
      </c>
      <c r="DF69" s="642">
        <v>3.9984115958317328</v>
      </c>
      <c r="DG69" s="642">
        <v>2.1529908592940092</v>
      </c>
      <c r="DH69" s="642">
        <v>1.0764954296470057</v>
      </c>
      <c r="DI69" s="647" t="s">
        <v>1021</v>
      </c>
      <c r="DJ69" s="647" t="s">
        <v>1021</v>
      </c>
      <c r="DK69" s="647" t="s">
        <v>1021</v>
      </c>
      <c r="DL69" s="647" t="s">
        <v>1021</v>
      </c>
      <c r="DM69" s="647" t="s">
        <v>1021</v>
      </c>
      <c r="DN69" s="647" t="s">
        <v>1021</v>
      </c>
      <c r="DO69" s="647" t="s">
        <v>1021</v>
      </c>
      <c r="DP69" s="647" t="s">
        <v>1021</v>
      </c>
      <c r="DQ69" s="648" t="s">
        <v>1021</v>
      </c>
    </row>
    <row r="70" spans="9:121" x14ac:dyDescent="0.25">
      <c r="I70" s="473" t="s">
        <v>822</v>
      </c>
      <c r="J70" s="476" t="s">
        <v>823</v>
      </c>
      <c r="K70" s="473">
        <v>48</v>
      </c>
      <c r="L70" s="476"/>
      <c r="M70" s="476" t="str">
        <f t="shared" si="40"/>
        <v>Light Oil</v>
      </c>
      <c r="N70" s="573">
        <f t="shared" si="41"/>
        <v>22.733323234776581</v>
      </c>
      <c r="O70" s="574">
        <f t="shared" si="42"/>
        <v>93.265320299494704</v>
      </c>
      <c r="P70" s="582">
        <f t="shared" si="43"/>
        <v>0.80402078384597564</v>
      </c>
      <c r="Q70" s="575">
        <f t="shared" si="71"/>
        <v>75.291444019366892</v>
      </c>
      <c r="R70" s="576">
        <f t="shared" si="44"/>
        <v>14.103990590462988</v>
      </c>
      <c r="S70" s="576">
        <f t="shared" si="45"/>
        <v>0.82481844578701846</v>
      </c>
      <c r="T70" s="576">
        <f t="shared" si="46"/>
        <v>6.0840367613967006</v>
      </c>
      <c r="U70" s="576">
        <f t="shared" si="47"/>
        <v>3.0450672438778423</v>
      </c>
      <c r="V70" s="576">
        <f t="shared" si="48"/>
        <v>72.252474501848027</v>
      </c>
      <c r="W70" s="577">
        <f t="shared" si="49"/>
        <v>0.15122438378136788</v>
      </c>
      <c r="X70" s="577">
        <f t="shared" si="50"/>
        <v>8.8437850547057762E-3</v>
      </c>
      <c r="Y70" s="577">
        <f t="shared" si="51"/>
        <v>6.5233644637251759E-2</v>
      </c>
      <c r="Z70" s="577">
        <f t="shared" si="52"/>
        <v>0.77469818652667488</v>
      </c>
      <c r="AA70" s="578">
        <f t="shared" si="53"/>
        <v>0.50050112504231359</v>
      </c>
      <c r="AB70" s="565">
        <f>+'5. GlobalData'!M9*1000*$D$21/1000</f>
        <v>1074.662101981407</v>
      </c>
      <c r="AC70" s="566">
        <f t="shared" si="72"/>
        <v>10.963169126382001</v>
      </c>
      <c r="AD70" s="571">
        <f t="shared" si="73"/>
        <v>210.61143637675241</v>
      </c>
      <c r="AE70" s="586">
        <f t="shared" si="54"/>
        <v>9.2644368006243347</v>
      </c>
      <c r="AF70" s="571">
        <f t="shared" si="74"/>
        <v>864.05066560465468</v>
      </c>
      <c r="AG70" s="587">
        <f t="shared" si="55"/>
        <v>9.2644368006243365</v>
      </c>
      <c r="AH70" s="436">
        <f t="shared" si="56"/>
        <v>115.99864353427128</v>
      </c>
      <c r="AI70" s="635">
        <v>1</v>
      </c>
      <c r="AJ70" s="636">
        <v>1.1460583239097806</v>
      </c>
      <c r="AK70" s="636">
        <v>1.0267765189182025</v>
      </c>
      <c r="AL70" s="636">
        <v>0.79637254256474788</v>
      </c>
      <c r="AM70" s="636">
        <v>0.6671995559556464</v>
      </c>
      <c r="AN70" s="636">
        <v>0.47344007604199378</v>
      </c>
      <c r="AO70" s="636">
        <v>0.35327754723604365</v>
      </c>
      <c r="AP70" s="636">
        <v>0.27316919469874357</v>
      </c>
      <c r="AQ70" s="636">
        <v>0.20255695994008427</v>
      </c>
      <c r="AR70" s="636">
        <v>0.10260539330343703</v>
      </c>
      <c r="AS70" s="636">
        <v>8.2721426420613448E-2</v>
      </c>
      <c r="AT70" s="636">
        <v>6.9465448498731056E-2</v>
      </c>
      <c r="AU70" s="636">
        <v>6.2248018561534842E-2</v>
      </c>
      <c r="AV70" s="637">
        <v>5.1421873655740524E-2</v>
      </c>
      <c r="AW70" s="641">
        <f t="shared" si="75"/>
        <v>115.99864353427128</v>
      </c>
      <c r="AX70" s="642">
        <f t="shared" si="76"/>
        <v>132.94121098469506</v>
      </c>
      <c r="AY70" s="642">
        <f t="shared" si="77"/>
        <v>119.10468340735252</v>
      </c>
      <c r="AZ70" s="642">
        <f t="shared" si="78"/>
        <v>92.378134685449467</v>
      </c>
      <c r="BA70" s="642">
        <f t="shared" si="79"/>
        <v>77.394243457523118</v>
      </c>
      <c r="BB70" s="642">
        <f t="shared" si="80"/>
        <v>54.918406615633529</v>
      </c>
      <c r="BC70" s="642">
        <f t="shared" si="81"/>
        <v>40.979716270495516</v>
      </c>
      <c r="BD70" s="642">
        <f t="shared" si="82"/>
        <v>31.687256040403504</v>
      </c>
      <c r="BE70" s="642">
        <f t="shared" si="83"/>
        <v>23.496332591475504</v>
      </c>
      <c r="BF70" s="642">
        <f t="shared" si="84"/>
        <v>11.902086442499098</v>
      </c>
      <c r="BG70" s="642">
        <f t="shared" si="85"/>
        <v>9.595573256011189</v>
      </c>
      <c r="BH70" s="642">
        <f t="shared" si="86"/>
        <v>8.0578977983525846</v>
      </c>
      <c r="BI70" s="642">
        <f t="shared" si="87"/>
        <v>7.2206857158341826</v>
      </c>
      <c r="BJ70" s="643">
        <f t="shared" si="88"/>
        <v>5.9648675920565806</v>
      </c>
      <c r="BK70" s="641">
        <v>115.99864353427128</v>
      </c>
      <c r="BL70" s="642">
        <v>132.94121098469506</v>
      </c>
      <c r="BM70" s="642">
        <v>119.10468340735252</v>
      </c>
      <c r="BN70" s="642">
        <v>92.378134685449467</v>
      </c>
      <c r="BO70" s="649">
        <v>77.394243457523118</v>
      </c>
      <c r="BP70" s="642">
        <v>54.918406615633529</v>
      </c>
      <c r="BQ70" s="649">
        <v>40.979716270495516</v>
      </c>
      <c r="BR70" s="642">
        <v>31.687256040403504</v>
      </c>
      <c r="BS70" s="649">
        <v>23.496332591475504</v>
      </c>
      <c r="BT70" s="642">
        <v>11.902086442499098</v>
      </c>
      <c r="BU70" s="649">
        <v>9.595573256011189</v>
      </c>
      <c r="BV70" s="642">
        <v>8.0578977983525846</v>
      </c>
      <c r="BW70" s="649">
        <v>7.2206857158341826</v>
      </c>
      <c r="BX70" s="643">
        <v>5.9648675920565806</v>
      </c>
      <c r="BY70" s="630"/>
      <c r="BZ70" s="630"/>
      <c r="CA70" s="630"/>
      <c r="CB70" s="635" t="str">
        <f>+IF('5. GlobalData'!BF120="","",'5. GlobalData'!BF120)</f>
        <v/>
      </c>
      <c r="CC70" s="636" t="str">
        <f>+IF('5. GlobalData'!BG120="","",'5. GlobalData'!BG120)</f>
        <v/>
      </c>
      <c r="CD70" s="636" t="str">
        <f>+IF('5. GlobalData'!BH120="","",'5. GlobalData'!BH120)</f>
        <v/>
      </c>
      <c r="CE70" s="636" t="str">
        <f>+IF('5. GlobalData'!BI120="","",'5. GlobalData'!BI120)</f>
        <v/>
      </c>
      <c r="CF70" s="636" t="str">
        <f>+IF('5. GlobalData'!BJ120="","",'5. GlobalData'!BJ120)</f>
        <v/>
      </c>
      <c r="CG70" s="636" t="str">
        <f>+IF('5. GlobalData'!BK120="","",'5. GlobalData'!BK120)</f>
        <v/>
      </c>
      <c r="CH70" s="636" t="str">
        <f>+IF('5. GlobalData'!BL120="","",'5. GlobalData'!BL120)</f>
        <v/>
      </c>
      <c r="CI70" s="636" t="str">
        <f>+IF('5. GlobalData'!BM120="","",'5. GlobalData'!BM120)</f>
        <v/>
      </c>
      <c r="CJ70" s="636" t="str">
        <f>+IF('5. GlobalData'!BN120="","",'5. GlobalData'!BN120)</f>
        <v/>
      </c>
      <c r="CK70" s="636" t="str">
        <f>+IF('5. GlobalData'!BO120="","",'5. GlobalData'!BO120)</f>
        <v/>
      </c>
      <c r="CL70" s="636" t="str">
        <f>+IF('5. GlobalData'!BP120="","",'5. GlobalData'!BP120)</f>
        <v/>
      </c>
      <c r="CM70" s="636" t="str">
        <f>+IF('5. GlobalData'!BQ120="","",'5. GlobalData'!BQ120)</f>
        <v/>
      </c>
      <c r="CN70" s="636" t="str">
        <f>+IF('5. GlobalData'!BR120="","",'5. GlobalData'!BR120)</f>
        <v/>
      </c>
      <c r="CO70" s="637" t="str">
        <f>+IF('5. GlobalData'!BS120="","",'5. GlobalData'!BS120)</f>
        <v/>
      </c>
      <c r="CP70" s="641" t="str">
        <f t="shared" si="89"/>
        <v/>
      </c>
      <c r="CQ70" s="642" t="str">
        <f t="shared" si="58"/>
        <v/>
      </c>
      <c r="CR70" s="642" t="str">
        <f t="shared" si="59"/>
        <v/>
      </c>
      <c r="CS70" s="642" t="str">
        <f t="shared" si="60"/>
        <v/>
      </c>
      <c r="CT70" s="642" t="str">
        <f t="shared" si="61"/>
        <v/>
      </c>
      <c r="CU70" s="642" t="str">
        <f t="shared" si="62"/>
        <v/>
      </c>
      <c r="CV70" s="642" t="str">
        <f t="shared" si="63"/>
        <v/>
      </c>
      <c r="CW70" s="642" t="str">
        <f t="shared" si="64"/>
        <v/>
      </c>
      <c r="CX70" s="642" t="str">
        <f t="shared" si="65"/>
        <v/>
      </c>
      <c r="CY70" s="642" t="str">
        <f t="shared" si="66"/>
        <v/>
      </c>
      <c r="CZ70" s="642" t="str">
        <f t="shared" si="67"/>
        <v/>
      </c>
      <c r="DA70" s="642" t="str">
        <f t="shared" si="68"/>
        <v/>
      </c>
      <c r="DB70" s="642" t="str">
        <f t="shared" si="69"/>
        <v/>
      </c>
      <c r="DC70" s="643" t="str">
        <f t="shared" si="70"/>
        <v/>
      </c>
      <c r="DD70" s="641">
        <v>115.99864353427128</v>
      </c>
      <c r="DE70" s="642">
        <v>132.94121098469506</v>
      </c>
      <c r="DF70" s="642">
        <v>119.10468340735252</v>
      </c>
      <c r="DG70" s="642">
        <v>92.378134685449467</v>
      </c>
      <c r="DH70" s="649">
        <f>+DG70+(DI70-DG70)*(2027-2025)/(2030-2025)</f>
        <v>77.394243457523089</v>
      </c>
      <c r="DI70" s="642">
        <v>54.918406615633529</v>
      </c>
      <c r="DJ70" s="649">
        <f>+DI70+(DK70-DI70)*(2033-2030)/(2035-2030)</f>
        <v>40.979716270495516</v>
      </c>
      <c r="DK70" s="642">
        <v>31.687256040403504</v>
      </c>
      <c r="DL70" s="649">
        <f>+DK70+(DM70-DK70)*(2037-2035)/(2040-2035)</f>
        <v>23.773188201241741</v>
      </c>
      <c r="DM70" s="642">
        <v>11.902086442499098</v>
      </c>
      <c r="DN70" s="649">
        <f>+DM70+(DO70-DM70)*(2043-2040)/(2045-2040)</f>
        <v>9.595573256011189</v>
      </c>
      <c r="DO70" s="642">
        <v>8.0578977983525846</v>
      </c>
      <c r="DP70" s="649">
        <f>+DO70+(DQ70-DO70)*(2047-2045)/(2050-2045)</f>
        <v>7.2206857158341826</v>
      </c>
      <c r="DQ70" s="643">
        <v>5.9648675920565806</v>
      </c>
    </row>
    <row r="71" spans="9:121" x14ac:dyDescent="0.25">
      <c r="I71" s="473" t="s">
        <v>822</v>
      </c>
      <c r="J71" s="476" t="s">
        <v>825</v>
      </c>
      <c r="K71" s="473">
        <v>52</v>
      </c>
      <c r="L71" s="476"/>
      <c r="M71" s="476" t="str">
        <f t="shared" si="40"/>
        <v>Light Oil</v>
      </c>
      <c r="N71" s="573">
        <f t="shared" si="41"/>
        <v>7.0712088472532377</v>
      </c>
      <c r="O71" s="574">
        <f t="shared" si="42"/>
        <v>83.600151440022017</v>
      </c>
      <c r="P71" s="582">
        <f t="shared" si="43"/>
        <v>0.92201276318289005</v>
      </c>
      <c r="Q71" s="575">
        <f t="shared" si="71"/>
        <v>60.807849771910234</v>
      </c>
      <c r="R71" s="576">
        <f t="shared" si="44"/>
        <v>11.187076555858232</v>
      </c>
      <c r="S71" s="576">
        <f t="shared" si="45"/>
        <v>0.42083397893088031</v>
      </c>
      <c r="T71" s="576">
        <f t="shared" si="46"/>
        <v>11.193699252036202</v>
      </c>
      <c r="U71" s="576">
        <f t="shared" si="47"/>
        <v>11.184391133322654</v>
      </c>
      <c r="V71" s="576">
        <f t="shared" si="48"/>
        <v>60.798541653196693</v>
      </c>
      <c r="W71" s="577">
        <f t="shared" si="49"/>
        <v>0.13381646280729853</v>
      </c>
      <c r="X71" s="577">
        <f t="shared" si="50"/>
        <v>5.0338901506991034E-3</v>
      </c>
      <c r="Y71" s="577">
        <f t="shared" si="51"/>
        <v>0.13389568151759862</v>
      </c>
      <c r="Z71" s="577">
        <f t="shared" si="52"/>
        <v>0.72725396552440358</v>
      </c>
      <c r="AA71" s="578">
        <f t="shared" si="53"/>
        <v>0.99916845016969213</v>
      </c>
      <c r="AB71" s="565">
        <f>+'5. GlobalData'!M10*1000*$D$21/1000</f>
        <v>170.99427644000002</v>
      </c>
      <c r="AC71" s="566">
        <f t="shared" si="72"/>
        <v>2.519102060612922</v>
      </c>
      <c r="AD71" s="571">
        <f t="shared" si="73"/>
        <v>13.335371131096654</v>
      </c>
      <c r="AE71" s="586">
        <f t="shared" si="54"/>
        <v>1.8858686568530199</v>
      </c>
      <c r="AF71" s="571">
        <f t="shared" si="74"/>
        <v>157.65890530890337</v>
      </c>
      <c r="AG71" s="587">
        <f t="shared" si="55"/>
        <v>1.8858686568530199</v>
      </c>
      <c r="AH71" s="436">
        <f t="shared" si="56"/>
        <v>90.671360287275249</v>
      </c>
      <c r="AI71" s="635">
        <v>1</v>
      </c>
      <c r="AJ71" s="636">
        <v>0.86406008870132311</v>
      </c>
      <c r="AK71" s="636">
        <v>0.61897237008422135</v>
      </c>
      <c r="AL71" s="636">
        <v>0.45558055767282019</v>
      </c>
      <c r="AM71" s="636">
        <v>0.44541727468556247</v>
      </c>
      <c r="AN71" s="636">
        <v>0.19955654101995188</v>
      </c>
      <c r="AO71" s="636">
        <v>4.4345898004418072E-2</v>
      </c>
      <c r="AP71" s="636">
        <v>0</v>
      </c>
      <c r="AQ71" s="636">
        <v>0</v>
      </c>
      <c r="AR71" s="636">
        <v>0</v>
      </c>
      <c r="AS71" s="636">
        <v>0</v>
      </c>
      <c r="AT71" s="636">
        <v>0</v>
      </c>
      <c r="AU71" s="636">
        <v>0</v>
      </c>
      <c r="AV71" s="637">
        <v>0</v>
      </c>
      <c r="AW71" s="641">
        <f t="shared" si="75"/>
        <v>90.671360287275249</v>
      </c>
      <c r="AX71" s="642">
        <f t="shared" si="76"/>
        <v>78.345503612492678</v>
      </c>
      <c r="AY71" s="642">
        <f t="shared" si="77"/>
        <v>56.123066775775108</v>
      </c>
      <c r="AZ71" s="642">
        <f t="shared" si="78"/>
        <v>41.308108884630059</v>
      </c>
      <c r="BA71" s="642">
        <f t="shared" si="79"/>
        <v>40.386590191190876</v>
      </c>
      <c r="BB71" s="642">
        <f t="shared" si="80"/>
        <v>18.094063028502479</v>
      </c>
      <c r="BC71" s="642">
        <f t="shared" si="81"/>
        <v>4.0209028952213517</v>
      </c>
      <c r="BD71" s="642">
        <f t="shared" si="82"/>
        <v>0</v>
      </c>
      <c r="BE71" s="642">
        <f t="shared" si="83"/>
        <v>0</v>
      </c>
      <c r="BF71" s="642">
        <f t="shared" si="84"/>
        <v>0</v>
      </c>
      <c r="BG71" s="642">
        <f t="shared" si="85"/>
        <v>0</v>
      </c>
      <c r="BH71" s="642">
        <f t="shared" si="86"/>
        <v>0</v>
      </c>
      <c r="BI71" s="642">
        <f t="shared" si="87"/>
        <v>0</v>
      </c>
      <c r="BJ71" s="643">
        <f t="shared" si="88"/>
        <v>0</v>
      </c>
      <c r="BK71" s="641">
        <v>90.671360287275249</v>
      </c>
      <c r="BL71" s="642">
        <v>78.345503612492678</v>
      </c>
      <c r="BM71" s="649">
        <v>56.123066775775108</v>
      </c>
      <c r="BN71" s="642">
        <v>41.308108884630059</v>
      </c>
      <c r="BO71" s="647">
        <v>40.386590191190876</v>
      </c>
      <c r="BP71" s="647">
        <v>18.094063028502479</v>
      </c>
      <c r="BQ71" s="647">
        <v>4.0209028952213517</v>
      </c>
      <c r="BR71" s="647">
        <v>0</v>
      </c>
      <c r="BS71" s="647">
        <v>0</v>
      </c>
      <c r="BT71" s="647">
        <v>0</v>
      </c>
      <c r="BU71" s="647">
        <v>0</v>
      </c>
      <c r="BV71" s="647">
        <v>0</v>
      </c>
      <c r="BW71" s="647">
        <v>0</v>
      </c>
      <c r="BX71" s="648">
        <v>0</v>
      </c>
      <c r="BY71" s="630"/>
      <c r="BZ71" s="630"/>
      <c r="CA71" s="630"/>
      <c r="CB71" s="635" t="str">
        <f>+IF('5. GlobalData'!BF121="","",'5. GlobalData'!BF121)</f>
        <v/>
      </c>
      <c r="CC71" s="636" t="str">
        <f>+IF('5. GlobalData'!BG121="","",'5. GlobalData'!BG121)</f>
        <v/>
      </c>
      <c r="CD71" s="636" t="str">
        <f>+IF('5. GlobalData'!BH121="","",'5. GlobalData'!BH121)</f>
        <v/>
      </c>
      <c r="CE71" s="636" t="str">
        <f>+IF('5. GlobalData'!BI121="","",'5. GlobalData'!BI121)</f>
        <v/>
      </c>
      <c r="CF71" s="636" t="str">
        <f>+IF('5. GlobalData'!BJ121="","",'5. GlobalData'!BJ121)</f>
        <v/>
      </c>
      <c r="CG71" s="636" t="str">
        <f>+IF('5. GlobalData'!BK121="","",'5. GlobalData'!BK121)</f>
        <v/>
      </c>
      <c r="CH71" s="636" t="str">
        <f>+IF('5. GlobalData'!BL121="","",'5. GlobalData'!BL121)</f>
        <v/>
      </c>
      <c r="CI71" s="636" t="str">
        <f>+IF('5. GlobalData'!BM121="","",'5. GlobalData'!BM121)</f>
        <v/>
      </c>
      <c r="CJ71" s="636" t="str">
        <f>+IF('5. GlobalData'!BN121="","",'5. GlobalData'!BN121)</f>
        <v/>
      </c>
      <c r="CK71" s="636" t="str">
        <f>+IF('5. GlobalData'!BO121="","",'5. GlobalData'!BO121)</f>
        <v/>
      </c>
      <c r="CL71" s="636" t="str">
        <f>+IF('5. GlobalData'!BP121="","",'5. GlobalData'!BP121)</f>
        <v/>
      </c>
      <c r="CM71" s="636" t="str">
        <f>+IF('5. GlobalData'!BQ121="","",'5. GlobalData'!BQ121)</f>
        <v/>
      </c>
      <c r="CN71" s="636" t="str">
        <f>+IF('5. GlobalData'!BR121="","",'5. GlobalData'!BR121)</f>
        <v/>
      </c>
      <c r="CO71" s="637" t="str">
        <f>+IF('5. GlobalData'!BS121="","",'5. GlobalData'!BS121)</f>
        <v/>
      </c>
      <c r="CP71" s="641" t="str">
        <f t="shared" si="89"/>
        <v/>
      </c>
      <c r="CQ71" s="642" t="str">
        <f t="shared" si="58"/>
        <v/>
      </c>
      <c r="CR71" s="642" t="str">
        <f t="shared" si="59"/>
        <v/>
      </c>
      <c r="CS71" s="642" t="str">
        <f t="shared" si="60"/>
        <v/>
      </c>
      <c r="CT71" s="642" t="str">
        <f t="shared" si="61"/>
        <v/>
      </c>
      <c r="CU71" s="642" t="str">
        <f t="shared" si="62"/>
        <v/>
      </c>
      <c r="CV71" s="642" t="str">
        <f t="shared" si="63"/>
        <v/>
      </c>
      <c r="CW71" s="642" t="str">
        <f t="shared" si="64"/>
        <v/>
      </c>
      <c r="CX71" s="642" t="str">
        <f t="shared" si="65"/>
        <v/>
      </c>
      <c r="CY71" s="642" t="str">
        <f t="shared" si="66"/>
        <v/>
      </c>
      <c r="CZ71" s="642" t="str">
        <f t="shared" si="67"/>
        <v/>
      </c>
      <c r="DA71" s="642" t="str">
        <f t="shared" si="68"/>
        <v/>
      </c>
      <c r="DB71" s="642" t="str">
        <f t="shared" si="69"/>
        <v/>
      </c>
      <c r="DC71" s="643" t="str">
        <f t="shared" si="70"/>
        <v/>
      </c>
      <c r="DD71" s="641">
        <v>90.671360287275249</v>
      </c>
      <c r="DE71" s="642">
        <v>78.345503612492678</v>
      </c>
      <c r="DF71" s="649">
        <f>+DE71+(DG71-DE71)*(2023-2020)/(2025-2020)</f>
        <v>56.123066775775108</v>
      </c>
      <c r="DG71" s="642">
        <v>41.308108884630059</v>
      </c>
      <c r="DH71" s="647" t="s">
        <v>1021</v>
      </c>
      <c r="DI71" s="647" t="s">
        <v>1021</v>
      </c>
      <c r="DJ71" s="647" t="s">
        <v>1021</v>
      </c>
      <c r="DK71" s="647" t="s">
        <v>1021</v>
      </c>
      <c r="DL71" s="647" t="s">
        <v>1021</v>
      </c>
      <c r="DM71" s="647" t="s">
        <v>1021</v>
      </c>
      <c r="DN71" s="647" t="s">
        <v>1021</v>
      </c>
      <c r="DO71" s="647" t="s">
        <v>1021</v>
      </c>
      <c r="DP71" s="647" t="s">
        <v>1021</v>
      </c>
      <c r="DQ71" s="648" t="s">
        <v>1021</v>
      </c>
    </row>
    <row r="72" spans="9:121" x14ac:dyDescent="0.25">
      <c r="I72" s="473" t="s">
        <v>822</v>
      </c>
      <c r="J72" s="476" t="s">
        <v>827</v>
      </c>
      <c r="K72" s="473">
        <v>46</v>
      </c>
      <c r="L72" s="476"/>
      <c r="M72" s="476" t="str">
        <f t="shared" si="40"/>
        <v>Light Oil</v>
      </c>
      <c r="N72" s="573">
        <f t="shared" si="41"/>
        <v>60.007782289723188</v>
      </c>
      <c r="O72" s="574">
        <f t="shared" si="42"/>
        <v>77.441558868755962</v>
      </c>
      <c r="P72" s="582">
        <f t="shared" si="43"/>
        <v>0.56341891649713927</v>
      </c>
      <c r="Q72" s="575">
        <f t="shared" si="71"/>
        <v>73.646794341073218</v>
      </c>
      <c r="R72" s="576">
        <f t="shared" si="44"/>
        <v>3.345117782148316</v>
      </c>
      <c r="S72" s="576">
        <f t="shared" si="45"/>
        <v>0.44964674553442446</v>
      </c>
      <c r="T72" s="576">
        <f t="shared" si="46"/>
        <v>52.360166687252182</v>
      </c>
      <c r="U72" s="576">
        <f t="shared" si="47"/>
        <v>0</v>
      </c>
      <c r="V72" s="576">
        <f t="shared" si="48"/>
        <v>21.286627653821029</v>
      </c>
      <c r="W72" s="577">
        <f t="shared" si="49"/>
        <v>4.3195382828197612E-2</v>
      </c>
      <c r="X72" s="577">
        <f t="shared" si="50"/>
        <v>5.8062718791141981E-3</v>
      </c>
      <c r="Y72" s="577">
        <f t="shared" si="51"/>
        <v>0.67612490569810901</v>
      </c>
      <c r="Z72" s="577">
        <f t="shared" si="52"/>
        <v>0.27487343959457905</v>
      </c>
      <c r="AA72" s="578">
        <f t="shared" si="53"/>
        <v>0</v>
      </c>
      <c r="AB72" s="565">
        <f>+'5. GlobalData'!M11*1000*$D$21/1000</f>
        <v>800.21650656000008</v>
      </c>
      <c r="AC72" s="566">
        <f t="shared" si="72"/>
        <v>5.9871986933189376</v>
      </c>
      <c r="AD72" s="571">
        <f t="shared" si="73"/>
        <v>349.35938947083901</v>
      </c>
      <c r="AE72" s="586">
        <f t="shared" si="54"/>
        <v>5.8219013624616087</v>
      </c>
      <c r="AF72" s="571">
        <f t="shared" si="74"/>
        <v>450.85711708916119</v>
      </c>
      <c r="AG72" s="587">
        <f t="shared" si="55"/>
        <v>5.8219013624616087</v>
      </c>
      <c r="AH72" s="436">
        <f t="shared" si="56"/>
        <v>137.44934115847914</v>
      </c>
      <c r="AI72" s="635">
        <v>1</v>
      </c>
      <c r="AJ72" s="636">
        <v>0.96044449526690401</v>
      </c>
      <c r="AK72" s="636">
        <v>0.76403745377837917</v>
      </c>
      <c r="AL72" s="636">
        <v>0.56021621253703868</v>
      </c>
      <c r="AM72" s="636">
        <v>0.34268343632583909</v>
      </c>
      <c r="AN72" s="636">
        <v>0.2529654007733238</v>
      </c>
      <c r="AO72" s="636">
        <v>0.1759897260617134</v>
      </c>
      <c r="AP72" s="636">
        <v>0.13104379000775873</v>
      </c>
      <c r="AQ72" s="636">
        <v>9.8840214794708919E-2</v>
      </c>
      <c r="AR72" s="636">
        <v>7.3268574835202507E-2</v>
      </c>
      <c r="AS72" s="636">
        <v>4.7783853153392786E-2</v>
      </c>
      <c r="AT72" s="636">
        <v>3.0794038698853304E-2</v>
      </c>
      <c r="AU72" s="636">
        <v>1.380422424431382E-2</v>
      </c>
      <c r="AV72" s="637">
        <v>0</v>
      </c>
      <c r="AW72" s="641">
        <f t="shared" si="75"/>
        <v>137.44934115847914</v>
      </c>
      <c r="AX72" s="642">
        <f t="shared" si="76"/>
        <v>132.01246309372399</v>
      </c>
      <c r="AY72" s="642">
        <f t="shared" si="77"/>
        <v>105.01644464224017</v>
      </c>
      <c r="AZ72" s="642">
        <f t="shared" si="78"/>
        <v>77.001349319514489</v>
      </c>
      <c r="BA72" s="642">
        <f t="shared" si="79"/>
        <v>47.101612548910218</v>
      </c>
      <c r="BB72" s="642">
        <f t="shared" si="80"/>
        <v>34.769927672183989</v>
      </c>
      <c r="BC72" s="642">
        <f t="shared" si="81"/>
        <v>24.189671897843734</v>
      </c>
      <c r="BD72" s="642">
        <f t="shared" si="82"/>
        <v>18.011882599476529</v>
      </c>
      <c r="BE72" s="642">
        <f t="shared" si="83"/>
        <v>13.585522403495304</v>
      </c>
      <c r="BF72" s="642">
        <f t="shared" si="84"/>
        <v>10.070717338719309</v>
      </c>
      <c r="BG72" s="642">
        <f t="shared" si="85"/>
        <v>6.567859133947354</v>
      </c>
      <c r="BH72" s="642">
        <f t="shared" si="86"/>
        <v>4.232620330766097</v>
      </c>
      <c r="BI72" s="642">
        <f t="shared" si="87"/>
        <v>1.8973815275848391</v>
      </c>
      <c r="BJ72" s="643">
        <f t="shared" si="88"/>
        <v>0</v>
      </c>
      <c r="BK72" s="641">
        <v>137.44934115847914</v>
      </c>
      <c r="BL72" s="642">
        <v>132.01246309372399</v>
      </c>
      <c r="BM72" s="642">
        <v>105.01644464224017</v>
      </c>
      <c r="BN72" s="642">
        <v>77.001349319514489</v>
      </c>
      <c r="BO72" s="642">
        <v>47.101612548910218</v>
      </c>
      <c r="BP72" s="642">
        <v>34.769927672183989</v>
      </c>
      <c r="BQ72" s="642">
        <v>24.189671897843734</v>
      </c>
      <c r="BR72" s="642">
        <v>18.011882599476529</v>
      </c>
      <c r="BS72" s="642">
        <v>13.585522403495304</v>
      </c>
      <c r="BT72" s="642">
        <v>10.070717338719309</v>
      </c>
      <c r="BU72" s="647">
        <v>6.567859133947354</v>
      </c>
      <c r="BV72" s="647">
        <v>4.232620330766097</v>
      </c>
      <c r="BW72" s="647">
        <v>1.8973815275848391</v>
      </c>
      <c r="BX72" s="648">
        <v>0</v>
      </c>
      <c r="BY72" s="630"/>
      <c r="BZ72" s="630"/>
      <c r="CA72" s="630"/>
      <c r="CB72" s="635" t="str">
        <f>+IF('5. GlobalData'!BF122="","",'5. GlobalData'!BF122)</f>
        <v/>
      </c>
      <c r="CC72" s="636" t="str">
        <f>+IF('5. GlobalData'!BG122="","",'5. GlobalData'!BG122)</f>
        <v/>
      </c>
      <c r="CD72" s="636" t="str">
        <f>+IF('5. GlobalData'!BH122="","",'5. GlobalData'!BH122)</f>
        <v/>
      </c>
      <c r="CE72" s="636" t="str">
        <f>+IF('5. GlobalData'!BI122="","",'5. GlobalData'!BI122)</f>
        <v/>
      </c>
      <c r="CF72" s="636" t="str">
        <f>+IF('5. GlobalData'!BJ122="","",'5. GlobalData'!BJ122)</f>
        <v/>
      </c>
      <c r="CG72" s="636" t="str">
        <f>+IF('5. GlobalData'!BK122="","",'5. GlobalData'!BK122)</f>
        <v/>
      </c>
      <c r="CH72" s="636" t="str">
        <f>+IF('5. GlobalData'!BL122="","",'5. GlobalData'!BL122)</f>
        <v/>
      </c>
      <c r="CI72" s="636" t="str">
        <f>+IF('5. GlobalData'!BM122="","",'5. GlobalData'!BM122)</f>
        <v/>
      </c>
      <c r="CJ72" s="636" t="str">
        <f>+IF('5. GlobalData'!BN122="","",'5. GlobalData'!BN122)</f>
        <v/>
      </c>
      <c r="CK72" s="636" t="str">
        <f>+IF('5. GlobalData'!BO122="","",'5. GlobalData'!BO122)</f>
        <v/>
      </c>
      <c r="CL72" s="636" t="str">
        <f>+IF('5. GlobalData'!BP122="","",'5. GlobalData'!BP122)</f>
        <v/>
      </c>
      <c r="CM72" s="636" t="str">
        <f>+IF('5. GlobalData'!BQ122="","",'5. GlobalData'!BQ122)</f>
        <v/>
      </c>
      <c r="CN72" s="636" t="str">
        <f>+IF('5. GlobalData'!BR122="","",'5. GlobalData'!BR122)</f>
        <v/>
      </c>
      <c r="CO72" s="637" t="str">
        <f>+IF('5. GlobalData'!BS122="","",'5. GlobalData'!BS122)</f>
        <v/>
      </c>
      <c r="CP72" s="641" t="str">
        <f t="shared" si="89"/>
        <v/>
      </c>
      <c r="CQ72" s="642" t="str">
        <f t="shared" si="58"/>
        <v/>
      </c>
      <c r="CR72" s="642" t="str">
        <f t="shared" si="59"/>
        <v/>
      </c>
      <c r="CS72" s="642" t="str">
        <f t="shared" si="60"/>
        <v/>
      </c>
      <c r="CT72" s="642" t="str">
        <f t="shared" si="61"/>
        <v/>
      </c>
      <c r="CU72" s="642" t="str">
        <f t="shared" si="62"/>
        <v/>
      </c>
      <c r="CV72" s="642" t="str">
        <f t="shared" si="63"/>
        <v/>
      </c>
      <c r="CW72" s="642" t="str">
        <f t="shared" si="64"/>
        <v/>
      </c>
      <c r="CX72" s="642" t="str">
        <f t="shared" si="65"/>
        <v/>
      </c>
      <c r="CY72" s="642" t="str">
        <f t="shared" si="66"/>
        <v/>
      </c>
      <c r="CZ72" s="642" t="str">
        <f t="shared" si="67"/>
        <v/>
      </c>
      <c r="DA72" s="642" t="str">
        <f t="shared" si="68"/>
        <v/>
      </c>
      <c r="DB72" s="642" t="str">
        <f t="shared" si="69"/>
        <v/>
      </c>
      <c r="DC72" s="643" t="str">
        <f t="shared" si="70"/>
        <v/>
      </c>
      <c r="DD72" s="641">
        <v>137.44934115847914</v>
      </c>
      <c r="DE72" s="642">
        <v>132.01246309372399</v>
      </c>
      <c r="DF72" s="642">
        <v>105.01644464224017</v>
      </c>
      <c r="DG72" s="642">
        <v>77.001349319514489</v>
      </c>
      <c r="DH72" s="642">
        <v>47.101612548910218</v>
      </c>
      <c r="DI72" s="642">
        <v>34.769927672183989</v>
      </c>
      <c r="DJ72" s="642">
        <v>24.082150157807057</v>
      </c>
      <c r="DK72" s="642">
        <v>17.952148299456155</v>
      </c>
      <c r="DL72" s="642">
        <v>13.573575543491229</v>
      </c>
      <c r="DM72" s="642">
        <v>10.070717338719309</v>
      </c>
      <c r="DN72" s="647" t="s">
        <v>1021</v>
      </c>
      <c r="DO72" s="647" t="s">
        <v>1021</v>
      </c>
      <c r="DP72" s="647" t="s">
        <v>1021</v>
      </c>
      <c r="DQ72" s="648" t="s">
        <v>1021</v>
      </c>
    </row>
    <row r="73" spans="9:121" x14ac:dyDescent="0.25">
      <c r="I73" s="473" t="s">
        <v>822</v>
      </c>
      <c r="J73" s="476" t="s">
        <v>828</v>
      </c>
      <c r="K73" s="473">
        <f>44+((47-44)/2)</f>
        <v>45.5</v>
      </c>
      <c r="L73" s="476"/>
      <c r="M73" s="476" t="str">
        <f t="shared" si="40"/>
        <v>Light Oil</v>
      </c>
      <c r="N73" s="573">
        <f t="shared" si="41"/>
        <v>17.796808939248596</v>
      </c>
      <c r="O73" s="579">
        <f t="shared" si="42"/>
        <v>1.7694814439043327</v>
      </c>
      <c r="P73" s="582">
        <f t="shared" si="43"/>
        <v>9.0435203058618671E-2</v>
      </c>
      <c r="Q73" s="575">
        <f t="shared" si="71"/>
        <v>0</v>
      </c>
      <c r="R73" s="580">
        <f t="shared" si="44"/>
        <v>0.2018105131061125</v>
      </c>
      <c r="S73" s="580">
        <f t="shared" si="45"/>
        <v>1.5676709307982222</v>
      </c>
      <c r="T73" s="576">
        <f t="shared" si="46"/>
        <v>0</v>
      </c>
      <c r="U73" s="576">
        <f t="shared" si="47"/>
        <v>0</v>
      </c>
      <c r="V73" s="576">
        <f t="shared" si="48"/>
        <v>0</v>
      </c>
      <c r="W73" s="577">
        <f t="shared" si="49"/>
        <v>0.11405065241081071</v>
      </c>
      <c r="X73" s="577">
        <f t="shared" si="50"/>
        <v>0.88594934758919042</v>
      </c>
      <c r="Y73" s="577">
        <f t="shared" si="51"/>
        <v>0</v>
      </c>
      <c r="Z73" s="577">
        <f t="shared" si="52"/>
        <v>0</v>
      </c>
      <c r="AA73" s="578" t="str">
        <f t="shared" si="53"/>
        <v>-</v>
      </c>
      <c r="AB73" s="565">
        <f>+'5. GlobalData'!M12*1000*$D$21/1000</f>
        <v>89.866756597045551</v>
      </c>
      <c r="AC73" s="566">
        <f t="shared" si="72"/>
        <v>5.0495994480704836</v>
      </c>
      <c r="AD73" s="571">
        <f t="shared" si="73"/>
        <v>81.739638215972278</v>
      </c>
      <c r="AE73" s="586">
        <f t="shared" si="54"/>
        <v>4.5929378966195404</v>
      </c>
      <c r="AF73" s="571">
        <f t="shared" si="74"/>
        <v>8.1271183810732737</v>
      </c>
      <c r="AG73" s="587">
        <f t="shared" si="55"/>
        <v>4.5929378966195404</v>
      </c>
      <c r="AH73" s="436">
        <f t="shared" si="56"/>
        <v>19.566290383152928</v>
      </c>
      <c r="AI73" s="635">
        <v>1</v>
      </c>
      <c r="AJ73" s="636">
        <v>0.7022515504416712</v>
      </c>
      <c r="AK73" s="636">
        <v>0.58616858919918358</v>
      </c>
      <c r="AL73" s="636">
        <v>0.42817637636521416</v>
      </c>
      <c r="AM73" s="636">
        <v>0.27357007256918159</v>
      </c>
      <c r="AN73" s="636">
        <v>0.21313263520085107</v>
      </c>
      <c r="AO73" s="636">
        <v>0.16301714425670513</v>
      </c>
      <c r="AP73" s="636">
        <v>0.12960681696060614</v>
      </c>
      <c r="AQ73" s="636">
        <v>0.10201912610891797</v>
      </c>
      <c r="AR73" s="636">
        <v>7.2782955555135476E-2</v>
      </c>
      <c r="AS73" s="636">
        <v>6.0873017373386004E-2</v>
      </c>
      <c r="AT73" s="636">
        <v>5.2933058585553035E-2</v>
      </c>
      <c r="AU73" s="636">
        <v>4.6581091555286676E-2</v>
      </c>
      <c r="AV73" s="637">
        <v>3.7053141009887144E-2</v>
      </c>
      <c r="AW73" s="641">
        <f t="shared" si="75"/>
        <v>19.566290383152928</v>
      </c>
      <c r="AX73" s="642">
        <f t="shared" si="76"/>
        <v>13.740457757961105</v>
      </c>
      <c r="AY73" s="642">
        <f t="shared" si="77"/>
        <v>11.469144829754304</v>
      </c>
      <c r="AZ73" s="642">
        <f t="shared" si="78"/>
        <v>8.3778233151679586</v>
      </c>
      <c r="BA73" s="642">
        <f t="shared" si="79"/>
        <v>5.3527514800288261</v>
      </c>
      <c r="BB73" s="642">
        <f t="shared" si="80"/>
        <v>4.170215030466454</v>
      </c>
      <c r="BC73" s="642">
        <f t="shared" si="81"/>
        <v>3.1896407819590231</v>
      </c>
      <c r="BD73" s="642">
        <f t="shared" si="82"/>
        <v>2.5359246162873696</v>
      </c>
      <c r="BE73" s="642">
        <f t="shared" si="83"/>
        <v>1.9961358460825875</v>
      </c>
      <c r="BF73" s="642">
        <f t="shared" si="84"/>
        <v>1.4240924433358944</v>
      </c>
      <c r="BG73" s="642">
        <f t="shared" si="85"/>
        <v>1.1910591344263837</v>
      </c>
      <c r="BH73" s="642">
        <f t="shared" si="86"/>
        <v>1.0357035951533768</v>
      </c>
      <c r="BI73" s="642">
        <f t="shared" si="87"/>
        <v>0.91141916373497178</v>
      </c>
      <c r="BJ73" s="643">
        <f t="shared" si="88"/>
        <v>0.72499251660736419</v>
      </c>
      <c r="BK73" s="641">
        <v>19.566290383152928</v>
      </c>
      <c r="BL73" s="642">
        <v>13.740457757961105</v>
      </c>
      <c r="BM73" s="642">
        <v>11.469144829754304</v>
      </c>
      <c r="BN73" s="642">
        <v>8.3778233151679586</v>
      </c>
      <c r="BO73" s="642">
        <v>5.3527514800288261</v>
      </c>
      <c r="BP73" s="642">
        <v>4.170215030466454</v>
      </c>
      <c r="BQ73" s="649">
        <v>3.1896407819590231</v>
      </c>
      <c r="BR73" s="642">
        <v>2.5359246162873696</v>
      </c>
      <c r="BS73" s="649">
        <v>1.9961358460825875</v>
      </c>
      <c r="BT73" s="642">
        <v>1.4240924433358944</v>
      </c>
      <c r="BU73" s="649">
        <v>1.1910591344263837</v>
      </c>
      <c r="BV73" s="642">
        <v>1.0357035951533768</v>
      </c>
      <c r="BW73" s="649">
        <v>0.91141916373497178</v>
      </c>
      <c r="BX73" s="643">
        <v>0.72499251660736419</v>
      </c>
      <c r="BY73" s="630"/>
      <c r="BZ73" s="630"/>
      <c r="CA73" s="630"/>
      <c r="CB73" s="635" t="str">
        <f>+IF('5. GlobalData'!BF123="","",'5. GlobalData'!BF123)</f>
        <v/>
      </c>
      <c r="CC73" s="636" t="str">
        <f>+IF('5. GlobalData'!BG123="","",'5. GlobalData'!BG123)</f>
        <v/>
      </c>
      <c r="CD73" s="636" t="str">
        <f>+IF('5. GlobalData'!BH123="","",'5. GlobalData'!BH123)</f>
        <v/>
      </c>
      <c r="CE73" s="636" t="str">
        <f>+IF('5. GlobalData'!BI123="","",'5. GlobalData'!BI123)</f>
        <v/>
      </c>
      <c r="CF73" s="636" t="str">
        <f>+IF('5. GlobalData'!BJ123="","",'5. GlobalData'!BJ123)</f>
        <v/>
      </c>
      <c r="CG73" s="636" t="str">
        <f>+IF('5. GlobalData'!BK123="","",'5. GlobalData'!BK123)</f>
        <v/>
      </c>
      <c r="CH73" s="636" t="str">
        <f>+IF('5. GlobalData'!BL123="","",'5. GlobalData'!BL123)</f>
        <v/>
      </c>
      <c r="CI73" s="636" t="str">
        <f>+IF('5. GlobalData'!BM123="","",'5. GlobalData'!BM123)</f>
        <v/>
      </c>
      <c r="CJ73" s="636" t="str">
        <f>+IF('5. GlobalData'!BN123="","",'5. GlobalData'!BN123)</f>
        <v/>
      </c>
      <c r="CK73" s="636" t="str">
        <f>+IF('5. GlobalData'!BO123="","",'5. GlobalData'!BO123)</f>
        <v/>
      </c>
      <c r="CL73" s="636" t="str">
        <f>+IF('5. GlobalData'!BP123="","",'5. GlobalData'!BP123)</f>
        <v/>
      </c>
      <c r="CM73" s="636" t="str">
        <f>+IF('5. GlobalData'!BQ123="","",'5. GlobalData'!BQ123)</f>
        <v/>
      </c>
      <c r="CN73" s="636" t="str">
        <f>+IF('5. GlobalData'!BR123="","",'5. GlobalData'!BR123)</f>
        <v/>
      </c>
      <c r="CO73" s="637" t="str">
        <f>+IF('5. GlobalData'!BS123="","",'5. GlobalData'!BS123)</f>
        <v/>
      </c>
      <c r="CP73" s="641" t="str">
        <f t="shared" si="89"/>
        <v/>
      </c>
      <c r="CQ73" s="642" t="str">
        <f t="shared" si="58"/>
        <v/>
      </c>
      <c r="CR73" s="642" t="str">
        <f t="shared" si="59"/>
        <v/>
      </c>
      <c r="CS73" s="642" t="str">
        <f t="shared" si="60"/>
        <v/>
      </c>
      <c r="CT73" s="642" t="str">
        <f t="shared" si="61"/>
        <v/>
      </c>
      <c r="CU73" s="642" t="str">
        <f t="shared" si="62"/>
        <v/>
      </c>
      <c r="CV73" s="642" t="str">
        <f t="shared" si="63"/>
        <v/>
      </c>
      <c r="CW73" s="642" t="str">
        <f t="shared" si="64"/>
        <v/>
      </c>
      <c r="CX73" s="642" t="str">
        <f t="shared" si="65"/>
        <v/>
      </c>
      <c r="CY73" s="642" t="str">
        <f t="shared" si="66"/>
        <v/>
      </c>
      <c r="CZ73" s="642" t="str">
        <f t="shared" si="67"/>
        <v/>
      </c>
      <c r="DA73" s="642" t="str">
        <f t="shared" si="68"/>
        <v/>
      </c>
      <c r="DB73" s="642" t="str">
        <f t="shared" si="69"/>
        <v/>
      </c>
      <c r="DC73" s="643" t="str">
        <f t="shared" si="70"/>
        <v/>
      </c>
      <c r="DD73" s="641">
        <v>19.566290383152928</v>
      </c>
      <c r="DE73" s="642">
        <v>13.740457757961105</v>
      </c>
      <c r="DF73" s="642">
        <v>11.469144829754304</v>
      </c>
      <c r="DG73" s="642">
        <v>8.3778233151679586</v>
      </c>
      <c r="DH73" s="642">
        <v>1.7899311127012081</v>
      </c>
      <c r="DI73" s="642">
        <v>4.170215030466454</v>
      </c>
      <c r="DJ73" s="649">
        <f>+DI73+(DK73-DI73)*(2033-2030)/(2035-2030)</f>
        <v>2.8643236645887322</v>
      </c>
      <c r="DK73" s="642">
        <v>1.9937294206702509</v>
      </c>
      <c r="DL73" s="649">
        <f>+DK73+(DM73-DK73)*(2037-2035)/(2040-2035)</f>
        <v>1.7658746297365082</v>
      </c>
      <c r="DM73" s="642">
        <v>1.4240924433358944</v>
      </c>
      <c r="DN73" s="649">
        <f>+DM73+(DO73-DM73)*(2043-2040)/(2045-2040)</f>
        <v>1.1910591344263839</v>
      </c>
      <c r="DO73" s="642">
        <v>1.0357035951533768</v>
      </c>
      <c r="DP73" s="649">
        <f>+DO73+(DQ73-DO73)*(2047-2045)/(2050-2045)</f>
        <v>0.91141916373497178</v>
      </c>
      <c r="DQ73" s="643">
        <v>0.72499251660736419</v>
      </c>
    </row>
    <row r="74" spans="9:121" x14ac:dyDescent="0.25">
      <c r="I74" s="473" t="s">
        <v>822</v>
      </c>
      <c r="J74" s="476" t="s">
        <v>841</v>
      </c>
      <c r="K74" s="473">
        <f>11.3+(14.4-11.3)/2</f>
        <v>12.850000000000001</v>
      </c>
      <c r="L74" s="476"/>
      <c r="M74" s="476" t="str">
        <f t="shared" si="40"/>
        <v>Heavy Oil</v>
      </c>
      <c r="N74" s="573">
        <f t="shared" si="41"/>
        <v>265.08224689210181</v>
      </c>
      <c r="O74" s="574">
        <f t="shared" si="42"/>
        <v>0</v>
      </c>
      <c r="P74" s="582">
        <f t="shared" si="43"/>
        <v>0</v>
      </c>
      <c r="Q74" s="575">
        <f t="shared" si="71"/>
        <v>0</v>
      </c>
      <c r="R74" s="576">
        <f t="shared" si="44"/>
        <v>0</v>
      </c>
      <c r="S74" s="576">
        <f t="shared" si="45"/>
        <v>0</v>
      </c>
      <c r="T74" s="576">
        <f t="shared" si="46"/>
        <v>0</v>
      </c>
      <c r="U74" s="576">
        <f t="shared" si="47"/>
        <v>0</v>
      </c>
      <c r="V74" s="576">
        <f t="shared" si="48"/>
        <v>0</v>
      </c>
      <c r="W74" s="577" t="str">
        <f t="shared" si="49"/>
        <v>-</v>
      </c>
      <c r="X74" s="577" t="str">
        <f t="shared" si="50"/>
        <v>-</v>
      </c>
      <c r="Y74" s="577" t="str">
        <f t="shared" si="51"/>
        <v>-</v>
      </c>
      <c r="Z74" s="577" t="str">
        <f t="shared" si="52"/>
        <v>-</v>
      </c>
      <c r="AA74" s="578" t="str">
        <f t="shared" si="53"/>
        <v>-</v>
      </c>
      <c r="AB74" s="565">
        <f>+'5. GlobalData'!M13*1000*$D$21/1000</f>
        <v>1669.56486728</v>
      </c>
      <c r="AC74" s="566">
        <f t="shared" si="72"/>
        <v>6.2982900094383689</v>
      </c>
      <c r="AD74" s="571">
        <f t="shared" si="73"/>
        <v>1669.56486728</v>
      </c>
      <c r="AE74" s="586">
        <f t="shared" si="54"/>
        <v>6.2982900094383689</v>
      </c>
      <c r="AF74" s="571">
        <f t="shared" si="74"/>
        <v>0</v>
      </c>
      <c r="AG74" s="587" t="str">
        <f t="shared" si="55"/>
        <v>-</v>
      </c>
      <c r="AH74" s="436">
        <f t="shared" si="56"/>
        <v>265.08224689210181</v>
      </c>
      <c r="AI74" s="635">
        <v>1</v>
      </c>
      <c r="AJ74" s="636">
        <v>0.94294294294294301</v>
      </c>
      <c r="AK74" s="636">
        <v>0.75555555555555554</v>
      </c>
      <c r="AL74" s="636">
        <v>0.63063063063063063</v>
      </c>
      <c r="AM74" s="636">
        <v>0.51051051051051055</v>
      </c>
      <c r="AN74" s="636">
        <v>0.33033033033033032</v>
      </c>
      <c r="AO74" s="636">
        <v>0.25825825825825821</v>
      </c>
      <c r="AP74" s="636">
        <v>0.21021021021021014</v>
      </c>
      <c r="AQ74" s="636">
        <v>0.16216216216216484</v>
      </c>
      <c r="AR74" s="636">
        <v>9.0090090090094346E-2</v>
      </c>
      <c r="AS74" s="636">
        <v>1.8018018018023836E-2</v>
      </c>
      <c r="AT74" s="636">
        <v>0</v>
      </c>
      <c r="AU74" s="636">
        <v>0</v>
      </c>
      <c r="AV74" s="637">
        <v>0</v>
      </c>
      <c r="AW74" s="641">
        <f t="shared" si="75"/>
        <v>265.08224689210181</v>
      </c>
      <c r="AX74" s="642">
        <f t="shared" si="76"/>
        <v>249.9574340063663</v>
      </c>
      <c r="AY74" s="642">
        <f t="shared" si="77"/>
        <v>200.28436431847692</v>
      </c>
      <c r="AZ74" s="642">
        <f t="shared" si="78"/>
        <v>167.1689845265507</v>
      </c>
      <c r="BA74" s="642">
        <f t="shared" si="79"/>
        <v>135.32727318816009</v>
      </c>
      <c r="BB74" s="642">
        <f t="shared" si="80"/>
        <v>87.564706180574163</v>
      </c>
      <c r="BC74" s="642">
        <f t="shared" si="81"/>
        <v>68.4596793775398</v>
      </c>
      <c r="BD74" s="642">
        <f t="shared" si="82"/>
        <v>55.722994842183546</v>
      </c>
      <c r="BE74" s="642">
        <f t="shared" si="83"/>
        <v>42.986310306828031</v>
      </c>
      <c r="BF74" s="642">
        <f t="shared" si="84"/>
        <v>23.881283503794084</v>
      </c>
      <c r="BG74" s="642">
        <f t="shared" si="85"/>
        <v>4.7762567007601335</v>
      </c>
      <c r="BH74" s="642">
        <f t="shared" si="86"/>
        <v>0</v>
      </c>
      <c r="BI74" s="642">
        <f t="shared" si="87"/>
        <v>0</v>
      </c>
      <c r="BJ74" s="643">
        <f t="shared" si="88"/>
        <v>0</v>
      </c>
      <c r="BK74" s="641">
        <v>265.08224689210181</v>
      </c>
      <c r="BL74" s="642">
        <v>249.9574340063663</v>
      </c>
      <c r="BM74" s="649">
        <v>200.28436431847692</v>
      </c>
      <c r="BN74" s="642">
        <v>167.1689845265507</v>
      </c>
      <c r="BO74" s="649">
        <v>135.32727318816009</v>
      </c>
      <c r="BP74" s="642">
        <v>87.564706180574163</v>
      </c>
      <c r="BQ74" s="649">
        <v>68.4596793775398</v>
      </c>
      <c r="BR74" s="642">
        <v>55.722994842183546</v>
      </c>
      <c r="BS74" s="647">
        <v>42.986310306828031</v>
      </c>
      <c r="BT74" s="647">
        <v>23.881283503794084</v>
      </c>
      <c r="BU74" s="647">
        <v>4.7762567007601335</v>
      </c>
      <c r="BV74" s="647">
        <v>0</v>
      </c>
      <c r="BW74" s="647">
        <v>0</v>
      </c>
      <c r="BX74" s="648">
        <v>0</v>
      </c>
      <c r="BY74" s="630"/>
      <c r="BZ74" s="630"/>
      <c r="CA74" s="630"/>
      <c r="CB74" s="635" t="str">
        <f>+IF('5. GlobalData'!BF124="","",'5. GlobalData'!BF124)</f>
        <v/>
      </c>
      <c r="CC74" s="636" t="str">
        <f>+IF('5. GlobalData'!BG124="","",'5. GlobalData'!BG124)</f>
        <v/>
      </c>
      <c r="CD74" s="636" t="str">
        <f>+IF('5. GlobalData'!BH124="","",'5. GlobalData'!BH124)</f>
        <v/>
      </c>
      <c r="CE74" s="636" t="str">
        <f>+IF('5. GlobalData'!BI124="","",'5. GlobalData'!BI124)</f>
        <v/>
      </c>
      <c r="CF74" s="636" t="str">
        <f>+IF('5. GlobalData'!BJ124="","",'5. GlobalData'!BJ124)</f>
        <v/>
      </c>
      <c r="CG74" s="636" t="str">
        <f>+IF('5. GlobalData'!BK124="","",'5. GlobalData'!BK124)</f>
        <v/>
      </c>
      <c r="CH74" s="636" t="str">
        <f>+IF('5. GlobalData'!BL124="","",'5. GlobalData'!BL124)</f>
        <v/>
      </c>
      <c r="CI74" s="636" t="str">
        <f>+IF('5. GlobalData'!BM124="","",'5. GlobalData'!BM124)</f>
        <v/>
      </c>
      <c r="CJ74" s="636" t="str">
        <f>+IF('5. GlobalData'!BN124="","",'5. GlobalData'!BN124)</f>
        <v/>
      </c>
      <c r="CK74" s="636" t="str">
        <f>+IF('5. GlobalData'!BO124="","",'5. GlobalData'!BO124)</f>
        <v/>
      </c>
      <c r="CL74" s="636" t="str">
        <f>+IF('5. GlobalData'!BP124="","",'5. GlobalData'!BP124)</f>
        <v/>
      </c>
      <c r="CM74" s="636" t="str">
        <f>+IF('5. GlobalData'!BQ124="","",'5. GlobalData'!BQ124)</f>
        <v/>
      </c>
      <c r="CN74" s="636" t="str">
        <f>+IF('5. GlobalData'!BR124="","",'5. GlobalData'!BR124)</f>
        <v/>
      </c>
      <c r="CO74" s="637" t="str">
        <f>+IF('5. GlobalData'!BS124="","",'5. GlobalData'!BS124)</f>
        <v/>
      </c>
      <c r="CP74" s="641" t="str">
        <f t="shared" si="89"/>
        <v/>
      </c>
      <c r="CQ74" s="642" t="str">
        <f t="shared" si="58"/>
        <v/>
      </c>
      <c r="CR74" s="642" t="str">
        <f t="shared" si="59"/>
        <v/>
      </c>
      <c r="CS74" s="642" t="str">
        <f t="shared" si="60"/>
        <v/>
      </c>
      <c r="CT74" s="642" t="str">
        <f t="shared" si="61"/>
        <v/>
      </c>
      <c r="CU74" s="642" t="str">
        <f t="shared" si="62"/>
        <v/>
      </c>
      <c r="CV74" s="642" t="str">
        <f t="shared" si="63"/>
        <v/>
      </c>
      <c r="CW74" s="642" t="str">
        <f t="shared" si="64"/>
        <v/>
      </c>
      <c r="CX74" s="642" t="str">
        <f t="shared" si="65"/>
        <v/>
      </c>
      <c r="CY74" s="642" t="str">
        <f t="shared" si="66"/>
        <v/>
      </c>
      <c r="CZ74" s="642" t="str">
        <f t="shared" si="67"/>
        <v/>
      </c>
      <c r="DA74" s="642" t="str">
        <f t="shared" si="68"/>
        <v/>
      </c>
      <c r="DB74" s="642" t="str">
        <f t="shared" si="69"/>
        <v/>
      </c>
      <c r="DC74" s="643" t="str">
        <f t="shared" si="70"/>
        <v/>
      </c>
      <c r="DD74" s="641">
        <v>265.08224689210181</v>
      </c>
      <c r="DE74" s="642">
        <v>249.9574340063663</v>
      </c>
      <c r="DF74" s="649">
        <f>+DE74+(DG74-DE74)*(2023-2020)/(2025-2020)</f>
        <v>200.28436431847695</v>
      </c>
      <c r="DG74" s="642">
        <v>167.1689845265507</v>
      </c>
      <c r="DH74" s="649">
        <f t="shared" ref="DH74:DH80" si="90">+DG74+(DI74-DG74)*(2027-2025)/(2030-2025)</f>
        <v>135.32727318816009</v>
      </c>
      <c r="DI74" s="642">
        <v>87.564706180574163</v>
      </c>
      <c r="DJ74" s="649">
        <f>+DI74+(DK74-DI74)*(2033-2030)/(2035-2030)</f>
        <v>68.4596793775398</v>
      </c>
      <c r="DK74" s="642">
        <v>55.722994842183546</v>
      </c>
      <c r="DL74" s="647" t="s">
        <v>1021</v>
      </c>
      <c r="DM74" s="647" t="s">
        <v>1021</v>
      </c>
      <c r="DN74" s="647" t="s">
        <v>1021</v>
      </c>
      <c r="DO74" s="647" t="s">
        <v>1021</v>
      </c>
      <c r="DP74" s="647" t="s">
        <v>1021</v>
      </c>
      <c r="DQ74" s="648" t="s">
        <v>1021</v>
      </c>
    </row>
    <row r="75" spans="9:121" x14ac:dyDescent="0.25">
      <c r="I75" s="473" t="s">
        <v>822</v>
      </c>
      <c r="J75" s="476" t="s">
        <v>843</v>
      </c>
      <c r="K75" s="473">
        <v>13.7</v>
      </c>
      <c r="L75" s="476"/>
      <c r="M75" s="476" t="str">
        <f t="shared" si="40"/>
        <v>Heavy Oil</v>
      </c>
      <c r="N75" s="573">
        <f t="shared" si="41"/>
        <v>253.41187670697005</v>
      </c>
      <c r="O75" s="574">
        <f t="shared" si="42"/>
        <v>0</v>
      </c>
      <c r="P75" s="582">
        <f t="shared" si="43"/>
        <v>0</v>
      </c>
      <c r="Q75" s="575">
        <f t="shared" si="71"/>
        <v>0</v>
      </c>
      <c r="R75" s="576">
        <f t="shared" si="44"/>
        <v>0</v>
      </c>
      <c r="S75" s="576">
        <f t="shared" si="45"/>
        <v>0</v>
      </c>
      <c r="T75" s="576">
        <f t="shared" si="46"/>
        <v>0</v>
      </c>
      <c r="U75" s="576">
        <f t="shared" si="47"/>
        <v>0</v>
      </c>
      <c r="V75" s="576">
        <f t="shared" si="48"/>
        <v>0</v>
      </c>
      <c r="W75" s="577" t="str">
        <f t="shared" si="49"/>
        <v>-</v>
      </c>
      <c r="X75" s="577" t="str">
        <f t="shared" si="50"/>
        <v>-</v>
      </c>
      <c r="Y75" s="577" t="str">
        <f t="shared" si="51"/>
        <v>-</v>
      </c>
      <c r="Z75" s="577" t="str">
        <f t="shared" si="52"/>
        <v>-</v>
      </c>
      <c r="AA75" s="578" t="str">
        <f t="shared" si="53"/>
        <v>-</v>
      </c>
      <c r="AB75" s="565">
        <f>+'5. GlobalData'!M14*1000*$D$21/1000</f>
        <v>2808.3748323555819</v>
      </c>
      <c r="AC75" s="566">
        <f t="shared" si="72"/>
        <v>11.082254189700091</v>
      </c>
      <c r="AD75" s="571">
        <f t="shared" si="73"/>
        <v>2808.3748323555819</v>
      </c>
      <c r="AE75" s="586">
        <f t="shared" si="54"/>
        <v>11.082254189700091</v>
      </c>
      <c r="AF75" s="571">
        <f t="shared" si="74"/>
        <v>0</v>
      </c>
      <c r="AG75" s="587" t="str">
        <f t="shared" si="55"/>
        <v>-</v>
      </c>
      <c r="AH75" s="436">
        <f t="shared" si="56"/>
        <v>253.41187670697005</v>
      </c>
      <c r="AI75" s="635">
        <v>1</v>
      </c>
      <c r="AJ75" s="636">
        <v>1.0012894214427195</v>
      </c>
      <c r="AK75" s="636">
        <v>0.7935476187759164</v>
      </c>
      <c r="AL75" s="636">
        <v>0.67445980594142352</v>
      </c>
      <c r="AM75" s="636">
        <v>0.60372304158111922</v>
      </c>
      <c r="AN75" s="636">
        <v>0.49761789504066278</v>
      </c>
      <c r="AO75" s="636">
        <v>0.43328874761505221</v>
      </c>
      <c r="AP75" s="636">
        <v>0.3904026493313118</v>
      </c>
      <c r="AQ75" s="636">
        <v>0.34756686162508232</v>
      </c>
      <c r="AR75" s="636">
        <v>0.28338216625732354</v>
      </c>
      <c r="AS75" s="636">
        <v>0.22317028021362426</v>
      </c>
      <c r="AT75" s="636">
        <v>0.21201326991288166</v>
      </c>
      <c r="AU75" s="636">
        <v>0.2027885427495851</v>
      </c>
      <c r="AV75" s="637">
        <v>0.18895145200464025</v>
      </c>
      <c r="AW75" s="641">
        <f t="shared" si="75"/>
        <v>253.41187670697005</v>
      </c>
      <c r="AX75" s="642">
        <f t="shared" si="76"/>
        <v>253.73863141463579</v>
      </c>
      <c r="AY75" s="642">
        <f t="shared" si="77"/>
        <v>201.09439133035221</v>
      </c>
      <c r="AZ75" s="642">
        <f t="shared" si="78"/>
        <v>170.91612518703496</v>
      </c>
      <c r="BA75" s="642">
        <f t="shared" si="79"/>
        <v>152.99058897831154</v>
      </c>
      <c r="BB75" s="642">
        <f t="shared" si="80"/>
        <v>126.10228466522641</v>
      </c>
      <c r="BC75" s="642">
        <f t="shared" si="81"/>
        <v>109.80051468914307</v>
      </c>
      <c r="BD75" s="642">
        <f t="shared" si="82"/>
        <v>98.932668038420843</v>
      </c>
      <c r="BE75" s="642">
        <f t="shared" si="83"/>
        <v>88.077570685563884</v>
      </c>
      <c r="BF75" s="642">
        <f t="shared" si="84"/>
        <v>71.812406576554963</v>
      </c>
      <c r="BG75" s="642">
        <f t="shared" si="85"/>
        <v>56.553999534154904</v>
      </c>
      <c r="BH75" s="642">
        <f t="shared" si="86"/>
        <v>53.726680615404732</v>
      </c>
      <c r="BI75" s="642">
        <f t="shared" si="87"/>
        <v>51.389025192843988</v>
      </c>
      <c r="BJ75" s="643">
        <f t="shared" si="88"/>
        <v>47.882542059002866</v>
      </c>
      <c r="BK75" s="641">
        <v>253.41187670697005</v>
      </c>
      <c r="BL75" s="642">
        <v>253.73863141463579</v>
      </c>
      <c r="BM75" s="642">
        <v>201.09439133035221</v>
      </c>
      <c r="BN75" s="642">
        <v>170.91612518703496</v>
      </c>
      <c r="BO75" s="649">
        <v>152.99058897831154</v>
      </c>
      <c r="BP75" s="642">
        <v>126.10228466522641</v>
      </c>
      <c r="BQ75" s="649">
        <v>109.80051468914307</v>
      </c>
      <c r="BR75" s="642">
        <v>98.932668038420843</v>
      </c>
      <c r="BS75" s="649">
        <v>88.077570685563884</v>
      </c>
      <c r="BT75" s="642">
        <v>71.812406576554963</v>
      </c>
      <c r="BU75" s="649">
        <v>56.553999534154904</v>
      </c>
      <c r="BV75" s="649">
        <v>53.726680615404732</v>
      </c>
      <c r="BW75" s="649">
        <v>51.389025192843988</v>
      </c>
      <c r="BX75" s="643">
        <v>47.882542059002866</v>
      </c>
      <c r="BY75" s="630"/>
      <c r="BZ75" s="704"/>
      <c r="CA75" s="703"/>
      <c r="CB75" s="635" t="str">
        <f>+IF('5. GlobalData'!BF125="","",'5. GlobalData'!BF125)</f>
        <v/>
      </c>
      <c r="CC75" s="636" t="str">
        <f>+IF('5. GlobalData'!BG125="","",'5. GlobalData'!BG125)</f>
        <v/>
      </c>
      <c r="CD75" s="636" t="str">
        <f>+IF('5. GlobalData'!BH125="","",'5. GlobalData'!BH125)</f>
        <v/>
      </c>
      <c r="CE75" s="636" t="str">
        <f>+IF('5. GlobalData'!BI125="","",'5. GlobalData'!BI125)</f>
        <v/>
      </c>
      <c r="CF75" s="636" t="str">
        <f>+IF('5. GlobalData'!BJ125="","",'5. GlobalData'!BJ125)</f>
        <v/>
      </c>
      <c r="CG75" s="636" t="str">
        <f>+IF('5. GlobalData'!BK125="","",'5. GlobalData'!BK125)</f>
        <v/>
      </c>
      <c r="CH75" s="636" t="str">
        <f>+IF('5. GlobalData'!BL125="","",'5. GlobalData'!BL125)</f>
        <v/>
      </c>
      <c r="CI75" s="636" t="str">
        <f>+IF('5. GlobalData'!BM125="","",'5. GlobalData'!BM125)</f>
        <v/>
      </c>
      <c r="CJ75" s="636" t="str">
        <f>+IF('5. GlobalData'!BN125="","",'5. GlobalData'!BN125)</f>
        <v/>
      </c>
      <c r="CK75" s="636" t="str">
        <f>+IF('5. GlobalData'!BO125="","",'5. GlobalData'!BO125)</f>
        <v/>
      </c>
      <c r="CL75" s="636" t="str">
        <f>+IF('5. GlobalData'!BP125="","",'5. GlobalData'!BP125)</f>
        <v/>
      </c>
      <c r="CM75" s="636" t="str">
        <f>+IF('5. GlobalData'!BQ125="","",'5. GlobalData'!BQ125)</f>
        <v/>
      </c>
      <c r="CN75" s="636" t="str">
        <f>+IF('5. GlobalData'!BR125="","",'5. GlobalData'!BR125)</f>
        <v/>
      </c>
      <c r="CO75" s="637" t="str">
        <f>+IF('5. GlobalData'!BS125="","",'5. GlobalData'!BS125)</f>
        <v/>
      </c>
      <c r="CP75" s="641" t="str">
        <f t="shared" si="89"/>
        <v/>
      </c>
      <c r="CQ75" s="642" t="str">
        <f t="shared" si="58"/>
        <v/>
      </c>
      <c r="CR75" s="642" t="str">
        <f t="shared" si="59"/>
        <v/>
      </c>
      <c r="CS75" s="642" t="str">
        <f t="shared" si="60"/>
        <v/>
      </c>
      <c r="CT75" s="642" t="str">
        <f t="shared" si="61"/>
        <v/>
      </c>
      <c r="CU75" s="642" t="str">
        <f t="shared" si="62"/>
        <v/>
      </c>
      <c r="CV75" s="642" t="str">
        <f t="shared" si="63"/>
        <v/>
      </c>
      <c r="CW75" s="642" t="str">
        <f t="shared" si="64"/>
        <v/>
      </c>
      <c r="CX75" s="642" t="str">
        <f t="shared" si="65"/>
        <v/>
      </c>
      <c r="CY75" s="642" t="str">
        <f t="shared" si="66"/>
        <v/>
      </c>
      <c r="CZ75" s="642" t="str">
        <f t="shared" si="67"/>
        <v/>
      </c>
      <c r="DA75" s="642" t="str">
        <f t="shared" si="68"/>
        <v/>
      </c>
      <c r="DB75" s="642" t="str">
        <f t="shared" si="69"/>
        <v/>
      </c>
      <c r="DC75" s="643" t="str">
        <f t="shared" si="70"/>
        <v/>
      </c>
      <c r="DD75" s="641">
        <v>253.41187670697005</v>
      </c>
      <c r="DE75" s="642">
        <v>253.73863141463579</v>
      </c>
      <c r="DF75" s="642">
        <v>90.234575792944611</v>
      </c>
      <c r="DG75" s="642">
        <v>85.560429307289255</v>
      </c>
      <c r="DH75" s="649">
        <f t="shared" si="90"/>
        <v>101.77717145046412</v>
      </c>
      <c r="DI75" s="642">
        <v>126.10228466522641</v>
      </c>
      <c r="DJ75" s="649">
        <f>+DI75+(DK75-DI75)*(2033-2030)/(2035-2030)</f>
        <v>69.643672617237414</v>
      </c>
      <c r="DK75" s="642">
        <v>32.004597918578092</v>
      </c>
      <c r="DL75" s="649">
        <f>+DK75+(DM75-DK75)*(2037-2035)/(2040-2035)</f>
        <v>43.031086419869496</v>
      </c>
      <c r="DM75" s="642">
        <v>59.570819171806598</v>
      </c>
      <c r="DN75" s="649">
        <f>+DM75+(DQ75-DM75)*(2043-2040)/(2050-2040)</f>
        <v>56.035487330657105</v>
      </c>
      <c r="DO75" s="649">
        <f>+DM75+(DQ75-DM75)*(2045-2040)/(2050-2040)</f>
        <v>53.678599436557441</v>
      </c>
      <c r="DP75" s="649">
        <f>+DM75+(DQ75-DM75)*(2047-2040)/(2050-2040)</f>
        <v>51.321711542457777</v>
      </c>
      <c r="DQ75" s="643">
        <v>47.786379701308284</v>
      </c>
    </row>
    <row r="76" spans="9:121" x14ac:dyDescent="0.25">
      <c r="I76" s="473" t="s">
        <v>822</v>
      </c>
      <c r="J76" s="476" t="s">
        <v>845</v>
      </c>
      <c r="K76" s="473">
        <f>7+(20-7)/2</f>
        <v>13.5</v>
      </c>
      <c r="L76" s="476"/>
      <c r="M76" s="476" t="str">
        <f t="shared" si="40"/>
        <v>Heavy Oil</v>
      </c>
      <c r="N76" s="573">
        <f t="shared" si="41"/>
        <v>153.50718826671843</v>
      </c>
      <c r="O76" s="574">
        <f t="shared" si="42"/>
        <v>1.3978936722236606</v>
      </c>
      <c r="P76" s="582">
        <f t="shared" si="43"/>
        <v>9.0241950407712185E-3</v>
      </c>
      <c r="Q76" s="575">
        <f t="shared" si="71"/>
        <v>0</v>
      </c>
      <c r="R76" s="576">
        <f t="shared" si="44"/>
        <v>0.32109980889709927</v>
      </c>
      <c r="S76" s="576">
        <f t="shared" si="45"/>
        <v>1.0767938633265612</v>
      </c>
      <c r="T76" s="576">
        <f t="shared" si="46"/>
        <v>0</v>
      </c>
      <c r="U76" s="576">
        <f t="shared" si="47"/>
        <v>0</v>
      </c>
      <c r="V76" s="576">
        <f t="shared" si="48"/>
        <v>0</v>
      </c>
      <c r="W76" s="577">
        <f t="shared" si="49"/>
        <v>0.22970259847182703</v>
      </c>
      <c r="X76" s="577">
        <f t="shared" si="50"/>
        <v>0.77029740152817294</v>
      </c>
      <c r="Y76" s="577">
        <f t="shared" si="51"/>
        <v>0</v>
      </c>
      <c r="Z76" s="577">
        <f t="shared" si="52"/>
        <v>0</v>
      </c>
      <c r="AA76" s="578" t="str">
        <f t="shared" si="53"/>
        <v>-</v>
      </c>
      <c r="AB76" s="565">
        <f>+'5. GlobalData'!M15*1000*$D$21/1000</f>
        <v>1445.2840023680001</v>
      </c>
      <c r="AC76" s="566">
        <f t="shared" si="72"/>
        <v>9.4150900598662659</v>
      </c>
      <c r="AD76" s="571">
        <f t="shared" si="73"/>
        <v>1432.2414776413248</v>
      </c>
      <c r="AE76" s="586">
        <f t="shared" si="54"/>
        <v>9.3301264508396056</v>
      </c>
      <c r="AF76" s="571">
        <f t="shared" si="74"/>
        <v>13.042524726675284</v>
      </c>
      <c r="AG76" s="587">
        <f t="shared" si="55"/>
        <v>9.3301264508396038</v>
      </c>
      <c r="AH76" s="436">
        <f t="shared" si="56"/>
        <v>154.90508193894209</v>
      </c>
      <c r="AI76" s="635">
        <v>1</v>
      </c>
      <c r="AJ76" s="636">
        <v>0.99883325263017586</v>
      </c>
      <c r="AK76" s="636">
        <v>0.89646071146204309</v>
      </c>
      <c r="AL76" s="636">
        <v>0.75559988665176769</v>
      </c>
      <c r="AM76" s="636">
        <v>0.63273626526514493</v>
      </c>
      <c r="AN76" s="636">
        <v>0.44844083318521072</v>
      </c>
      <c r="AO76" s="636">
        <v>0.37502366342996168</v>
      </c>
      <c r="AP76" s="636">
        <v>0.29475321316119518</v>
      </c>
      <c r="AQ76" s="636">
        <v>0.22595125656718268</v>
      </c>
      <c r="AR76" s="636">
        <v>0.12274832167616051</v>
      </c>
      <c r="AS76" s="636">
        <v>6.2815527422288242E-2</v>
      </c>
      <c r="AT76" s="636">
        <v>4.9560348662181647E-2</v>
      </c>
      <c r="AU76" s="636">
        <v>3.6305169902077161E-2</v>
      </c>
      <c r="AV76" s="637">
        <v>1.6422401761917896E-2</v>
      </c>
      <c r="AW76" s="641">
        <f t="shared" si="75"/>
        <v>154.90508193894209</v>
      </c>
      <c r="AX76" s="642">
        <f t="shared" si="76"/>
        <v>154.72434684201744</v>
      </c>
      <c r="AY76" s="642">
        <f t="shared" si="77"/>
        <v>138.8663199640701</v>
      </c>
      <c r="AZ76" s="642">
        <f t="shared" si="78"/>
        <v>117.04626235484743</v>
      </c>
      <c r="BA76" s="642">
        <f t="shared" si="79"/>
        <v>98.014063016637479</v>
      </c>
      <c r="BB76" s="642">
        <f t="shared" si="80"/>
        <v>69.465764009322527</v>
      </c>
      <c r="BC76" s="642">
        <f t="shared" si="81"/>
        <v>58.093071312660456</v>
      </c>
      <c r="BD76" s="642">
        <f t="shared" si="82"/>
        <v>45.658770636501401</v>
      </c>
      <c r="BE76" s="642">
        <f t="shared" si="83"/>
        <v>35.000997912746357</v>
      </c>
      <c r="BF76" s="642">
        <f t="shared" si="84"/>
        <v>19.014338827113264</v>
      </c>
      <c r="BG76" s="642">
        <f t="shared" si="85"/>
        <v>9.7304444223874231</v>
      </c>
      <c r="BH76" s="642">
        <f t="shared" si="86"/>
        <v>7.6771498704377867</v>
      </c>
      <c r="BI76" s="642">
        <f t="shared" si="87"/>
        <v>5.6238553184884772</v>
      </c>
      <c r="BJ76" s="643">
        <f t="shared" si="88"/>
        <v>2.5439134905641185</v>
      </c>
      <c r="BK76" s="641">
        <v>154.90508193894209</v>
      </c>
      <c r="BL76" s="642">
        <v>154.72434684201744</v>
      </c>
      <c r="BM76" s="642">
        <v>138.8663199640701</v>
      </c>
      <c r="BN76" s="642">
        <v>117.04626235484743</v>
      </c>
      <c r="BO76" s="649">
        <v>98.014063016637479</v>
      </c>
      <c r="BP76" s="642">
        <v>69.465764009322527</v>
      </c>
      <c r="BQ76" s="642">
        <v>58.093071312660456</v>
      </c>
      <c r="BR76" s="642">
        <v>45.658770636501401</v>
      </c>
      <c r="BS76" s="642">
        <v>35.000997912746357</v>
      </c>
      <c r="BT76" s="642">
        <v>19.014338827113264</v>
      </c>
      <c r="BU76" s="642">
        <v>9.7304444223874231</v>
      </c>
      <c r="BV76" s="647">
        <v>7.6771498704377867</v>
      </c>
      <c r="BW76" s="647">
        <v>5.6238553184884772</v>
      </c>
      <c r="BX76" s="648">
        <v>2.5439134905641185</v>
      </c>
      <c r="BY76" s="630"/>
      <c r="BZ76" s="630"/>
      <c r="CA76" s="630"/>
      <c r="CB76" s="635" t="str">
        <f>+IF('5. GlobalData'!BF126="","",'5. GlobalData'!BF126)</f>
        <v/>
      </c>
      <c r="CC76" s="636" t="str">
        <f>+IF('5. GlobalData'!BG126="","",'5. GlobalData'!BG126)</f>
        <v/>
      </c>
      <c r="CD76" s="636" t="str">
        <f>+IF('5. GlobalData'!BH126="","",'5. GlobalData'!BH126)</f>
        <v/>
      </c>
      <c r="CE76" s="636" t="str">
        <f>+IF('5. GlobalData'!BI126="","",'5. GlobalData'!BI126)</f>
        <v/>
      </c>
      <c r="CF76" s="636" t="str">
        <f>+IF('5. GlobalData'!BJ126="","",'5. GlobalData'!BJ126)</f>
        <v/>
      </c>
      <c r="CG76" s="636" t="str">
        <f>+IF('5. GlobalData'!BK126="","",'5. GlobalData'!BK126)</f>
        <v/>
      </c>
      <c r="CH76" s="636" t="str">
        <f>+IF('5. GlobalData'!BL126="","",'5. GlobalData'!BL126)</f>
        <v/>
      </c>
      <c r="CI76" s="636" t="str">
        <f>+IF('5. GlobalData'!BM126="","",'5. GlobalData'!BM126)</f>
        <v/>
      </c>
      <c r="CJ76" s="636" t="str">
        <f>+IF('5. GlobalData'!BN126="","",'5. GlobalData'!BN126)</f>
        <v/>
      </c>
      <c r="CK76" s="636" t="str">
        <f>+IF('5. GlobalData'!BO126="","",'5. GlobalData'!BO126)</f>
        <v/>
      </c>
      <c r="CL76" s="636" t="str">
        <f>+IF('5. GlobalData'!BP126="","",'5. GlobalData'!BP126)</f>
        <v/>
      </c>
      <c r="CM76" s="636" t="str">
        <f>+IF('5. GlobalData'!BQ126="","",'5. GlobalData'!BQ126)</f>
        <v/>
      </c>
      <c r="CN76" s="636" t="str">
        <f>+IF('5. GlobalData'!BR126="","",'5. GlobalData'!BR126)</f>
        <v/>
      </c>
      <c r="CO76" s="637" t="str">
        <f>+IF('5. GlobalData'!BS126="","",'5. GlobalData'!BS126)</f>
        <v/>
      </c>
      <c r="CP76" s="641" t="str">
        <f t="shared" si="89"/>
        <v/>
      </c>
      <c r="CQ76" s="642" t="str">
        <f t="shared" si="58"/>
        <v/>
      </c>
      <c r="CR76" s="642" t="str">
        <f t="shared" si="59"/>
        <v/>
      </c>
      <c r="CS76" s="642" t="str">
        <f t="shared" si="60"/>
        <v/>
      </c>
      <c r="CT76" s="642" t="str">
        <f t="shared" si="61"/>
        <v/>
      </c>
      <c r="CU76" s="642" t="str">
        <f t="shared" si="62"/>
        <v/>
      </c>
      <c r="CV76" s="642" t="str">
        <f t="shared" si="63"/>
        <v/>
      </c>
      <c r="CW76" s="642" t="str">
        <f t="shared" si="64"/>
        <v/>
      </c>
      <c r="CX76" s="642" t="str">
        <f t="shared" si="65"/>
        <v/>
      </c>
      <c r="CY76" s="642" t="str">
        <f t="shared" si="66"/>
        <v/>
      </c>
      <c r="CZ76" s="642" t="str">
        <f t="shared" si="67"/>
        <v/>
      </c>
      <c r="DA76" s="642" t="str">
        <f t="shared" si="68"/>
        <v/>
      </c>
      <c r="DB76" s="642" t="str">
        <f t="shared" si="69"/>
        <v/>
      </c>
      <c r="DC76" s="643" t="str">
        <f t="shared" si="70"/>
        <v/>
      </c>
      <c r="DD76" s="641">
        <v>154.90508193894209</v>
      </c>
      <c r="DE76" s="642">
        <v>154.72434684201744</v>
      </c>
      <c r="DF76" s="642">
        <v>48.027349298771789</v>
      </c>
      <c r="DG76" s="642">
        <v>117.04626235484743</v>
      </c>
      <c r="DH76" s="649">
        <f t="shared" si="90"/>
        <v>98.014063016637465</v>
      </c>
      <c r="DI76" s="642">
        <v>69.465764009322527</v>
      </c>
      <c r="DJ76" s="642">
        <v>36.504949568849092</v>
      </c>
      <c r="DK76" s="642">
        <v>45.658770636501401</v>
      </c>
      <c r="DL76" s="642">
        <v>18.873455084109839</v>
      </c>
      <c r="DM76" s="642">
        <v>12.81038625031162</v>
      </c>
      <c r="DN76" s="642">
        <v>9.7304444223874231</v>
      </c>
      <c r="DO76" s="647" t="s">
        <v>1021</v>
      </c>
      <c r="DP76" s="647" t="s">
        <v>1021</v>
      </c>
      <c r="DQ76" s="648" t="s">
        <v>1021</v>
      </c>
    </row>
    <row r="77" spans="9:121" x14ac:dyDescent="0.25">
      <c r="I77" s="473" t="s">
        <v>822</v>
      </c>
      <c r="J77" s="476" t="s">
        <v>846</v>
      </c>
      <c r="K77" s="473">
        <v>8</v>
      </c>
      <c r="L77" s="476"/>
      <c r="M77" s="476" t="str">
        <f t="shared" si="40"/>
        <v>Heavy Oil</v>
      </c>
      <c r="N77" s="573">
        <f t="shared" si="41"/>
        <v>43.895597705669182</v>
      </c>
      <c r="O77" s="574">
        <f t="shared" si="42"/>
        <v>0.21448045777585595</v>
      </c>
      <c r="P77" s="582">
        <f t="shared" si="43"/>
        <v>4.8623912426797849E-3</v>
      </c>
      <c r="Q77" s="575">
        <f t="shared" si="71"/>
        <v>0</v>
      </c>
      <c r="R77" s="576">
        <f t="shared" si="44"/>
        <v>0</v>
      </c>
      <c r="S77" s="576">
        <f t="shared" si="45"/>
        <v>0.21448045777585595</v>
      </c>
      <c r="T77" s="576">
        <f t="shared" si="46"/>
        <v>0</v>
      </c>
      <c r="U77" s="576">
        <f t="shared" si="47"/>
        <v>0</v>
      </c>
      <c r="V77" s="576">
        <f t="shared" si="48"/>
        <v>0</v>
      </c>
      <c r="W77" s="577">
        <f t="shared" si="49"/>
        <v>0</v>
      </c>
      <c r="X77" s="577">
        <f t="shared" si="50"/>
        <v>1</v>
      </c>
      <c r="Y77" s="577">
        <f t="shared" si="51"/>
        <v>0</v>
      </c>
      <c r="Z77" s="577">
        <f t="shared" si="52"/>
        <v>0</v>
      </c>
      <c r="AA77" s="578" t="str">
        <f t="shared" si="53"/>
        <v>-</v>
      </c>
      <c r="AB77" s="565">
        <f>+'5. GlobalData'!M16*1000*$D$21/1000</f>
        <v>549.81236578400001</v>
      </c>
      <c r="AC77" s="566">
        <f t="shared" si="72"/>
        <v>12.525455729538702</v>
      </c>
      <c r="AD77" s="571">
        <f t="shared" si="73"/>
        <v>547.13896295149482</v>
      </c>
      <c r="AE77" s="586">
        <f t="shared" si="54"/>
        <v>12.464552063288821</v>
      </c>
      <c r="AF77" s="571">
        <f t="shared" si="74"/>
        <v>2.6734028325051762</v>
      </c>
      <c r="AG77" s="587">
        <f t="shared" si="55"/>
        <v>12.464552063288821</v>
      </c>
      <c r="AH77" s="436">
        <f t="shared" si="56"/>
        <v>44.110078163445039</v>
      </c>
      <c r="AI77" s="635">
        <v>1</v>
      </c>
      <c r="AJ77" s="636">
        <v>0.50474547023295946</v>
      </c>
      <c r="AK77" s="636">
        <v>1.0008628127696291</v>
      </c>
      <c r="AL77" s="636">
        <v>0.84555651423641076</v>
      </c>
      <c r="AM77" s="636">
        <v>0.74029335634167392</v>
      </c>
      <c r="AN77" s="636">
        <v>0.58239861949956873</v>
      </c>
      <c r="AO77" s="636">
        <v>0.47886108714408987</v>
      </c>
      <c r="AP77" s="636">
        <v>0.40983606557377061</v>
      </c>
      <c r="AQ77" s="636">
        <v>0.35979292493528908</v>
      </c>
      <c r="AR77" s="636">
        <v>0.28472821397756687</v>
      </c>
      <c r="AS77" s="636">
        <v>0.23554788610871449</v>
      </c>
      <c r="AT77" s="636">
        <v>0.20276100086281287</v>
      </c>
      <c r="AU77" s="636">
        <v>0.16393442622950821</v>
      </c>
      <c r="AV77" s="637">
        <v>0.10569456427955486</v>
      </c>
      <c r="AW77" s="641">
        <f t="shared" si="75"/>
        <v>44.110078163445039</v>
      </c>
      <c r="AX77" s="642">
        <f t="shared" si="76"/>
        <v>22.264362144620662</v>
      </c>
      <c r="AY77" s="642">
        <f t="shared" si="77"/>
        <v>44.148136902153794</v>
      </c>
      <c r="AZ77" s="642">
        <f t="shared" si="78"/>
        <v>37.297563934578207</v>
      </c>
      <c r="BA77" s="642">
        <f t="shared" si="79"/>
        <v>32.654397812110311</v>
      </c>
      <c r="BB77" s="642">
        <f t="shared" si="80"/>
        <v>25.689648628408463</v>
      </c>
      <c r="BC77" s="642">
        <f t="shared" si="81"/>
        <v>21.122599983358072</v>
      </c>
      <c r="BD77" s="642">
        <f t="shared" si="82"/>
        <v>18.077900886657808</v>
      </c>
      <c r="BE77" s="642">
        <f t="shared" si="83"/>
        <v>15.870494041550115</v>
      </c>
      <c r="BF77" s="642">
        <f t="shared" si="84"/>
        <v>12.559383773888579</v>
      </c>
      <c r="BG77" s="642">
        <f t="shared" si="85"/>
        <v>10.390035667489647</v>
      </c>
      <c r="BH77" s="642">
        <f t="shared" si="86"/>
        <v>8.9438035965570233</v>
      </c>
      <c r="BI77" s="642">
        <f t="shared" si="87"/>
        <v>7.231160354663122</v>
      </c>
      <c r="BJ77" s="643">
        <f t="shared" si="88"/>
        <v>4.6621954918224304</v>
      </c>
      <c r="BK77" s="641">
        <v>44.110078163445039</v>
      </c>
      <c r="BL77" s="642">
        <v>22.264362144620662</v>
      </c>
      <c r="BM77" s="642">
        <v>44.148136902153794</v>
      </c>
      <c r="BN77" s="642">
        <v>37.297563934578207</v>
      </c>
      <c r="BO77" s="649">
        <v>32.654397812110311</v>
      </c>
      <c r="BP77" s="642">
        <v>25.689648628408463</v>
      </c>
      <c r="BQ77" s="649">
        <v>21.122599983358072</v>
      </c>
      <c r="BR77" s="642">
        <v>18.077900886657808</v>
      </c>
      <c r="BS77" s="649">
        <v>15.870494041550115</v>
      </c>
      <c r="BT77" s="642">
        <v>12.559383773888579</v>
      </c>
      <c r="BU77" s="649">
        <v>10.390035667489647</v>
      </c>
      <c r="BV77" s="642">
        <v>8.9438035965570233</v>
      </c>
      <c r="BW77" s="642">
        <v>7.231160354663122</v>
      </c>
      <c r="BX77" s="648">
        <v>4.6621954918224304</v>
      </c>
      <c r="BY77" s="630"/>
      <c r="BZ77" s="630"/>
      <c r="CA77" s="630"/>
      <c r="CB77" s="635" t="str">
        <f>+IF('5. GlobalData'!BF127="","",'5. GlobalData'!BF127)</f>
        <v/>
      </c>
      <c r="CC77" s="636" t="str">
        <f>+IF('5. GlobalData'!BG127="","",'5. GlobalData'!BG127)</f>
        <v/>
      </c>
      <c r="CD77" s="636" t="str">
        <f>+IF('5. GlobalData'!BH127="","",'5. GlobalData'!BH127)</f>
        <v/>
      </c>
      <c r="CE77" s="636" t="str">
        <f>+IF('5. GlobalData'!BI127="","",'5. GlobalData'!BI127)</f>
        <v/>
      </c>
      <c r="CF77" s="636" t="str">
        <f>+IF('5. GlobalData'!BJ127="","",'5. GlobalData'!BJ127)</f>
        <v/>
      </c>
      <c r="CG77" s="636" t="str">
        <f>+IF('5. GlobalData'!BK127="","",'5. GlobalData'!BK127)</f>
        <v/>
      </c>
      <c r="CH77" s="636" t="str">
        <f>+IF('5. GlobalData'!BL127="","",'5. GlobalData'!BL127)</f>
        <v/>
      </c>
      <c r="CI77" s="636" t="str">
        <f>+IF('5. GlobalData'!BM127="","",'5. GlobalData'!BM127)</f>
        <v/>
      </c>
      <c r="CJ77" s="636" t="str">
        <f>+IF('5. GlobalData'!BN127="","",'5. GlobalData'!BN127)</f>
        <v/>
      </c>
      <c r="CK77" s="636" t="str">
        <f>+IF('5. GlobalData'!BO127="","",'5. GlobalData'!BO127)</f>
        <v/>
      </c>
      <c r="CL77" s="636" t="str">
        <f>+IF('5. GlobalData'!BP127="","",'5. GlobalData'!BP127)</f>
        <v/>
      </c>
      <c r="CM77" s="636" t="str">
        <f>+IF('5. GlobalData'!BQ127="","",'5. GlobalData'!BQ127)</f>
        <v/>
      </c>
      <c r="CN77" s="636" t="str">
        <f>+IF('5. GlobalData'!BR127="","",'5. GlobalData'!BR127)</f>
        <v/>
      </c>
      <c r="CO77" s="637" t="str">
        <f>+IF('5. GlobalData'!BS127="","",'5. GlobalData'!BS127)</f>
        <v/>
      </c>
      <c r="CP77" s="641" t="str">
        <f t="shared" si="89"/>
        <v/>
      </c>
      <c r="CQ77" s="642" t="str">
        <f t="shared" si="58"/>
        <v/>
      </c>
      <c r="CR77" s="642" t="str">
        <f t="shared" si="59"/>
        <v/>
      </c>
      <c r="CS77" s="642" t="str">
        <f t="shared" si="60"/>
        <v/>
      </c>
      <c r="CT77" s="642" t="str">
        <f t="shared" si="61"/>
        <v/>
      </c>
      <c r="CU77" s="642" t="str">
        <f t="shared" si="62"/>
        <v/>
      </c>
      <c r="CV77" s="642" t="str">
        <f t="shared" si="63"/>
        <v/>
      </c>
      <c r="CW77" s="642" t="str">
        <f t="shared" si="64"/>
        <v/>
      </c>
      <c r="CX77" s="642" t="str">
        <f t="shared" si="65"/>
        <v/>
      </c>
      <c r="CY77" s="642" t="str">
        <f t="shared" si="66"/>
        <v/>
      </c>
      <c r="CZ77" s="642" t="str">
        <f t="shared" si="67"/>
        <v/>
      </c>
      <c r="DA77" s="642" t="str">
        <f t="shared" si="68"/>
        <v/>
      </c>
      <c r="DB77" s="642" t="str">
        <f t="shared" si="69"/>
        <v/>
      </c>
      <c r="DC77" s="643" t="str">
        <f t="shared" si="70"/>
        <v/>
      </c>
      <c r="DD77" s="641">
        <v>44.110078163445039</v>
      </c>
      <c r="DE77" s="642">
        <v>22.264362144620662</v>
      </c>
      <c r="DF77" s="642">
        <v>44.148136902153794</v>
      </c>
      <c r="DG77" s="642">
        <v>37.297563934578207</v>
      </c>
      <c r="DH77" s="649">
        <f t="shared" si="90"/>
        <v>32.654397812110311</v>
      </c>
      <c r="DI77" s="642">
        <v>25.689648628408463</v>
      </c>
      <c r="DJ77" s="649">
        <f>+DI77+(DK77-DI77)*(2033-2030)/(2035-2030)</f>
        <v>21.122599983358072</v>
      </c>
      <c r="DK77" s="642">
        <v>18.077900886657808</v>
      </c>
      <c r="DL77" s="649">
        <f t="shared" ref="DL77:DL83" si="91">+DK77+(DM77-DK77)*(2037-2035)/(2040-2035)</f>
        <v>15.870494041550117</v>
      </c>
      <c r="DM77" s="642">
        <v>12.559383773888579</v>
      </c>
      <c r="DN77" s="649">
        <f>+DM77+(DO77-DM77)*(2043-2040)/(2045-2040)</f>
        <v>10.390035667489645</v>
      </c>
      <c r="DO77" s="642">
        <v>8.9438035965570233</v>
      </c>
      <c r="DP77" s="642">
        <v>7.231160354663122</v>
      </c>
      <c r="DQ77" s="648" t="s">
        <v>1021</v>
      </c>
    </row>
    <row r="78" spans="9:121" x14ac:dyDescent="0.25">
      <c r="I78" s="473" t="s">
        <v>822</v>
      </c>
      <c r="J78" s="476" t="s">
        <v>848</v>
      </c>
      <c r="K78" s="473">
        <v>13.5</v>
      </c>
      <c r="L78" s="476"/>
      <c r="M78" s="476" t="str">
        <f t="shared" si="40"/>
        <v>Heavy Oil</v>
      </c>
      <c r="N78" s="573">
        <f t="shared" si="41"/>
        <v>8.7564836170076354</v>
      </c>
      <c r="O78" s="573">
        <f t="shared" si="42"/>
        <v>0.43874352621703561</v>
      </c>
      <c r="P78" s="582">
        <f t="shared" si="43"/>
        <v>4.771426734578444E-2</v>
      </c>
      <c r="Q78" s="575">
        <f t="shared" si="71"/>
        <v>0.23786180586758954</v>
      </c>
      <c r="R78" s="576">
        <f t="shared" si="44"/>
        <v>5.7140945681870784E-3</v>
      </c>
      <c r="S78" s="576">
        <f t="shared" si="45"/>
        <v>0</v>
      </c>
      <c r="T78" s="576">
        <f t="shared" si="46"/>
        <v>0.4330294316488485</v>
      </c>
      <c r="U78" s="576">
        <f t="shared" si="47"/>
        <v>0.19516762578125896</v>
      </c>
      <c r="V78" s="576">
        <f t="shared" si="48"/>
        <v>0</v>
      </c>
      <c r="W78" s="577">
        <f t="shared" si="49"/>
        <v>1.302376952990175E-2</v>
      </c>
      <c r="X78" s="577">
        <f t="shared" si="50"/>
        <v>0</v>
      </c>
      <c r="Y78" s="577">
        <f t="shared" si="51"/>
        <v>0.98697623047009819</v>
      </c>
      <c r="Z78" s="577">
        <f t="shared" si="52"/>
        <v>0</v>
      </c>
      <c r="AA78" s="578">
        <f t="shared" si="53"/>
        <v>0.4507029118970462</v>
      </c>
      <c r="AB78" s="565">
        <f>+'5. GlobalData'!M17*1000*$D$21/1000</f>
        <v>23.676130584000003</v>
      </c>
      <c r="AC78" s="566">
        <f t="shared" si="72"/>
        <v>2.6323350361644713</v>
      </c>
      <c r="AD78" s="571">
        <f t="shared" si="73"/>
        <v>22.546441359601324</v>
      </c>
      <c r="AE78" s="586">
        <f t="shared" si="54"/>
        <v>2.5748282467872818</v>
      </c>
      <c r="AF78" s="571">
        <f t="shared" si="74"/>
        <v>1.1296892243986796</v>
      </c>
      <c r="AG78" s="587">
        <f t="shared" si="55"/>
        <v>2.5748282467872818</v>
      </c>
      <c r="AH78" s="436">
        <f t="shared" si="56"/>
        <v>9.1952271432246704</v>
      </c>
      <c r="AI78" s="635">
        <v>1</v>
      </c>
      <c r="AJ78" s="636">
        <v>0.78056545109387754</v>
      </c>
      <c r="AK78" s="636">
        <v>0.34412371581696649</v>
      </c>
      <c r="AL78" s="636">
        <v>0.21704492141316459</v>
      </c>
      <c r="AM78" s="636">
        <v>0.17236464183355049</v>
      </c>
      <c r="AN78" s="636">
        <v>0.10534422246412935</v>
      </c>
      <c r="AO78" s="636">
        <v>3.8731815885880774E-2</v>
      </c>
      <c r="AP78" s="636">
        <v>2.9297241699206451E-2</v>
      </c>
      <c r="AQ78" s="636">
        <v>2.32712911698339E-2</v>
      </c>
      <c r="AR78" s="636">
        <v>1.4232365375775069E-2</v>
      </c>
      <c r="AS78" s="636">
        <v>5.1934395817169214E-3</v>
      </c>
      <c r="AT78" s="636">
        <v>0</v>
      </c>
      <c r="AU78" s="636">
        <v>0</v>
      </c>
      <c r="AV78" s="637">
        <v>0</v>
      </c>
      <c r="AW78" s="641">
        <f t="shared" si="75"/>
        <v>9.1952271432246704</v>
      </c>
      <c r="AX78" s="642">
        <f t="shared" si="76"/>
        <v>7.1774766229618319</v>
      </c>
      <c r="AY78" s="642">
        <f t="shared" si="77"/>
        <v>3.1642957323075032</v>
      </c>
      <c r="AZ78" s="642">
        <f t="shared" si="78"/>
        <v>1.9957773526773965</v>
      </c>
      <c r="BA78" s="642">
        <f t="shared" si="79"/>
        <v>1.584932033120062</v>
      </c>
      <c r="BB78" s="642">
        <f t="shared" si="80"/>
        <v>0.96866405378406029</v>
      </c>
      <c r="BC78" s="642">
        <f t="shared" si="81"/>
        <v>0.35614784474023137</v>
      </c>
      <c r="BD78" s="642">
        <f t="shared" si="82"/>
        <v>0.26939479209415684</v>
      </c>
      <c r="BE78" s="642">
        <f t="shared" si="83"/>
        <v>0.21398480822274127</v>
      </c>
      <c r="BF78" s="642">
        <f t="shared" si="84"/>
        <v>0.13086983241561789</v>
      </c>
      <c r="BG78" s="642">
        <f t="shared" si="85"/>
        <v>4.7754856608500817E-2</v>
      </c>
      <c r="BH78" s="642">
        <f t="shared" si="86"/>
        <v>0</v>
      </c>
      <c r="BI78" s="642">
        <f t="shared" si="87"/>
        <v>0</v>
      </c>
      <c r="BJ78" s="643">
        <f t="shared" si="88"/>
        <v>0</v>
      </c>
      <c r="BK78" s="641">
        <v>9.1952271432246704</v>
      </c>
      <c r="BL78" s="642">
        <v>7.1774766229618319</v>
      </c>
      <c r="BM78" s="642">
        <v>3.1642957323075032</v>
      </c>
      <c r="BN78" s="642">
        <v>1.9957773526773965</v>
      </c>
      <c r="BO78" s="649">
        <v>1.584932033120062</v>
      </c>
      <c r="BP78" s="642">
        <v>0.96866405378406029</v>
      </c>
      <c r="BQ78" s="649">
        <v>0.35614784474023137</v>
      </c>
      <c r="BR78" s="642">
        <v>0.26939479209415684</v>
      </c>
      <c r="BS78" s="649">
        <v>0.21398480822274127</v>
      </c>
      <c r="BT78" s="642">
        <v>0.13086983241561789</v>
      </c>
      <c r="BU78" s="647">
        <v>4.7754856608500817E-2</v>
      </c>
      <c r="BV78" s="647">
        <v>0</v>
      </c>
      <c r="BW78" s="647">
        <v>0</v>
      </c>
      <c r="BX78" s="648">
        <v>0</v>
      </c>
      <c r="BY78" s="630"/>
      <c r="BZ78" s="630"/>
      <c r="CA78" s="630"/>
      <c r="CB78" s="635" t="str">
        <f>+IF('5. GlobalData'!BF128="","",'5. GlobalData'!BF128)</f>
        <v/>
      </c>
      <c r="CC78" s="636" t="str">
        <f>+IF('5. GlobalData'!BG128="","",'5. GlobalData'!BG128)</f>
        <v/>
      </c>
      <c r="CD78" s="636" t="str">
        <f>+IF('5. GlobalData'!BH128="","",'5. GlobalData'!BH128)</f>
        <v/>
      </c>
      <c r="CE78" s="636" t="str">
        <f>+IF('5. GlobalData'!BI128="","",'5. GlobalData'!BI128)</f>
        <v/>
      </c>
      <c r="CF78" s="636" t="str">
        <f>+IF('5. GlobalData'!BJ128="","",'5. GlobalData'!BJ128)</f>
        <v/>
      </c>
      <c r="CG78" s="636" t="str">
        <f>+IF('5. GlobalData'!BK128="","",'5. GlobalData'!BK128)</f>
        <v/>
      </c>
      <c r="CH78" s="636" t="str">
        <f>+IF('5. GlobalData'!BL128="","",'5. GlobalData'!BL128)</f>
        <v/>
      </c>
      <c r="CI78" s="636" t="str">
        <f>+IF('5. GlobalData'!BM128="","",'5. GlobalData'!BM128)</f>
        <v/>
      </c>
      <c r="CJ78" s="636" t="str">
        <f>+IF('5. GlobalData'!BN128="","",'5. GlobalData'!BN128)</f>
        <v/>
      </c>
      <c r="CK78" s="636" t="str">
        <f>+IF('5. GlobalData'!BO128="","",'5. GlobalData'!BO128)</f>
        <v/>
      </c>
      <c r="CL78" s="636" t="str">
        <f>+IF('5. GlobalData'!BP128="","",'5. GlobalData'!BP128)</f>
        <v/>
      </c>
      <c r="CM78" s="636" t="str">
        <f>+IF('5. GlobalData'!BQ128="","",'5. GlobalData'!BQ128)</f>
        <v/>
      </c>
      <c r="CN78" s="636" t="str">
        <f>+IF('5. GlobalData'!BR128="","",'5. GlobalData'!BR128)</f>
        <v/>
      </c>
      <c r="CO78" s="637" t="str">
        <f>+IF('5. GlobalData'!BS128="","",'5. GlobalData'!BS128)</f>
        <v/>
      </c>
      <c r="CP78" s="641" t="str">
        <f t="shared" si="89"/>
        <v/>
      </c>
      <c r="CQ78" s="642" t="str">
        <f t="shared" si="58"/>
        <v/>
      </c>
      <c r="CR78" s="642" t="str">
        <f t="shared" si="59"/>
        <v/>
      </c>
      <c r="CS78" s="642" t="str">
        <f t="shared" si="60"/>
        <v/>
      </c>
      <c r="CT78" s="642" t="str">
        <f t="shared" si="61"/>
        <v/>
      </c>
      <c r="CU78" s="642" t="str">
        <f t="shared" si="62"/>
        <v/>
      </c>
      <c r="CV78" s="642" t="str">
        <f t="shared" si="63"/>
        <v/>
      </c>
      <c r="CW78" s="642" t="str">
        <f t="shared" si="64"/>
        <v/>
      </c>
      <c r="CX78" s="642" t="str">
        <f t="shared" si="65"/>
        <v/>
      </c>
      <c r="CY78" s="642" t="str">
        <f t="shared" si="66"/>
        <v/>
      </c>
      <c r="CZ78" s="642" t="str">
        <f t="shared" si="67"/>
        <v/>
      </c>
      <c r="DA78" s="642" t="str">
        <f t="shared" si="68"/>
        <v/>
      </c>
      <c r="DB78" s="642" t="str">
        <f t="shared" si="69"/>
        <v/>
      </c>
      <c r="DC78" s="643" t="str">
        <f t="shared" si="70"/>
        <v/>
      </c>
      <c r="DD78" s="641">
        <v>9.1952271432246704</v>
      </c>
      <c r="DE78" s="642">
        <v>7.1774766229618319</v>
      </c>
      <c r="DF78" s="642">
        <v>3.1642957323075032</v>
      </c>
      <c r="DG78" s="642">
        <v>1.9957773526773965</v>
      </c>
      <c r="DH78" s="649">
        <f t="shared" si="90"/>
        <v>1.584932033120062</v>
      </c>
      <c r="DI78" s="642">
        <v>0.96866405378406029</v>
      </c>
      <c r="DJ78" s="649">
        <f>+DI78+(DK78-DI78)*(2033-2030)/(2035-2030)</f>
        <v>0.54910249677011824</v>
      </c>
      <c r="DK78" s="642">
        <v>0.26939479209415684</v>
      </c>
      <c r="DL78" s="649">
        <f t="shared" si="91"/>
        <v>0.21398480822274127</v>
      </c>
      <c r="DM78" s="642">
        <v>0.13086983241561789</v>
      </c>
      <c r="DN78" s="647" t="s">
        <v>1021</v>
      </c>
      <c r="DO78" s="647" t="s">
        <v>1021</v>
      </c>
      <c r="DP78" s="647" t="s">
        <v>1021</v>
      </c>
      <c r="DQ78" s="648" t="s">
        <v>1021</v>
      </c>
    </row>
    <row r="79" spans="9:121" x14ac:dyDescent="0.25">
      <c r="I79" s="473" t="s">
        <v>852</v>
      </c>
      <c r="J79" s="476" t="s">
        <v>851</v>
      </c>
      <c r="K79" s="473">
        <v>35</v>
      </c>
      <c r="L79" s="476"/>
      <c r="M79" s="476" t="str">
        <f t="shared" si="40"/>
        <v>Light Oil</v>
      </c>
      <c r="N79" s="573">
        <f t="shared" si="41"/>
        <v>4.3593517548323124</v>
      </c>
      <c r="O79" s="574">
        <f t="shared" si="42"/>
        <v>1.2759391450439788</v>
      </c>
      <c r="P79" s="582">
        <f t="shared" si="43"/>
        <v>0.2264193930205074</v>
      </c>
      <c r="Q79" s="575">
        <f t="shared" si="71"/>
        <v>0</v>
      </c>
      <c r="R79" s="576">
        <f t="shared" si="44"/>
        <v>0</v>
      </c>
      <c r="S79" s="576">
        <f t="shared" si="45"/>
        <v>1.2759391450439788</v>
      </c>
      <c r="T79" s="576">
        <f t="shared" si="46"/>
        <v>0</v>
      </c>
      <c r="U79" s="576">
        <f t="shared" si="47"/>
        <v>0</v>
      </c>
      <c r="V79" s="576">
        <f t="shared" si="48"/>
        <v>0</v>
      </c>
      <c r="W79" s="577">
        <f t="shared" si="49"/>
        <v>0</v>
      </c>
      <c r="X79" s="577">
        <f t="shared" si="50"/>
        <v>1</v>
      </c>
      <c r="Y79" s="577">
        <f t="shared" si="51"/>
        <v>0</v>
      </c>
      <c r="Z79" s="577">
        <f t="shared" si="52"/>
        <v>0</v>
      </c>
      <c r="AA79" s="578" t="str">
        <f t="shared" si="53"/>
        <v>-</v>
      </c>
      <c r="AB79" s="565">
        <f>+'5. GlobalData'!M18*1000*$D$21/1000</f>
        <v>44.660401360000002</v>
      </c>
      <c r="AC79" s="566">
        <f t="shared" si="72"/>
        <v>10.244734509091689</v>
      </c>
      <c r="AD79" s="571">
        <f t="shared" si="73"/>
        <v>34.54842039201656</v>
      </c>
      <c r="AE79" s="586">
        <f t="shared" si="54"/>
        <v>7.9251279398869032</v>
      </c>
      <c r="AF79" s="571">
        <f t="shared" si="74"/>
        <v>10.111980967983444</v>
      </c>
      <c r="AG79" s="587">
        <f t="shared" si="55"/>
        <v>7.9251279398869032</v>
      </c>
      <c r="AH79" s="436">
        <f t="shared" si="56"/>
        <v>5.6352908998762912</v>
      </c>
      <c r="AI79" s="635">
        <v>1</v>
      </c>
      <c r="AJ79" s="636">
        <v>0.94496365524402925</v>
      </c>
      <c r="AK79" s="636">
        <v>0.82035306334371783</v>
      </c>
      <c r="AL79" s="636">
        <v>0.73727933541017676</v>
      </c>
      <c r="AM79" s="636">
        <v>0.62097611630321925</v>
      </c>
      <c r="AN79" s="636">
        <v>0.44652128764278304</v>
      </c>
      <c r="AO79" s="636">
        <v>0.35929387331256524</v>
      </c>
      <c r="AP79" s="636">
        <v>0.30114226375908659</v>
      </c>
      <c r="AQ79" s="636">
        <v>0.25960539979231612</v>
      </c>
      <c r="AR79" s="636">
        <v>0.1973001038421604</v>
      </c>
      <c r="AS79" s="636">
        <v>0.17653167185877508</v>
      </c>
      <c r="AT79" s="636">
        <v>0.16268605053651949</v>
      </c>
      <c r="AU79" s="636">
        <v>0.14884042921426174</v>
      </c>
      <c r="AV79" s="637">
        <v>0.1280719972308777</v>
      </c>
      <c r="AW79" s="641">
        <f t="shared" si="75"/>
        <v>5.6352908998762912</v>
      </c>
      <c r="AX79" s="642">
        <f t="shared" si="76"/>
        <v>5.3251450871105153</v>
      </c>
      <c r="AY79" s="642">
        <f t="shared" si="77"/>
        <v>4.6229281525464918</v>
      </c>
      <c r="AZ79" s="642">
        <f t="shared" si="78"/>
        <v>4.1547835295038089</v>
      </c>
      <c r="BA79" s="642">
        <f t="shared" si="79"/>
        <v>3.4993810572440527</v>
      </c>
      <c r="BB79" s="642">
        <f t="shared" si="80"/>
        <v>2.5162773488544192</v>
      </c>
      <c r="BC79" s="642">
        <f t="shared" si="81"/>
        <v>2.0247254946596041</v>
      </c>
      <c r="BD79" s="642">
        <f t="shared" si="82"/>
        <v>1.6970242585297266</v>
      </c>
      <c r="BE79" s="642">
        <f t="shared" si="83"/>
        <v>1.4629519470083854</v>
      </c>
      <c r="BF79" s="642">
        <f t="shared" si="84"/>
        <v>1.1118434797263739</v>
      </c>
      <c r="BG79" s="642">
        <f t="shared" si="85"/>
        <v>0.99480732396570282</v>
      </c>
      <c r="BH79" s="642">
        <f t="shared" si="86"/>
        <v>0.9167832201252627</v>
      </c>
      <c r="BI79" s="642">
        <f t="shared" si="87"/>
        <v>0.83875911628481048</v>
      </c>
      <c r="BJ79" s="643">
        <f t="shared" si="88"/>
        <v>0.72172296052414664</v>
      </c>
      <c r="BK79" s="641">
        <v>5.6352908998762912</v>
      </c>
      <c r="BL79" s="642">
        <v>5.3251450871105153</v>
      </c>
      <c r="BM79" s="649">
        <v>4.6229281525464918</v>
      </c>
      <c r="BN79" s="642">
        <v>4.1547835295038089</v>
      </c>
      <c r="BO79" s="649">
        <v>3.4993810572440527</v>
      </c>
      <c r="BP79" s="642">
        <v>2.5162773488544192</v>
      </c>
      <c r="BQ79" s="649">
        <v>2.0247254946596041</v>
      </c>
      <c r="BR79" s="642">
        <v>1.6970242585297266</v>
      </c>
      <c r="BS79" s="649">
        <v>1.4629519470083854</v>
      </c>
      <c r="BT79" s="642">
        <v>1.1118434797263739</v>
      </c>
      <c r="BU79" s="642">
        <v>0.99480732396570282</v>
      </c>
      <c r="BV79" s="647">
        <v>0.9167832201252627</v>
      </c>
      <c r="BW79" s="647">
        <v>0.83875911628481048</v>
      </c>
      <c r="BX79" s="648">
        <v>0.72172296052414664</v>
      </c>
      <c r="BY79" s="630"/>
      <c r="BZ79" s="630"/>
      <c r="CA79" s="630"/>
      <c r="CB79" s="635" t="str">
        <f>+IF('5. GlobalData'!BF129="","",'5. GlobalData'!BF129)</f>
        <v/>
      </c>
      <c r="CC79" s="636" t="str">
        <f>+IF('5. GlobalData'!BG129="","",'5. GlobalData'!BG129)</f>
        <v/>
      </c>
      <c r="CD79" s="636" t="str">
        <f>+IF('5. GlobalData'!BH129="","",'5. GlobalData'!BH129)</f>
        <v/>
      </c>
      <c r="CE79" s="636" t="str">
        <f>+IF('5. GlobalData'!BI129="","",'5. GlobalData'!BI129)</f>
        <v/>
      </c>
      <c r="CF79" s="636" t="str">
        <f>+IF('5. GlobalData'!BJ129="","",'5. GlobalData'!BJ129)</f>
        <v/>
      </c>
      <c r="CG79" s="636" t="str">
        <f>+IF('5. GlobalData'!BK129="","",'5. GlobalData'!BK129)</f>
        <v/>
      </c>
      <c r="CH79" s="636" t="str">
        <f>+IF('5. GlobalData'!BL129="","",'5. GlobalData'!BL129)</f>
        <v/>
      </c>
      <c r="CI79" s="636" t="str">
        <f>+IF('5. GlobalData'!BM129="","",'5. GlobalData'!BM129)</f>
        <v/>
      </c>
      <c r="CJ79" s="636" t="str">
        <f>+IF('5. GlobalData'!BN129="","",'5. GlobalData'!BN129)</f>
        <v/>
      </c>
      <c r="CK79" s="636" t="str">
        <f>+IF('5. GlobalData'!BO129="","",'5. GlobalData'!BO129)</f>
        <v/>
      </c>
      <c r="CL79" s="636" t="str">
        <f>+IF('5. GlobalData'!BP129="","",'5. GlobalData'!BP129)</f>
        <v/>
      </c>
      <c r="CM79" s="636" t="str">
        <f>+IF('5. GlobalData'!BQ129="","",'5. GlobalData'!BQ129)</f>
        <v/>
      </c>
      <c r="CN79" s="636" t="str">
        <f>+IF('5. GlobalData'!BR129="","",'5. GlobalData'!BR129)</f>
        <v/>
      </c>
      <c r="CO79" s="637" t="str">
        <f>+IF('5. GlobalData'!BS129="","",'5. GlobalData'!BS129)</f>
        <v/>
      </c>
      <c r="CP79" s="641" t="str">
        <f t="shared" si="89"/>
        <v/>
      </c>
      <c r="CQ79" s="642" t="str">
        <f t="shared" si="58"/>
        <v/>
      </c>
      <c r="CR79" s="642" t="str">
        <f t="shared" si="59"/>
        <v/>
      </c>
      <c r="CS79" s="642" t="str">
        <f t="shared" si="60"/>
        <v/>
      </c>
      <c r="CT79" s="642" t="str">
        <f t="shared" si="61"/>
        <v/>
      </c>
      <c r="CU79" s="642" t="str">
        <f t="shared" si="62"/>
        <v/>
      </c>
      <c r="CV79" s="642" t="str">
        <f t="shared" si="63"/>
        <v/>
      </c>
      <c r="CW79" s="642" t="str">
        <f t="shared" si="64"/>
        <v/>
      </c>
      <c r="CX79" s="642" t="str">
        <f t="shared" si="65"/>
        <v/>
      </c>
      <c r="CY79" s="642" t="str">
        <f t="shared" si="66"/>
        <v/>
      </c>
      <c r="CZ79" s="642" t="str">
        <f t="shared" si="67"/>
        <v/>
      </c>
      <c r="DA79" s="642" t="str">
        <f t="shared" si="68"/>
        <v/>
      </c>
      <c r="DB79" s="642" t="str">
        <f t="shared" si="69"/>
        <v/>
      </c>
      <c r="DC79" s="643" t="str">
        <f t="shared" si="70"/>
        <v/>
      </c>
      <c r="DD79" s="641">
        <v>5.6352908998762912</v>
      </c>
      <c r="DE79" s="642">
        <v>5.3251450871105153</v>
      </c>
      <c r="DF79" s="649">
        <f>+DE79+(DG79-DE79)*(2023-2020)/(2025-2020)</f>
        <v>4.6229281525464918</v>
      </c>
      <c r="DG79" s="642">
        <v>4.1547835295038089</v>
      </c>
      <c r="DH79" s="649">
        <f t="shared" si="90"/>
        <v>3.4993810572440531</v>
      </c>
      <c r="DI79" s="642">
        <v>2.5162773488544192</v>
      </c>
      <c r="DJ79" s="649">
        <f>+DI79+(DK79-DI79)*(2033-2030)/(2035-2030)</f>
        <v>2.0247254946596036</v>
      </c>
      <c r="DK79" s="642">
        <v>1.6970242585297266</v>
      </c>
      <c r="DL79" s="649">
        <f t="shared" si="91"/>
        <v>1.4629519470083856</v>
      </c>
      <c r="DM79" s="642">
        <v>1.1118434797263739</v>
      </c>
      <c r="DN79" s="642">
        <v>0.99480732396570282</v>
      </c>
      <c r="DO79" s="647" t="s">
        <v>1021</v>
      </c>
      <c r="DP79" s="647" t="s">
        <v>1021</v>
      </c>
      <c r="DQ79" s="648" t="s">
        <v>1021</v>
      </c>
    </row>
    <row r="80" spans="9:121" x14ac:dyDescent="0.25">
      <c r="I80" s="473" t="s">
        <v>817</v>
      </c>
      <c r="J80" s="476" t="s">
        <v>818</v>
      </c>
      <c r="K80" s="473">
        <v>21</v>
      </c>
      <c r="L80" s="476"/>
      <c r="M80" s="476" t="str">
        <f t="shared" si="40"/>
        <v>Medium Oil</v>
      </c>
      <c r="N80" s="573">
        <f t="shared" si="41"/>
        <v>26.927100382560717</v>
      </c>
      <c r="O80" s="574">
        <f t="shared" si="42"/>
        <v>0.43827912983870243</v>
      </c>
      <c r="P80" s="582">
        <f t="shared" si="43"/>
        <v>1.601582501861944E-2</v>
      </c>
      <c r="Q80" s="575">
        <f t="shared" si="71"/>
        <v>0</v>
      </c>
      <c r="R80" s="576">
        <f t="shared" si="44"/>
        <v>0.35206293264379496</v>
      </c>
      <c r="S80" s="576">
        <f t="shared" si="45"/>
        <v>8.621619719490746E-2</v>
      </c>
      <c r="T80" s="576">
        <f t="shared" si="46"/>
        <v>0</v>
      </c>
      <c r="U80" s="576">
        <f t="shared" si="47"/>
        <v>0</v>
      </c>
      <c r="V80" s="576">
        <f t="shared" si="48"/>
        <v>0</v>
      </c>
      <c r="W80" s="577">
        <f t="shared" si="49"/>
        <v>0.8032847303803009</v>
      </c>
      <c r="X80" s="577">
        <f t="shared" si="50"/>
        <v>0.1967152696196991</v>
      </c>
      <c r="Y80" s="577">
        <f t="shared" si="51"/>
        <v>0</v>
      </c>
      <c r="Z80" s="577">
        <f t="shared" si="52"/>
        <v>0</v>
      </c>
      <c r="AA80" s="578" t="str">
        <f t="shared" si="53"/>
        <v>-</v>
      </c>
      <c r="AB80" s="565">
        <f>+'5. GlobalData'!M19*1000*$D$21/1000</f>
        <v>187.55047520548953</v>
      </c>
      <c r="AC80" s="566">
        <f t="shared" si="72"/>
        <v>6.9651196207875481</v>
      </c>
      <c r="AD80" s="571">
        <f t="shared" si="73"/>
        <v>184.54669961243948</v>
      </c>
      <c r="AE80" s="586">
        <f t="shared" si="54"/>
        <v>6.8535674837072609</v>
      </c>
      <c r="AF80" s="571">
        <f t="shared" si="74"/>
        <v>3.0037755930500443</v>
      </c>
      <c r="AG80" s="587">
        <f t="shared" si="55"/>
        <v>6.8535674837072618</v>
      </c>
      <c r="AH80" s="436">
        <f t="shared" si="56"/>
        <v>27.365379512399418</v>
      </c>
      <c r="AI80" s="635">
        <v>1</v>
      </c>
      <c r="AJ80" s="636">
        <v>1.0310255469146412</v>
      </c>
      <c r="AK80" s="636">
        <v>0.84734488908357375</v>
      </c>
      <c r="AL80" s="636">
        <v>0.66092218511717382</v>
      </c>
      <c r="AM80" s="636">
        <v>0.53040914586081578</v>
      </c>
      <c r="AN80" s="636">
        <v>0.33463958697627877</v>
      </c>
      <c r="AO80" s="636">
        <v>0.25607638307427583</v>
      </c>
      <c r="AP80" s="636">
        <v>0.20370091380627384</v>
      </c>
      <c r="AQ80" s="636">
        <v>0.15334908733553432</v>
      </c>
      <c r="AR80" s="636">
        <v>7.7821347629416823E-2</v>
      </c>
      <c r="AS80" s="636">
        <v>2.9284945174528905E-2</v>
      </c>
      <c r="AT80" s="636">
        <v>2.3808736263604358E-2</v>
      </c>
      <c r="AU80" s="636">
        <v>1.3910049602457838E-2</v>
      </c>
      <c r="AV80" s="637">
        <v>0</v>
      </c>
      <c r="AW80" s="641">
        <f t="shared" si="75"/>
        <v>27.365379512399418</v>
      </c>
      <c r="AX80" s="642">
        <f t="shared" si="76"/>
        <v>28.214405378298327</v>
      </c>
      <c r="AY80" s="642">
        <f t="shared" si="77"/>
        <v>23.187914467663987</v>
      </c>
      <c r="AZ80" s="642">
        <f t="shared" si="78"/>
        <v>18.086386423895764</v>
      </c>
      <c r="BA80" s="642">
        <f t="shared" si="79"/>
        <v>14.514847573328842</v>
      </c>
      <c r="BB80" s="642">
        <f t="shared" si="80"/>
        <v>9.1575392974784613</v>
      </c>
      <c r="BC80" s="642">
        <f t="shared" si="81"/>
        <v>7.0076274069901325</v>
      </c>
      <c r="BD80" s="642">
        <f t="shared" si="82"/>
        <v>5.5743528133312461</v>
      </c>
      <c r="BE80" s="642">
        <f t="shared" si="83"/>
        <v>4.1964559728169801</v>
      </c>
      <c r="BF80" s="642">
        <f t="shared" si="84"/>
        <v>2.129610712045356</v>
      </c>
      <c r="BG80" s="642">
        <f t="shared" si="85"/>
        <v>0.8013936387007935</v>
      </c>
      <c r="BH80" s="642">
        <f t="shared" si="86"/>
        <v>0.65153510356415978</v>
      </c>
      <c r="BI80" s="642">
        <f t="shared" si="87"/>
        <v>0.38065378640755937</v>
      </c>
      <c r="BJ80" s="643">
        <f t="shared" si="88"/>
        <v>0</v>
      </c>
      <c r="BK80" s="641">
        <v>27.365379512399418</v>
      </c>
      <c r="BL80" s="642">
        <v>28.214405378298327</v>
      </c>
      <c r="BM80" s="642">
        <v>23.187914467663987</v>
      </c>
      <c r="BN80" s="642">
        <v>18.086386423895764</v>
      </c>
      <c r="BO80" s="649">
        <v>14.514847573328842</v>
      </c>
      <c r="BP80" s="642">
        <v>9.1575392974784613</v>
      </c>
      <c r="BQ80" s="649">
        <v>7.0076274069901325</v>
      </c>
      <c r="BR80" s="642">
        <v>5.5743528133312461</v>
      </c>
      <c r="BS80" s="649">
        <v>4.1964559728169801</v>
      </c>
      <c r="BT80" s="642">
        <v>2.129610712045356</v>
      </c>
      <c r="BU80" s="649">
        <v>0.8013936387007935</v>
      </c>
      <c r="BV80" s="642">
        <v>0.65153510356415978</v>
      </c>
      <c r="BW80" s="642">
        <v>0.38065378640755937</v>
      </c>
      <c r="BX80" s="648">
        <v>0</v>
      </c>
      <c r="BY80" s="630"/>
      <c r="BZ80" s="630"/>
      <c r="CA80" s="630"/>
      <c r="CB80" s="635" t="str">
        <f>+IF('5. GlobalData'!BF130="","",'5. GlobalData'!BF130)</f>
        <v/>
      </c>
      <c r="CC80" s="636" t="str">
        <f>+IF('5. GlobalData'!BG130="","",'5. GlobalData'!BG130)</f>
        <v/>
      </c>
      <c r="CD80" s="636" t="str">
        <f>+IF('5. GlobalData'!BH130="","",'5. GlobalData'!BH130)</f>
        <v/>
      </c>
      <c r="CE80" s="636" t="str">
        <f>+IF('5. GlobalData'!BI130="","",'5. GlobalData'!BI130)</f>
        <v/>
      </c>
      <c r="CF80" s="636" t="str">
        <f>+IF('5. GlobalData'!BJ130="","",'5. GlobalData'!BJ130)</f>
        <v/>
      </c>
      <c r="CG80" s="636" t="str">
        <f>+IF('5. GlobalData'!BK130="","",'5. GlobalData'!BK130)</f>
        <v/>
      </c>
      <c r="CH80" s="636" t="str">
        <f>+IF('5. GlobalData'!BL130="","",'5. GlobalData'!BL130)</f>
        <v/>
      </c>
      <c r="CI80" s="636" t="str">
        <f>+IF('5. GlobalData'!BM130="","",'5. GlobalData'!BM130)</f>
        <v/>
      </c>
      <c r="CJ80" s="636" t="str">
        <f>+IF('5. GlobalData'!BN130="","",'5. GlobalData'!BN130)</f>
        <v/>
      </c>
      <c r="CK80" s="636" t="str">
        <f>+IF('5. GlobalData'!BO130="","",'5. GlobalData'!BO130)</f>
        <v/>
      </c>
      <c r="CL80" s="636" t="str">
        <f>+IF('5. GlobalData'!BP130="","",'5. GlobalData'!BP130)</f>
        <v/>
      </c>
      <c r="CM80" s="636" t="str">
        <f>+IF('5. GlobalData'!BQ130="","",'5. GlobalData'!BQ130)</f>
        <v/>
      </c>
      <c r="CN80" s="636" t="str">
        <f>+IF('5. GlobalData'!BR130="","",'5. GlobalData'!BR130)</f>
        <v/>
      </c>
      <c r="CO80" s="637" t="str">
        <f>+IF('5. GlobalData'!BS130="","",'5. GlobalData'!BS130)</f>
        <v/>
      </c>
      <c r="CP80" s="641" t="str">
        <f t="shared" si="89"/>
        <v/>
      </c>
      <c r="CQ80" s="642" t="str">
        <f t="shared" si="58"/>
        <v/>
      </c>
      <c r="CR80" s="642" t="str">
        <f t="shared" si="59"/>
        <v/>
      </c>
      <c r="CS80" s="642" t="str">
        <f t="shared" si="60"/>
        <v/>
      </c>
      <c r="CT80" s="642" t="str">
        <f t="shared" si="61"/>
        <v/>
      </c>
      <c r="CU80" s="642" t="str">
        <f t="shared" si="62"/>
        <v/>
      </c>
      <c r="CV80" s="642" t="str">
        <f t="shared" si="63"/>
        <v/>
      </c>
      <c r="CW80" s="642" t="str">
        <f t="shared" si="64"/>
        <v/>
      </c>
      <c r="CX80" s="642" t="str">
        <f t="shared" si="65"/>
        <v/>
      </c>
      <c r="CY80" s="642" t="str">
        <f t="shared" si="66"/>
        <v/>
      </c>
      <c r="CZ80" s="642" t="str">
        <f t="shared" si="67"/>
        <v/>
      </c>
      <c r="DA80" s="642" t="str">
        <f t="shared" si="68"/>
        <v/>
      </c>
      <c r="DB80" s="642" t="str">
        <f t="shared" si="69"/>
        <v/>
      </c>
      <c r="DC80" s="643" t="str">
        <f t="shared" si="70"/>
        <v/>
      </c>
      <c r="DD80" s="641">
        <v>27.365379512399418</v>
      </c>
      <c r="DE80" s="642">
        <v>28.214405378298327</v>
      </c>
      <c r="DF80" s="642">
        <v>4.8102368843329204</v>
      </c>
      <c r="DG80" s="642">
        <v>18.086386423895764</v>
      </c>
      <c r="DH80" s="649">
        <f t="shared" si="90"/>
        <v>14.514847573328844</v>
      </c>
      <c r="DI80" s="642">
        <v>9.1575392974784613</v>
      </c>
      <c r="DJ80" s="649">
        <f>+DI80+(DK80-DI80)*(2033-2030)/(2035-2030)</f>
        <v>7.0076274069901325</v>
      </c>
      <c r="DK80" s="642">
        <v>5.5743528133312461</v>
      </c>
      <c r="DL80" s="649">
        <f t="shared" si="91"/>
        <v>3.7550842645610452</v>
      </c>
      <c r="DM80" s="642">
        <v>1.026181441405744</v>
      </c>
      <c r="DN80" s="649">
        <f>+DM80+(DO80-DM80)*(2043-2040)/(2045-2040)</f>
        <v>0.8013936387007935</v>
      </c>
      <c r="DO80" s="642">
        <v>0.65153510356415978</v>
      </c>
      <c r="DP80" s="642">
        <v>0.38065378640755937</v>
      </c>
      <c r="DQ80" s="648" t="s">
        <v>1021</v>
      </c>
    </row>
    <row r="81" spans="9:121" x14ac:dyDescent="0.25">
      <c r="I81" s="473" t="s">
        <v>817</v>
      </c>
      <c r="J81" s="476" t="s">
        <v>820</v>
      </c>
      <c r="K81" s="473">
        <v>12.5</v>
      </c>
      <c r="L81" s="476"/>
      <c r="M81" s="476" t="str">
        <f t="shared" si="40"/>
        <v>Heavy Oil</v>
      </c>
      <c r="N81" s="573">
        <f t="shared" si="41"/>
        <v>3.2805677744000978</v>
      </c>
      <c r="O81" s="574">
        <f t="shared" si="42"/>
        <v>8.7791106651863626E-2</v>
      </c>
      <c r="P81" s="582">
        <f t="shared" si="43"/>
        <v>2.6063465845553212E-2</v>
      </c>
      <c r="Q81" s="575">
        <f t="shared" si="71"/>
        <v>0</v>
      </c>
      <c r="R81" s="576">
        <f t="shared" si="44"/>
        <v>3.6990181091585597E-2</v>
      </c>
      <c r="S81" s="576">
        <f t="shared" si="45"/>
        <v>5.0800925560278022E-2</v>
      </c>
      <c r="T81" s="576">
        <f t="shared" si="46"/>
        <v>0</v>
      </c>
      <c r="U81" s="576">
        <f t="shared" si="47"/>
        <v>0</v>
      </c>
      <c r="V81" s="576">
        <f t="shared" si="48"/>
        <v>0</v>
      </c>
      <c r="W81" s="577">
        <f t="shared" si="49"/>
        <v>0.42134314627414909</v>
      </c>
      <c r="X81" s="577">
        <f t="shared" si="50"/>
        <v>0.57865685372585085</v>
      </c>
      <c r="Y81" s="577">
        <f t="shared" si="51"/>
        <v>0</v>
      </c>
      <c r="Z81" s="577">
        <f t="shared" si="52"/>
        <v>0</v>
      </c>
      <c r="AA81" s="578" t="str">
        <f t="shared" si="53"/>
        <v>-</v>
      </c>
      <c r="AB81" s="565">
        <f>+'5. GlobalData'!M20*1000*$D$21/1000</f>
        <v>34.198855287999997</v>
      </c>
      <c r="AC81" s="566">
        <f t="shared" si="72"/>
        <v>10.42467573902014</v>
      </c>
      <c r="AD81" s="571">
        <f t="shared" si="73"/>
        <v>33.307514591244193</v>
      </c>
      <c r="AE81" s="586">
        <f t="shared" si="54"/>
        <v>10.152972558945223</v>
      </c>
      <c r="AF81" s="571">
        <f t="shared" si="74"/>
        <v>0.89134069675580474</v>
      </c>
      <c r="AG81" s="587">
        <f t="shared" si="55"/>
        <v>10.152972558945223</v>
      </c>
      <c r="AH81" s="436">
        <f t="shared" si="56"/>
        <v>3.3683588810519614</v>
      </c>
      <c r="AI81" s="635">
        <v>1</v>
      </c>
      <c r="AJ81" s="636">
        <v>0.91296648521020596</v>
      </c>
      <c r="AK81" s="636">
        <v>1.037023676788877</v>
      </c>
      <c r="AL81" s="636">
        <v>0.81013478061257982</v>
      </c>
      <c r="AM81" s="636">
        <v>0</v>
      </c>
      <c r="AN81" s="636">
        <v>0</v>
      </c>
      <c r="AO81" s="636">
        <v>0.4888748606283207</v>
      </c>
      <c r="AP81" s="636">
        <v>0.2910572571653447</v>
      </c>
      <c r="AQ81" s="636">
        <v>0.24614678297370035</v>
      </c>
      <c r="AR81" s="636">
        <v>0.17878107168623381</v>
      </c>
      <c r="AS81" s="636">
        <v>0.14556306158588656</v>
      </c>
      <c r="AT81" s="636">
        <v>0.1234177215189884</v>
      </c>
      <c r="AU81" s="636">
        <v>0.10127238145209169</v>
      </c>
      <c r="AV81" s="637">
        <v>6.805437135174483E-2</v>
      </c>
      <c r="AW81" s="641">
        <f t="shared" si="75"/>
        <v>3.3683588810519614</v>
      </c>
      <c r="AX81" s="642">
        <f t="shared" si="76"/>
        <v>3.0751987685605915</v>
      </c>
      <c r="AY81" s="642">
        <f t="shared" si="77"/>
        <v>3.4930679115729726</v>
      </c>
      <c r="AZ81" s="642">
        <f t="shared" si="78"/>
        <v>2.7288246831254654</v>
      </c>
      <c r="BA81" s="642">
        <f t="shared" si="79"/>
        <v>0</v>
      </c>
      <c r="BB81" s="642">
        <f t="shared" si="80"/>
        <v>0</v>
      </c>
      <c r="BC81" s="642">
        <f t="shared" si="81"/>
        <v>1.6467059785204439</v>
      </c>
      <c r="BD81" s="642">
        <f t="shared" si="82"/>
        <v>0.98038529706751343</v>
      </c>
      <c r="BE81" s="642">
        <f t="shared" si="83"/>
        <v>0.82911070247183327</v>
      </c>
      <c r="BF81" s="642">
        <f t="shared" si="84"/>
        <v>0.60219881057831304</v>
      </c>
      <c r="BG81" s="642">
        <f t="shared" si="85"/>
        <v>0.4903086312459346</v>
      </c>
      <c r="BH81" s="642">
        <f t="shared" si="86"/>
        <v>0.41571517835768235</v>
      </c>
      <c r="BI81" s="642">
        <f t="shared" si="87"/>
        <v>0.34112172546943498</v>
      </c>
      <c r="BJ81" s="643">
        <f t="shared" si="88"/>
        <v>0.22923154613705787</v>
      </c>
      <c r="BK81" s="641">
        <v>3.3683588810519614</v>
      </c>
      <c r="BL81" s="642">
        <v>3.0751987685605915</v>
      </c>
      <c r="BM81" s="642">
        <v>3.4930679115729726</v>
      </c>
      <c r="BN81" s="642">
        <v>2.7288246831254654</v>
      </c>
      <c r="BO81" s="649">
        <v>0</v>
      </c>
      <c r="BP81" s="649">
        <v>0</v>
      </c>
      <c r="BQ81" s="642">
        <v>1.6467059785204439</v>
      </c>
      <c r="BR81" s="642">
        <v>0.98038529706751343</v>
      </c>
      <c r="BS81" s="649">
        <v>0.82911070247183327</v>
      </c>
      <c r="BT81" s="642">
        <v>0.60219881057831304</v>
      </c>
      <c r="BU81" s="649">
        <v>0.4903086312459346</v>
      </c>
      <c r="BV81" s="642">
        <v>0.41571517835768235</v>
      </c>
      <c r="BW81" s="647">
        <v>0.34112172546943498</v>
      </c>
      <c r="BX81" s="648">
        <v>0.22923154613705787</v>
      </c>
      <c r="BY81" s="630"/>
      <c r="BZ81" s="630"/>
      <c r="CA81" s="630"/>
      <c r="CB81" s="635" t="str">
        <f>+IF('5. GlobalData'!BF131="","",'5. GlobalData'!BF131)</f>
        <v/>
      </c>
      <c r="CC81" s="636" t="str">
        <f>+IF('5. GlobalData'!BG131="","",'5. GlobalData'!BG131)</f>
        <v/>
      </c>
      <c r="CD81" s="636" t="str">
        <f>+IF('5. GlobalData'!BH131="","",'5. GlobalData'!BH131)</f>
        <v/>
      </c>
      <c r="CE81" s="636" t="str">
        <f>+IF('5. GlobalData'!BI131="","",'5. GlobalData'!BI131)</f>
        <v/>
      </c>
      <c r="CF81" s="636" t="str">
        <f>+IF('5. GlobalData'!BJ131="","",'5. GlobalData'!BJ131)</f>
        <v/>
      </c>
      <c r="CG81" s="636" t="str">
        <f>+IF('5. GlobalData'!BK131="","",'5. GlobalData'!BK131)</f>
        <v/>
      </c>
      <c r="CH81" s="636" t="str">
        <f>+IF('5. GlobalData'!BL131="","",'5. GlobalData'!BL131)</f>
        <v/>
      </c>
      <c r="CI81" s="636" t="str">
        <f>+IF('5. GlobalData'!BM131="","",'5. GlobalData'!BM131)</f>
        <v/>
      </c>
      <c r="CJ81" s="636" t="str">
        <f>+IF('5. GlobalData'!BN131="","",'5. GlobalData'!BN131)</f>
        <v/>
      </c>
      <c r="CK81" s="636" t="str">
        <f>+IF('5. GlobalData'!BO131="","",'5. GlobalData'!BO131)</f>
        <v/>
      </c>
      <c r="CL81" s="636" t="str">
        <f>+IF('5. GlobalData'!BP131="","",'5. GlobalData'!BP131)</f>
        <v/>
      </c>
      <c r="CM81" s="636" t="str">
        <f>+IF('5. GlobalData'!BQ131="","",'5. GlobalData'!BQ131)</f>
        <v/>
      </c>
      <c r="CN81" s="636" t="str">
        <f>+IF('5. GlobalData'!BR131="","",'5. GlobalData'!BR131)</f>
        <v/>
      </c>
      <c r="CO81" s="637" t="str">
        <f>+IF('5. GlobalData'!BS131="","",'5. GlobalData'!BS131)</f>
        <v/>
      </c>
      <c r="CP81" s="641" t="str">
        <f t="shared" si="89"/>
        <v/>
      </c>
      <c r="CQ81" s="642" t="str">
        <f t="shared" si="58"/>
        <v/>
      </c>
      <c r="CR81" s="642" t="str">
        <f t="shared" si="59"/>
        <v/>
      </c>
      <c r="CS81" s="642" t="str">
        <f t="shared" si="60"/>
        <v/>
      </c>
      <c r="CT81" s="642" t="str">
        <f t="shared" si="61"/>
        <v/>
      </c>
      <c r="CU81" s="642" t="str">
        <f t="shared" si="62"/>
        <v/>
      </c>
      <c r="CV81" s="642" t="str">
        <f t="shared" si="63"/>
        <v/>
      </c>
      <c r="CW81" s="642" t="str">
        <f t="shared" si="64"/>
        <v/>
      </c>
      <c r="CX81" s="642" t="str">
        <f t="shared" si="65"/>
        <v/>
      </c>
      <c r="CY81" s="642" t="str">
        <f t="shared" si="66"/>
        <v/>
      </c>
      <c r="CZ81" s="642" t="str">
        <f t="shared" si="67"/>
        <v/>
      </c>
      <c r="DA81" s="642" t="str">
        <f t="shared" si="68"/>
        <v/>
      </c>
      <c r="DB81" s="642" t="str">
        <f t="shared" si="69"/>
        <v/>
      </c>
      <c r="DC81" s="643" t="str">
        <f t="shared" si="70"/>
        <v/>
      </c>
      <c r="DD81" s="641">
        <v>3.3683588810519614</v>
      </c>
      <c r="DE81" s="642">
        <v>3.0751987685605915</v>
      </c>
      <c r="DF81" s="642">
        <v>3.4930679115729726</v>
      </c>
      <c r="DG81" s="642">
        <v>2.7288246831254654</v>
      </c>
      <c r="DH81" s="649">
        <f>+DG81+(DJ81-DG81)*(2027-2025)/(2033-2025)</f>
        <v>2.4582950069742102</v>
      </c>
      <c r="DI81" s="649">
        <f>+DG81+(DJ81-DG81)*(2030-2025)/(2033-2025)</f>
        <v>2.0525004927473267</v>
      </c>
      <c r="DJ81" s="642">
        <v>1.6467059785204439</v>
      </c>
      <c r="DK81" s="642">
        <v>0.98038529706751343</v>
      </c>
      <c r="DL81" s="649">
        <f t="shared" si="91"/>
        <v>0.82911070247183327</v>
      </c>
      <c r="DM81" s="642">
        <v>0.60219881057831304</v>
      </c>
      <c r="DN81" s="649">
        <f>+DM81+(DO81-DM81)*(2043-2040)/(2045-2040)</f>
        <v>0.4903086312459346</v>
      </c>
      <c r="DO81" s="642">
        <v>0.41571517835768235</v>
      </c>
      <c r="DP81" s="647" t="s">
        <v>1021</v>
      </c>
      <c r="DQ81" s="648" t="s">
        <v>1021</v>
      </c>
    </row>
    <row r="82" spans="9:121" x14ac:dyDescent="0.25">
      <c r="I82" s="473" t="s">
        <v>817</v>
      </c>
      <c r="J82" s="476" t="s">
        <v>854</v>
      </c>
      <c r="K82" s="473">
        <v>21</v>
      </c>
      <c r="L82" s="476"/>
      <c r="M82" s="476" t="str">
        <f t="shared" si="40"/>
        <v>Medium Oil</v>
      </c>
      <c r="N82" s="573">
        <f t="shared" si="41"/>
        <v>39.659458817161386</v>
      </c>
      <c r="O82" s="574">
        <f t="shared" si="42"/>
        <v>1.8634611370761611</v>
      </c>
      <c r="P82" s="582">
        <f t="shared" si="43"/>
        <v>4.4877892477934681E-2</v>
      </c>
      <c r="Q82" s="575">
        <f t="shared" si="71"/>
        <v>0.90025257054584151</v>
      </c>
      <c r="R82" s="576">
        <f t="shared" si="44"/>
        <v>0.8853716952922942</v>
      </c>
      <c r="S82" s="576">
        <f t="shared" si="45"/>
        <v>7.7836871238025379E-2</v>
      </c>
      <c r="T82" s="576">
        <f t="shared" si="46"/>
        <v>0</v>
      </c>
      <c r="U82" s="576">
        <f t="shared" si="47"/>
        <v>0</v>
      </c>
      <c r="V82" s="576">
        <f t="shared" si="48"/>
        <v>0.90025257054584151</v>
      </c>
      <c r="W82" s="577">
        <f t="shared" si="49"/>
        <v>0.47512216792536649</v>
      </c>
      <c r="X82" s="577">
        <f t="shared" si="50"/>
        <v>4.1770053417993079E-2</v>
      </c>
      <c r="Y82" s="577">
        <f t="shared" si="51"/>
        <v>0</v>
      </c>
      <c r="Z82" s="577">
        <f t="shared" si="52"/>
        <v>0.4831077786566404</v>
      </c>
      <c r="AA82" s="578" t="str">
        <f t="shared" si="53"/>
        <v>-</v>
      </c>
      <c r="AB82" s="565">
        <f>+'5. GlobalData'!M21*1000*$D$21/1000</f>
        <v>514.19415250670738</v>
      </c>
      <c r="AC82" s="566">
        <f t="shared" si="72"/>
        <v>12.677460832784638</v>
      </c>
      <c r="AD82" s="571">
        <f t="shared" si="73"/>
        <v>491.11820261772863</v>
      </c>
      <c r="AE82" s="586">
        <f t="shared" si="54"/>
        <v>12.38338134874429</v>
      </c>
      <c r="AF82" s="571">
        <f t="shared" si="74"/>
        <v>23.075949888978762</v>
      </c>
      <c r="AG82" s="587">
        <f t="shared" si="55"/>
        <v>12.38338134874429</v>
      </c>
      <c r="AH82" s="436">
        <f t="shared" si="56"/>
        <v>41.522919954237551</v>
      </c>
      <c r="AI82" s="635">
        <v>1</v>
      </c>
      <c r="AJ82" s="636">
        <v>1.0666666666666669</v>
      </c>
      <c r="AK82" s="636">
        <v>0.96355555555555572</v>
      </c>
      <c r="AL82" s="636">
        <v>0.89481481481481495</v>
      </c>
      <c r="AM82" s="636">
        <v>0.77155555555555577</v>
      </c>
      <c r="AN82" s="636">
        <v>0.58666666666666689</v>
      </c>
      <c r="AO82" s="636">
        <v>0.45688888888888901</v>
      </c>
      <c r="AP82" s="636">
        <v>0.37037037037037046</v>
      </c>
      <c r="AQ82" s="636">
        <v>0.32533333333333342</v>
      </c>
      <c r="AR82" s="636">
        <v>0.25777777777777799</v>
      </c>
      <c r="AS82" s="636">
        <v>0.21333333333333346</v>
      </c>
      <c r="AT82" s="636">
        <v>0.18370370370370376</v>
      </c>
      <c r="AU82" s="636">
        <v>0.16118518518518526</v>
      </c>
      <c r="AV82" s="637">
        <v>0.12740740740740755</v>
      </c>
      <c r="AW82" s="641">
        <f t="shared" si="75"/>
        <v>41.522919954237551</v>
      </c>
      <c r="AX82" s="642">
        <f t="shared" si="76"/>
        <v>44.291114617853395</v>
      </c>
      <c r="AY82" s="642">
        <f t="shared" si="77"/>
        <v>40.009640204794231</v>
      </c>
      <c r="AZ82" s="642">
        <f t="shared" si="78"/>
        <v>37.155323929421456</v>
      </c>
      <c r="BA82" s="642">
        <f t="shared" si="79"/>
        <v>32.037239573580628</v>
      </c>
      <c r="BB82" s="642">
        <f t="shared" si="80"/>
        <v>24.360113039819371</v>
      </c>
      <c r="BC82" s="642">
        <f t="shared" si="81"/>
        <v>18.971360761313871</v>
      </c>
      <c r="BD82" s="642">
        <f t="shared" si="82"/>
        <v>15.378859242310208</v>
      </c>
      <c r="BE82" s="642">
        <f t="shared" si="83"/>
        <v>13.508789958445286</v>
      </c>
      <c r="BF82" s="642">
        <f t="shared" si="84"/>
        <v>10.70368603264791</v>
      </c>
      <c r="BG82" s="642">
        <f t="shared" si="85"/>
        <v>8.8582229235706826</v>
      </c>
      <c r="BH82" s="642">
        <f t="shared" si="86"/>
        <v>7.6279141841858635</v>
      </c>
      <c r="BI82" s="642">
        <f t="shared" si="87"/>
        <v>6.6928795422534044</v>
      </c>
      <c r="BJ82" s="643">
        <f t="shared" si="88"/>
        <v>5.2903275793547166</v>
      </c>
      <c r="BK82" s="641">
        <v>41.522919954237551</v>
      </c>
      <c r="BL82" s="642">
        <v>44.291114617853395</v>
      </c>
      <c r="BM82" s="649">
        <v>40.009640204794231</v>
      </c>
      <c r="BN82" s="642">
        <v>37.155323929421456</v>
      </c>
      <c r="BO82" s="649">
        <v>32.037239573580628</v>
      </c>
      <c r="BP82" s="642">
        <v>24.360113039819371</v>
      </c>
      <c r="BQ82" s="649">
        <v>18.971360761313871</v>
      </c>
      <c r="BR82" s="642">
        <v>15.378859242310208</v>
      </c>
      <c r="BS82" s="649">
        <v>13.508789958445286</v>
      </c>
      <c r="BT82" s="642">
        <v>10.70368603264791</v>
      </c>
      <c r="BU82" s="649">
        <v>8.8582229235706826</v>
      </c>
      <c r="BV82" s="642">
        <v>7.6279141841858635</v>
      </c>
      <c r="BW82" s="649">
        <v>6.6928795422534044</v>
      </c>
      <c r="BX82" s="643">
        <v>5.2903275793547166</v>
      </c>
      <c r="BY82" s="630"/>
      <c r="BZ82" s="630"/>
      <c r="CA82" s="630"/>
      <c r="CB82" s="635" t="str">
        <f>+IF('5. GlobalData'!BF132="","",'5. GlobalData'!BF132)</f>
        <v/>
      </c>
      <c r="CC82" s="636" t="str">
        <f>+IF('5. GlobalData'!BG132="","",'5. GlobalData'!BG132)</f>
        <v/>
      </c>
      <c r="CD82" s="636" t="str">
        <f>+IF('5. GlobalData'!BH132="","",'5. GlobalData'!BH132)</f>
        <v/>
      </c>
      <c r="CE82" s="636" t="str">
        <f>+IF('5. GlobalData'!BI132="","",'5. GlobalData'!BI132)</f>
        <v/>
      </c>
      <c r="CF82" s="636" t="str">
        <f>+IF('5. GlobalData'!BJ132="","",'5. GlobalData'!BJ132)</f>
        <v/>
      </c>
      <c r="CG82" s="636" t="str">
        <f>+IF('5. GlobalData'!BK132="","",'5. GlobalData'!BK132)</f>
        <v/>
      </c>
      <c r="CH82" s="636" t="str">
        <f>+IF('5. GlobalData'!BL132="","",'5. GlobalData'!BL132)</f>
        <v/>
      </c>
      <c r="CI82" s="636" t="str">
        <f>+IF('5. GlobalData'!BM132="","",'5. GlobalData'!BM132)</f>
        <v/>
      </c>
      <c r="CJ82" s="636" t="str">
        <f>+IF('5. GlobalData'!BN132="","",'5. GlobalData'!BN132)</f>
        <v/>
      </c>
      <c r="CK82" s="636" t="str">
        <f>+IF('5. GlobalData'!BO132="","",'5. GlobalData'!BO132)</f>
        <v/>
      </c>
      <c r="CL82" s="636" t="str">
        <f>+IF('5. GlobalData'!BP132="","",'5. GlobalData'!BP132)</f>
        <v/>
      </c>
      <c r="CM82" s="636" t="str">
        <f>+IF('5. GlobalData'!BQ132="","",'5. GlobalData'!BQ132)</f>
        <v/>
      </c>
      <c r="CN82" s="636" t="str">
        <f>+IF('5. GlobalData'!BR132="","",'5. GlobalData'!BR132)</f>
        <v/>
      </c>
      <c r="CO82" s="637" t="str">
        <f>+IF('5. GlobalData'!BS132="","",'5. GlobalData'!BS132)</f>
        <v/>
      </c>
      <c r="CP82" s="641" t="str">
        <f t="shared" si="89"/>
        <v/>
      </c>
      <c r="CQ82" s="642" t="str">
        <f t="shared" si="58"/>
        <v/>
      </c>
      <c r="CR82" s="642" t="str">
        <f t="shared" si="59"/>
        <v/>
      </c>
      <c r="CS82" s="642" t="str">
        <f t="shared" si="60"/>
        <v/>
      </c>
      <c r="CT82" s="642" t="str">
        <f t="shared" si="61"/>
        <v/>
      </c>
      <c r="CU82" s="642" t="str">
        <f t="shared" si="62"/>
        <v/>
      </c>
      <c r="CV82" s="642" t="str">
        <f t="shared" si="63"/>
        <v/>
      </c>
      <c r="CW82" s="642" t="str">
        <f t="shared" si="64"/>
        <v/>
      </c>
      <c r="CX82" s="642" t="str">
        <f t="shared" si="65"/>
        <v/>
      </c>
      <c r="CY82" s="642" t="str">
        <f t="shared" si="66"/>
        <v/>
      </c>
      <c r="CZ82" s="642" t="str">
        <f t="shared" si="67"/>
        <v/>
      </c>
      <c r="DA82" s="642" t="str">
        <f t="shared" si="68"/>
        <v/>
      </c>
      <c r="DB82" s="642" t="str">
        <f t="shared" si="69"/>
        <v/>
      </c>
      <c r="DC82" s="643" t="str">
        <f t="shared" si="70"/>
        <v/>
      </c>
      <c r="DD82" s="641">
        <v>41.522919954237551</v>
      </c>
      <c r="DE82" s="642">
        <v>44.291114617853395</v>
      </c>
      <c r="DF82" s="649">
        <f>+DE82+(DG82-DE82)*(2023-2020)/(2025-2020)</f>
        <v>40.009640204794231</v>
      </c>
      <c r="DG82" s="642">
        <v>37.155323929421456</v>
      </c>
      <c r="DH82" s="649">
        <f>+DG82+(DI82-DG82)*(2027-2025)/(2030-2025)</f>
        <v>32.037239573580621</v>
      </c>
      <c r="DI82" s="642">
        <v>24.360113039819371</v>
      </c>
      <c r="DJ82" s="649">
        <f>+DI82+(DK82-DI82)*(2033-2030)/(2035-2030)</f>
        <v>18.971360761313875</v>
      </c>
      <c r="DK82" s="642">
        <v>15.378859242310208</v>
      </c>
      <c r="DL82" s="649">
        <f t="shared" si="91"/>
        <v>13.50878995844529</v>
      </c>
      <c r="DM82" s="642">
        <v>10.70368603264791</v>
      </c>
      <c r="DN82" s="649">
        <f>+DM82+(DO82-DM82)*(2043-2040)/(2045-2040)</f>
        <v>8.8582229235706826</v>
      </c>
      <c r="DO82" s="642">
        <v>7.6279141841858635</v>
      </c>
      <c r="DP82" s="649">
        <f>+DO82+(DQ82-DO82)*(2047-2045)/(2050-2045)</f>
        <v>6.6928795422534044</v>
      </c>
      <c r="DQ82" s="643">
        <v>5.2903275793547166</v>
      </c>
    </row>
    <row r="83" spans="9:121" x14ac:dyDescent="0.25">
      <c r="I83" s="473" t="s">
        <v>817</v>
      </c>
      <c r="J83" s="476" t="s">
        <v>856</v>
      </c>
      <c r="K83" s="473">
        <f>20+(25-20)/2</f>
        <v>22.5</v>
      </c>
      <c r="L83" s="476"/>
      <c r="M83" s="476" t="str">
        <f t="shared" si="40"/>
        <v>Medium Oil</v>
      </c>
      <c r="N83" s="573">
        <f t="shared" si="41"/>
        <v>94.059349180277351</v>
      </c>
      <c r="O83" s="574">
        <f t="shared" si="42"/>
        <v>2.497140090885289</v>
      </c>
      <c r="P83" s="582">
        <f t="shared" si="43"/>
        <v>2.5861960285988563E-2</v>
      </c>
      <c r="Q83" s="575">
        <f t="shared" si="71"/>
        <v>1.3766222989813104</v>
      </c>
      <c r="R83" s="576">
        <f t="shared" si="44"/>
        <v>0.51468242964795996</v>
      </c>
      <c r="S83" s="576">
        <f t="shared" si="45"/>
        <v>0.60583536225601842</v>
      </c>
      <c r="T83" s="576">
        <f t="shared" si="46"/>
        <v>1.3766222989813104</v>
      </c>
      <c r="U83" s="576">
        <f t="shared" si="47"/>
        <v>0</v>
      </c>
      <c r="V83" s="576">
        <f t="shared" si="48"/>
        <v>0</v>
      </c>
      <c r="W83" s="577">
        <f t="shared" si="49"/>
        <v>0.20610875277946228</v>
      </c>
      <c r="X83" s="577">
        <f t="shared" si="50"/>
        <v>0.24261168384879719</v>
      </c>
      <c r="Y83" s="577">
        <f t="shared" si="51"/>
        <v>0.55127956337174044</v>
      </c>
      <c r="Z83" s="577">
        <f t="shared" si="52"/>
        <v>0</v>
      </c>
      <c r="AA83" s="578">
        <f t="shared" si="53"/>
        <v>0</v>
      </c>
      <c r="AB83" s="565">
        <f>+'5. GlobalData'!M22*1000*$D$21/1000</f>
        <v>356.91613908800002</v>
      </c>
      <c r="AC83" s="566">
        <f t="shared" si="72"/>
        <v>3.7398491738051778</v>
      </c>
      <c r="AD83" s="571">
        <f t="shared" si="73"/>
        <v>347.68558807347779</v>
      </c>
      <c r="AE83" s="586">
        <f t="shared" si="54"/>
        <v>3.69644900909416</v>
      </c>
      <c r="AF83" s="571">
        <f t="shared" si="74"/>
        <v>9.2305510145222271</v>
      </c>
      <c r="AG83" s="587">
        <f t="shared" si="55"/>
        <v>3.69644900909416</v>
      </c>
      <c r="AH83" s="436">
        <f t="shared" si="56"/>
        <v>96.556489271162647</v>
      </c>
      <c r="AI83" s="635">
        <v>1</v>
      </c>
      <c r="AJ83" s="636">
        <v>0.8428801816344339</v>
      </c>
      <c r="AK83" s="636">
        <v>0.56078675910832387</v>
      </c>
      <c r="AL83" s="636">
        <v>0.37272447742425052</v>
      </c>
      <c r="AM83" s="636">
        <v>0.27591584803589347</v>
      </c>
      <c r="AN83" s="636">
        <v>0.13070290395335787</v>
      </c>
      <c r="AO83" s="636">
        <v>9.278652515247135E-2</v>
      </c>
      <c r="AP83" s="636">
        <v>6.7508939285213676E-2</v>
      </c>
      <c r="AQ83" s="636">
        <v>5.706727294674778E-2</v>
      </c>
      <c r="AR83" s="636">
        <v>4.1404773439048928E-2</v>
      </c>
      <c r="AS83" s="636">
        <v>2.5742273931349369E-2</v>
      </c>
      <c r="AT83" s="636">
        <v>1.5300607592884145E-2</v>
      </c>
      <c r="AU83" s="636">
        <v>7.0758850390578634E-3</v>
      </c>
      <c r="AV83" s="637">
        <v>4.7150482391972994E-3</v>
      </c>
      <c r="AW83" s="641">
        <f t="shared" si="75"/>
        <v>96.556489271162647</v>
      </c>
      <c r="AX83" s="642">
        <f t="shared" si="76"/>
        <v>81.38555121486084</v>
      </c>
      <c r="AY83" s="642">
        <f t="shared" si="77"/>
        <v>54.147600689252947</v>
      </c>
      <c r="AZ83" s="642">
        <f t="shared" si="78"/>
        <v>35.988967005514347</v>
      </c>
      <c r="BA83" s="642">
        <f t="shared" si="79"/>
        <v>26.641465620621492</v>
      </c>
      <c r="BB83" s="642">
        <f t="shared" si="80"/>
        <v>12.620213543282201</v>
      </c>
      <c r="BC83" s="642">
        <f t="shared" si="81"/>
        <v>8.9591411203930633</v>
      </c>
      <c r="BD83" s="642">
        <f t="shared" si="82"/>
        <v>6.5184261718003045</v>
      </c>
      <c r="BE83" s="642">
        <f t="shared" si="83"/>
        <v>5.5102155280171621</v>
      </c>
      <c r="BF83" s="642">
        <f t="shared" si="84"/>
        <v>3.997899562342448</v>
      </c>
      <c r="BG83" s="642">
        <f t="shared" si="85"/>
        <v>2.4855835966676652</v>
      </c>
      <c r="BH83" s="642">
        <f t="shared" si="86"/>
        <v>1.4773729528845878</v>
      </c>
      <c r="BI83" s="642">
        <f t="shared" si="87"/>
        <v>0.68322261785777083</v>
      </c>
      <c r="BJ83" s="643">
        <f t="shared" si="88"/>
        <v>0.45526850472106839</v>
      </c>
      <c r="BK83" s="641">
        <v>96.556489271162647</v>
      </c>
      <c r="BL83" s="642">
        <v>81.38555121486084</v>
      </c>
      <c r="BM83" s="649">
        <v>54.147600689252947</v>
      </c>
      <c r="BN83" s="642">
        <v>35.988967005514347</v>
      </c>
      <c r="BO83" s="649">
        <v>26.641465620621492</v>
      </c>
      <c r="BP83" s="642">
        <v>12.620213543282201</v>
      </c>
      <c r="BQ83" s="649">
        <v>8.9591411203930633</v>
      </c>
      <c r="BR83" s="642">
        <v>6.5184261718003045</v>
      </c>
      <c r="BS83" s="649">
        <v>5.5102155280171621</v>
      </c>
      <c r="BT83" s="642">
        <v>3.997899562342448</v>
      </c>
      <c r="BU83" s="647">
        <v>2.4855835966676652</v>
      </c>
      <c r="BV83" s="647">
        <v>1.4773729528845878</v>
      </c>
      <c r="BW83" s="647">
        <v>0.68322261785777083</v>
      </c>
      <c r="BX83" s="648">
        <v>0.45526850472106839</v>
      </c>
      <c r="BY83" s="630"/>
      <c r="BZ83" s="630"/>
      <c r="CA83" s="630"/>
      <c r="CB83" s="635" t="str">
        <f>+IF('5. GlobalData'!BF133="","",'5. GlobalData'!BF133)</f>
        <v/>
      </c>
      <c r="CC83" s="636" t="str">
        <f>+IF('5. GlobalData'!BG133="","",'5. GlobalData'!BG133)</f>
        <v/>
      </c>
      <c r="CD83" s="636" t="str">
        <f>+IF('5. GlobalData'!BH133="","",'5. GlobalData'!BH133)</f>
        <v/>
      </c>
      <c r="CE83" s="636" t="str">
        <f>+IF('5. GlobalData'!BI133="","",'5. GlobalData'!BI133)</f>
        <v/>
      </c>
      <c r="CF83" s="636" t="str">
        <f>+IF('5. GlobalData'!BJ133="","",'5. GlobalData'!BJ133)</f>
        <v/>
      </c>
      <c r="CG83" s="636" t="str">
        <f>+IF('5. GlobalData'!BK133="","",'5. GlobalData'!BK133)</f>
        <v/>
      </c>
      <c r="CH83" s="636" t="str">
        <f>+IF('5. GlobalData'!BL133="","",'5. GlobalData'!BL133)</f>
        <v/>
      </c>
      <c r="CI83" s="636" t="str">
        <f>+IF('5. GlobalData'!BM133="","",'5. GlobalData'!BM133)</f>
        <v/>
      </c>
      <c r="CJ83" s="636" t="str">
        <f>+IF('5. GlobalData'!BN133="","",'5. GlobalData'!BN133)</f>
        <v/>
      </c>
      <c r="CK83" s="636" t="str">
        <f>+IF('5. GlobalData'!BO133="","",'5. GlobalData'!BO133)</f>
        <v/>
      </c>
      <c r="CL83" s="636" t="str">
        <f>+IF('5. GlobalData'!BP133="","",'5. GlobalData'!BP133)</f>
        <v/>
      </c>
      <c r="CM83" s="636" t="str">
        <f>+IF('5. GlobalData'!BQ133="","",'5. GlobalData'!BQ133)</f>
        <v/>
      </c>
      <c r="CN83" s="636" t="str">
        <f>+IF('5. GlobalData'!BR133="","",'5. GlobalData'!BR133)</f>
        <v/>
      </c>
      <c r="CO83" s="637" t="str">
        <f>+IF('5. GlobalData'!BS133="","",'5. GlobalData'!BS133)</f>
        <v/>
      </c>
      <c r="CP83" s="641" t="str">
        <f t="shared" si="89"/>
        <v/>
      </c>
      <c r="CQ83" s="642" t="str">
        <f t="shared" si="58"/>
        <v/>
      </c>
      <c r="CR83" s="642" t="str">
        <f t="shared" si="59"/>
        <v/>
      </c>
      <c r="CS83" s="642" t="str">
        <f t="shared" si="60"/>
        <v/>
      </c>
      <c r="CT83" s="642" t="str">
        <f t="shared" si="61"/>
        <v/>
      </c>
      <c r="CU83" s="642" t="str">
        <f t="shared" si="62"/>
        <v/>
      </c>
      <c r="CV83" s="642" t="str">
        <f t="shared" si="63"/>
        <v/>
      </c>
      <c r="CW83" s="642" t="str">
        <f t="shared" si="64"/>
        <v/>
      </c>
      <c r="CX83" s="642" t="str">
        <f t="shared" si="65"/>
        <v/>
      </c>
      <c r="CY83" s="642" t="str">
        <f t="shared" si="66"/>
        <v/>
      </c>
      <c r="CZ83" s="642" t="str">
        <f t="shared" si="67"/>
        <v/>
      </c>
      <c r="DA83" s="642" t="str">
        <f t="shared" si="68"/>
        <v/>
      </c>
      <c r="DB83" s="642" t="str">
        <f t="shared" si="69"/>
        <v/>
      </c>
      <c r="DC83" s="643" t="str">
        <f t="shared" si="70"/>
        <v/>
      </c>
      <c r="DD83" s="641">
        <v>96.556489271162647</v>
      </c>
      <c r="DE83" s="642">
        <v>81.38555121486084</v>
      </c>
      <c r="DF83" s="649">
        <f>+DE83+(DG83-DE83)*(2023-2020)/(2025-2020)</f>
        <v>54.14760068925294</v>
      </c>
      <c r="DG83" s="642">
        <v>35.988967005514347</v>
      </c>
      <c r="DH83" s="649">
        <f>+DG83+(DI83-DG83)*(2027-2025)/(2030-2025)</f>
        <v>26.641465620621489</v>
      </c>
      <c r="DI83" s="642">
        <v>12.620213543282201</v>
      </c>
      <c r="DJ83" s="649">
        <f>+DI83+(DK83-DI83)*(2033-2030)/(2035-2030)</f>
        <v>8.9591411203930633</v>
      </c>
      <c r="DK83" s="642">
        <v>6.5184261718003045</v>
      </c>
      <c r="DL83" s="649">
        <f t="shared" si="91"/>
        <v>5.5102155280171621</v>
      </c>
      <c r="DM83" s="642">
        <v>3.997899562342448</v>
      </c>
      <c r="DN83" s="647" t="s">
        <v>1021</v>
      </c>
      <c r="DO83" s="647" t="s">
        <v>1021</v>
      </c>
      <c r="DP83" s="647" t="s">
        <v>1021</v>
      </c>
      <c r="DQ83" s="648" t="s">
        <v>1021</v>
      </c>
    </row>
    <row r="84" spans="9:121" x14ac:dyDescent="0.25">
      <c r="I84" s="473" t="s">
        <v>830</v>
      </c>
      <c r="J84" s="476" t="s">
        <v>831</v>
      </c>
      <c r="K84" s="473">
        <v>23</v>
      </c>
      <c r="L84" s="476"/>
      <c r="M84" s="476" t="str">
        <f t="shared" si="40"/>
        <v>Medium Oil</v>
      </c>
      <c r="N84" s="573">
        <f t="shared" si="41"/>
        <v>10.408512554584734</v>
      </c>
      <c r="O84" s="574">
        <f t="shared" si="42"/>
        <v>0.71025387836690013</v>
      </c>
      <c r="P84" s="582">
        <f t="shared" si="43"/>
        <v>6.3878837877373515E-2</v>
      </c>
      <c r="Q84" s="575">
        <f t="shared" si="71"/>
        <v>0.38201649904628787</v>
      </c>
      <c r="R84" s="576">
        <f t="shared" si="44"/>
        <v>3.8100694170208539E-2</v>
      </c>
      <c r="S84" s="576">
        <f t="shared" si="45"/>
        <v>8.403555333142973E-2</v>
      </c>
      <c r="T84" s="576">
        <f t="shared" si="46"/>
        <v>0.58683549303812432</v>
      </c>
      <c r="U84" s="576">
        <f t="shared" si="47"/>
        <v>0.2061011318189738</v>
      </c>
      <c r="V84" s="576">
        <f t="shared" si="48"/>
        <v>1.2821378271373829E-3</v>
      </c>
      <c r="W84" s="577">
        <f t="shared" si="49"/>
        <v>5.3643767856381398E-2</v>
      </c>
      <c r="X84" s="577">
        <f t="shared" si="50"/>
        <v>0.11831762682472671</v>
      </c>
      <c r="Y84" s="577">
        <f t="shared" si="51"/>
        <v>0.82623342288175328</v>
      </c>
      <c r="Z84" s="577">
        <f t="shared" si="52"/>
        <v>1.8051824371384303E-3</v>
      </c>
      <c r="AA84" s="578">
        <f t="shared" si="53"/>
        <v>0.35120767960363336</v>
      </c>
      <c r="AB84" s="565">
        <f>+'5. GlobalData'!M23*1000*$D$21/1000</f>
        <v>68.678597355267783</v>
      </c>
      <c r="AC84" s="566">
        <f t="shared" si="72"/>
        <v>6.3647108509621582</v>
      </c>
      <c r="AD84" s="571">
        <f t="shared" si="73"/>
        <v>64.291488369165208</v>
      </c>
      <c r="AE84" s="586">
        <f t="shared" si="54"/>
        <v>6.1768180642532</v>
      </c>
      <c r="AF84" s="571">
        <f t="shared" si="74"/>
        <v>4.3871089861025645</v>
      </c>
      <c r="AG84" s="587">
        <f t="shared" si="55"/>
        <v>6.1768180642532009</v>
      </c>
      <c r="AH84" s="436">
        <f t="shared" si="56"/>
        <v>11.118766432951634</v>
      </c>
      <c r="AI84" s="635">
        <v>1</v>
      </c>
      <c r="AJ84" s="636">
        <v>0.92899768313750497</v>
      </c>
      <c r="AK84" s="636">
        <v>0.66664478329632215</v>
      </c>
      <c r="AL84" s="636">
        <v>0.54043952260260264</v>
      </c>
      <c r="AM84" s="636">
        <v>0.42775129566918652</v>
      </c>
      <c r="AN84" s="636">
        <v>0.27808028290295722</v>
      </c>
      <c r="AO84" s="636">
        <v>0.21693685786046518</v>
      </c>
      <c r="AP84" s="636">
        <v>0.17617457449880206</v>
      </c>
      <c r="AQ84" s="636">
        <v>0.1337547602752909</v>
      </c>
      <c r="AR84" s="636">
        <v>7.5845431195485674E-2</v>
      </c>
      <c r="AS84" s="636">
        <v>1.9345471814238253E-2</v>
      </c>
      <c r="AT84" s="636">
        <v>7.3717377731980184E-3</v>
      </c>
      <c r="AU84" s="636">
        <v>6.3022022619874472E-3</v>
      </c>
      <c r="AV84" s="637">
        <v>4.6978989951715908E-3</v>
      </c>
      <c r="AW84" s="641">
        <f t="shared" si="75"/>
        <v>11.118766432951634</v>
      </c>
      <c r="AX84" s="642">
        <f t="shared" si="76"/>
        <v>10.329308255559129</v>
      </c>
      <c r="AY84" s="642">
        <f t="shared" si="77"/>
        <v>7.4122676392174629</v>
      </c>
      <c r="AZ84" s="642">
        <f t="shared" si="78"/>
        <v>6.0090208229542244</v>
      </c>
      <c r="BA84" s="642">
        <f t="shared" si="79"/>
        <v>4.7560667479381209</v>
      </c>
      <c r="BB84" s="642">
        <f t="shared" si="80"/>
        <v>3.0919097152070951</v>
      </c>
      <c r="BC84" s="642">
        <f t="shared" si="81"/>
        <v>2.41207025324894</v>
      </c>
      <c r="BD84" s="642">
        <f t="shared" si="82"/>
        <v>1.9588439452768174</v>
      </c>
      <c r="BE84" s="642">
        <f t="shared" si="83"/>
        <v>1.4871879387963971</v>
      </c>
      <c r="BF84" s="642">
        <f t="shared" si="84"/>
        <v>0.84330763446910884</v>
      </c>
      <c r="BG84" s="642">
        <f t="shared" si="85"/>
        <v>0.21509778263776425</v>
      </c>
      <c r="BH84" s="642">
        <f t="shared" si="86"/>
        <v>8.1964630505155761E-2</v>
      </c>
      <c r="BI84" s="642">
        <f t="shared" si="87"/>
        <v>7.007271496425789E-2</v>
      </c>
      <c r="BJ84" s="643">
        <f t="shared" si="88"/>
        <v>5.2234841652911097E-2</v>
      </c>
      <c r="BK84" s="641">
        <v>11.118766432951634</v>
      </c>
      <c r="BL84" s="642">
        <v>10.329308255559129</v>
      </c>
      <c r="BM84" s="642">
        <v>7.4122676392174629</v>
      </c>
      <c r="BN84" s="642">
        <v>6.0090208229542244</v>
      </c>
      <c r="BO84" s="642">
        <v>4.7560667479381209</v>
      </c>
      <c r="BP84" s="642">
        <v>3.0919097152070951</v>
      </c>
      <c r="BQ84" s="642">
        <v>2.41207025324894</v>
      </c>
      <c r="BR84" s="642">
        <v>1.9588439452768174</v>
      </c>
      <c r="BS84" s="642">
        <v>1.4871879387963971</v>
      </c>
      <c r="BT84" s="642">
        <v>0.84330763446910884</v>
      </c>
      <c r="BU84" s="649">
        <v>0.21509778263776425</v>
      </c>
      <c r="BV84" s="642">
        <v>8.1964630505155761E-2</v>
      </c>
      <c r="BW84" s="649">
        <v>7.007271496425789E-2</v>
      </c>
      <c r="BX84" s="643">
        <v>5.2234841652911097E-2</v>
      </c>
      <c r="BY84" s="630"/>
      <c r="BZ84" s="630"/>
      <c r="CA84" s="630"/>
      <c r="CB84" s="635" t="str">
        <f>+IF('5. GlobalData'!BF134="","",'5. GlobalData'!BF134)</f>
        <v/>
      </c>
      <c r="CC84" s="636" t="str">
        <f>+IF('5. GlobalData'!BG134="","",'5. GlobalData'!BG134)</f>
        <v/>
      </c>
      <c r="CD84" s="636" t="str">
        <f>+IF('5. GlobalData'!BH134="","",'5. GlobalData'!BH134)</f>
        <v/>
      </c>
      <c r="CE84" s="636" t="str">
        <f>+IF('5. GlobalData'!BI134="","",'5. GlobalData'!BI134)</f>
        <v/>
      </c>
      <c r="CF84" s="636" t="str">
        <f>+IF('5. GlobalData'!BJ134="","",'5. GlobalData'!BJ134)</f>
        <v/>
      </c>
      <c r="CG84" s="636" t="str">
        <f>+IF('5. GlobalData'!BK134="","",'5. GlobalData'!BK134)</f>
        <v/>
      </c>
      <c r="CH84" s="636" t="str">
        <f>+IF('5. GlobalData'!BL134="","",'5. GlobalData'!BL134)</f>
        <v/>
      </c>
      <c r="CI84" s="636" t="str">
        <f>+IF('5. GlobalData'!BM134="","",'5. GlobalData'!BM134)</f>
        <v/>
      </c>
      <c r="CJ84" s="636" t="str">
        <f>+IF('5. GlobalData'!BN134="","",'5. GlobalData'!BN134)</f>
        <v/>
      </c>
      <c r="CK84" s="636" t="str">
        <f>+IF('5. GlobalData'!BO134="","",'5. GlobalData'!BO134)</f>
        <v/>
      </c>
      <c r="CL84" s="636" t="str">
        <f>+IF('5. GlobalData'!BP134="","",'5. GlobalData'!BP134)</f>
        <v/>
      </c>
      <c r="CM84" s="636" t="str">
        <f>+IF('5. GlobalData'!BQ134="","",'5. GlobalData'!BQ134)</f>
        <v/>
      </c>
      <c r="CN84" s="636" t="str">
        <f>+IF('5. GlobalData'!BR134="","",'5. GlobalData'!BR134)</f>
        <v/>
      </c>
      <c r="CO84" s="637" t="str">
        <f>+IF('5. GlobalData'!BS134="","",'5. GlobalData'!BS134)</f>
        <v/>
      </c>
      <c r="CP84" s="641" t="str">
        <f t="shared" si="89"/>
        <v/>
      </c>
      <c r="CQ84" s="642" t="str">
        <f t="shared" si="58"/>
        <v/>
      </c>
      <c r="CR84" s="642" t="str">
        <f t="shared" si="59"/>
        <v/>
      </c>
      <c r="CS84" s="642" t="str">
        <f t="shared" si="60"/>
        <v/>
      </c>
      <c r="CT84" s="642" t="str">
        <f t="shared" si="61"/>
        <v/>
      </c>
      <c r="CU84" s="642" t="str">
        <f t="shared" si="62"/>
        <v/>
      </c>
      <c r="CV84" s="642" t="str">
        <f t="shared" si="63"/>
        <v/>
      </c>
      <c r="CW84" s="642" t="str">
        <f t="shared" si="64"/>
        <v/>
      </c>
      <c r="CX84" s="642" t="str">
        <f t="shared" si="65"/>
        <v/>
      </c>
      <c r="CY84" s="642" t="str">
        <f t="shared" si="66"/>
        <v/>
      </c>
      <c r="CZ84" s="642" t="str">
        <f t="shared" si="67"/>
        <v/>
      </c>
      <c r="DA84" s="642" t="str">
        <f t="shared" si="68"/>
        <v/>
      </c>
      <c r="DB84" s="642" t="str">
        <f t="shared" si="69"/>
        <v/>
      </c>
      <c r="DC84" s="643" t="str">
        <f t="shared" si="70"/>
        <v/>
      </c>
      <c r="DD84" s="641">
        <v>11.118766432951634</v>
      </c>
      <c r="DE84" s="642">
        <v>10.329308255559129</v>
      </c>
      <c r="DF84" s="642">
        <v>0.97851854451422471</v>
      </c>
      <c r="DG84" s="642">
        <v>6.0090208229542244</v>
      </c>
      <c r="DH84" s="642">
        <v>0.39140741780568994</v>
      </c>
      <c r="DI84" s="642">
        <v>3.0919097152070951</v>
      </c>
      <c r="DJ84" s="642">
        <v>0.12720741078684925</v>
      </c>
      <c r="DK84" s="642">
        <v>1.916441475014554</v>
      </c>
      <c r="DL84" s="642">
        <v>1.3140977124726838</v>
      </c>
      <c r="DM84" s="642">
        <v>0.12912409508183365</v>
      </c>
      <c r="DN84" s="649">
        <f>+DM84+(DO84-DM84)*(2043-2040)/(2045-2040)</f>
        <v>0.10082841633582691</v>
      </c>
      <c r="DO84" s="642">
        <v>8.1964630505155761E-2</v>
      </c>
      <c r="DP84" s="649">
        <f>+DO84+(DQ84-DO84)*(2047-2045)/(2050-2045)</f>
        <v>7.007271496425789E-2</v>
      </c>
      <c r="DQ84" s="643">
        <v>5.2234841652911097E-2</v>
      </c>
    </row>
    <row r="85" spans="9:121" x14ac:dyDescent="0.25">
      <c r="I85" s="473" t="s">
        <v>830</v>
      </c>
      <c r="J85" s="476" t="s">
        <v>833</v>
      </c>
      <c r="K85" s="473">
        <v>25.5</v>
      </c>
      <c r="L85" s="476"/>
      <c r="M85" s="476" t="str">
        <f t="shared" si="40"/>
        <v>Medium Oil</v>
      </c>
      <c r="N85" s="573">
        <f t="shared" si="41"/>
        <v>9.2296903712167389</v>
      </c>
      <c r="O85" s="574">
        <f t="shared" si="42"/>
        <v>0.31949461271981699</v>
      </c>
      <c r="P85" s="582">
        <f t="shared" si="43"/>
        <v>3.3457788623559429E-2</v>
      </c>
      <c r="Q85" s="575">
        <f t="shared" si="71"/>
        <v>0</v>
      </c>
      <c r="R85" s="576">
        <f t="shared" si="44"/>
        <v>0.16765718815173636</v>
      </c>
      <c r="S85" s="576">
        <f t="shared" si="45"/>
        <v>0.15183742456808058</v>
      </c>
      <c r="T85" s="576">
        <f t="shared" si="46"/>
        <v>0</v>
      </c>
      <c r="U85" s="576">
        <f t="shared" si="47"/>
        <v>0</v>
      </c>
      <c r="V85" s="576">
        <f t="shared" si="48"/>
        <v>0</v>
      </c>
      <c r="W85" s="577">
        <f t="shared" si="49"/>
        <v>0.52475748096186048</v>
      </c>
      <c r="X85" s="577">
        <f t="shared" si="50"/>
        <v>0.47524251903813935</v>
      </c>
      <c r="Y85" s="577">
        <f t="shared" si="51"/>
        <v>0</v>
      </c>
      <c r="Z85" s="577">
        <f t="shared" si="52"/>
        <v>0</v>
      </c>
      <c r="AA85" s="578" t="str">
        <f t="shared" si="53"/>
        <v>-</v>
      </c>
      <c r="AB85" s="565">
        <f>+'5. GlobalData'!M24*1000*$D$21/1000</f>
        <v>122.68330472394234</v>
      </c>
      <c r="AC85" s="566">
        <f t="shared" si="72"/>
        <v>13.292244895509874</v>
      </c>
      <c r="AD85" s="571">
        <f t="shared" si="73"/>
        <v>118.57859264684895</v>
      </c>
      <c r="AE85" s="586">
        <f t="shared" si="54"/>
        <v>12.847515775463318</v>
      </c>
      <c r="AF85" s="571">
        <f t="shared" si="74"/>
        <v>4.1047120770933931</v>
      </c>
      <c r="AG85" s="587">
        <f t="shared" si="55"/>
        <v>12.847515775463322</v>
      </c>
      <c r="AH85" s="436">
        <f t="shared" si="56"/>
        <v>9.5491849839365557</v>
      </c>
      <c r="AI85" s="635">
        <v>1</v>
      </c>
      <c r="AJ85" s="636">
        <v>0.92128772622171617</v>
      </c>
      <c r="AK85" s="636">
        <v>0.9604039951992509</v>
      </c>
      <c r="AL85" s="636">
        <v>0.80851590417488839</v>
      </c>
      <c r="AM85" s="636">
        <v>0.72519782745784112</v>
      </c>
      <c r="AN85" s="636">
        <v>0.60022071238227004</v>
      </c>
      <c r="AO85" s="636">
        <v>0.50962183933765992</v>
      </c>
      <c r="AP85" s="636">
        <v>0.44922259064125319</v>
      </c>
      <c r="AQ85" s="636">
        <v>0.41175912176136004</v>
      </c>
      <c r="AR85" s="636">
        <v>0.35556391844152041</v>
      </c>
      <c r="AS85" s="636">
        <v>0.31083660502993715</v>
      </c>
      <c r="AT85" s="636">
        <v>0.28101839608888168</v>
      </c>
      <c r="AU85" s="636">
        <v>0.26649070702550215</v>
      </c>
      <c r="AV85" s="637">
        <v>0.2446991734304329</v>
      </c>
      <c r="AW85" s="641">
        <f t="shared" si="75"/>
        <v>9.5491849839365557</v>
      </c>
      <c r="AX85" s="642">
        <f t="shared" si="76"/>
        <v>8.7975469211214641</v>
      </c>
      <c r="AY85" s="642">
        <f t="shared" si="77"/>
        <v>9.1710754094693634</v>
      </c>
      <c r="AZ85" s="642">
        <f t="shared" si="78"/>
        <v>7.7206679314207314</v>
      </c>
      <c r="BA85" s="642">
        <f t="shared" si="79"/>
        <v>6.9250482043438293</v>
      </c>
      <c r="BB85" s="642">
        <f t="shared" si="80"/>
        <v>5.7316186137284753</v>
      </c>
      <c r="BC85" s="642">
        <f t="shared" si="81"/>
        <v>4.86647321568931</v>
      </c>
      <c r="BD85" s="642">
        <f t="shared" si="82"/>
        <v>4.2897096169965332</v>
      </c>
      <c r="BE85" s="642">
        <f t="shared" si="83"/>
        <v>3.9319640225224832</v>
      </c>
      <c r="BF85" s="642">
        <f t="shared" si="84"/>
        <v>3.3953456308114087</v>
      </c>
      <c r="BG85" s="642">
        <f t="shared" si="85"/>
        <v>2.9682362412096941</v>
      </c>
      <c r="BH85" s="642">
        <f>+IF(AT85="","",AT85*$AH85)</f>
        <v>2.6834966481418845</v>
      </c>
      <c r="BI85" s="642">
        <f t="shared" si="87"/>
        <v>2.5447690578865609</v>
      </c>
      <c r="BJ85" s="643">
        <f t="shared" si="88"/>
        <v>2.3366776725035767</v>
      </c>
      <c r="BK85" s="641">
        <v>9.5491849839365557</v>
      </c>
      <c r="BL85" s="642">
        <v>8.7975469211214641</v>
      </c>
      <c r="BM85" s="642">
        <v>9.1710754094693634</v>
      </c>
      <c r="BN85" s="642">
        <v>7.7206679314207314</v>
      </c>
      <c r="BO85" s="649">
        <v>6.9250482043438293</v>
      </c>
      <c r="BP85" s="642">
        <v>5.7316186137284753</v>
      </c>
      <c r="BQ85" s="649">
        <v>4.86647321568931</v>
      </c>
      <c r="BR85" s="642">
        <v>4.2897096169965332</v>
      </c>
      <c r="BS85" s="649">
        <v>3.9319640225224832</v>
      </c>
      <c r="BT85" s="642">
        <v>3.3953456308114087</v>
      </c>
      <c r="BU85" s="649">
        <v>2.9682362412096941</v>
      </c>
      <c r="BV85" s="642">
        <v>2.6834966481418845</v>
      </c>
      <c r="BW85" s="649">
        <v>2.5447690578865609</v>
      </c>
      <c r="BX85" s="643">
        <v>2.3366776725035767</v>
      </c>
      <c r="BY85" s="630"/>
      <c r="BZ85" s="630"/>
      <c r="CA85" s="630"/>
      <c r="CB85" s="635" t="str">
        <f>+IF('5. GlobalData'!BF135="","",'5. GlobalData'!BF135)</f>
        <v/>
      </c>
      <c r="CC85" s="636" t="str">
        <f>+IF('5. GlobalData'!BG135="","",'5. GlobalData'!BG135)</f>
        <v/>
      </c>
      <c r="CD85" s="636" t="str">
        <f>+IF('5. GlobalData'!BH135="","",'5. GlobalData'!BH135)</f>
        <v/>
      </c>
      <c r="CE85" s="636" t="str">
        <f>+IF('5. GlobalData'!BI135="","",'5. GlobalData'!BI135)</f>
        <v/>
      </c>
      <c r="CF85" s="636" t="str">
        <f>+IF('5. GlobalData'!BJ135="","",'5. GlobalData'!BJ135)</f>
        <v/>
      </c>
      <c r="CG85" s="636" t="str">
        <f>+IF('5. GlobalData'!BK135="","",'5. GlobalData'!BK135)</f>
        <v/>
      </c>
      <c r="CH85" s="636" t="str">
        <f>+IF('5. GlobalData'!BL135="","",'5. GlobalData'!BL135)</f>
        <v/>
      </c>
      <c r="CI85" s="636" t="str">
        <f>+IF('5. GlobalData'!BM135="","",'5. GlobalData'!BM135)</f>
        <v/>
      </c>
      <c r="CJ85" s="636" t="str">
        <f>+IF('5. GlobalData'!BN135="","",'5. GlobalData'!BN135)</f>
        <v/>
      </c>
      <c r="CK85" s="636" t="str">
        <f>+IF('5. GlobalData'!BO135="","",'5. GlobalData'!BO135)</f>
        <v/>
      </c>
      <c r="CL85" s="636" t="str">
        <f>+IF('5. GlobalData'!BP135="","",'5. GlobalData'!BP135)</f>
        <v/>
      </c>
      <c r="CM85" s="636" t="str">
        <f>+IF('5. GlobalData'!BQ135="","",'5. GlobalData'!BQ135)</f>
        <v/>
      </c>
      <c r="CN85" s="636" t="str">
        <f>+IF('5. GlobalData'!BR135="","",'5. GlobalData'!BR135)</f>
        <v/>
      </c>
      <c r="CO85" s="637" t="str">
        <f>+IF('5. GlobalData'!BS135="","",'5. GlobalData'!BS135)</f>
        <v/>
      </c>
      <c r="CP85" s="641" t="str">
        <f t="shared" si="89"/>
        <v/>
      </c>
      <c r="CQ85" s="642" t="str">
        <f t="shared" si="58"/>
        <v/>
      </c>
      <c r="CR85" s="642" t="str">
        <f t="shared" si="59"/>
        <v/>
      </c>
      <c r="CS85" s="642" t="str">
        <f t="shared" si="60"/>
        <v/>
      </c>
      <c r="CT85" s="642" t="str">
        <f t="shared" si="61"/>
        <v/>
      </c>
      <c r="CU85" s="642" t="str">
        <f t="shared" si="62"/>
        <v/>
      </c>
      <c r="CV85" s="642" t="str">
        <f t="shared" si="63"/>
        <v/>
      </c>
      <c r="CW85" s="642" t="str">
        <f t="shared" si="64"/>
        <v/>
      </c>
      <c r="CX85" s="642" t="str">
        <f t="shared" si="65"/>
        <v/>
      </c>
      <c r="CY85" s="642" t="str">
        <f t="shared" si="66"/>
        <v/>
      </c>
      <c r="CZ85" s="642" t="str">
        <f t="shared" si="67"/>
        <v/>
      </c>
      <c r="DA85" s="642" t="str">
        <f>+IF(CM85="","",CM85*$AH85)</f>
        <v/>
      </c>
      <c r="DB85" s="642" t="str">
        <f t="shared" si="69"/>
        <v/>
      </c>
      <c r="DC85" s="643" t="str">
        <f t="shared" si="70"/>
        <v/>
      </c>
      <c r="DD85" s="641">
        <v>9.5491849839365557</v>
      </c>
      <c r="DE85" s="642">
        <v>8.7975469211214641</v>
      </c>
      <c r="DF85" s="642">
        <v>9.1710754094693634</v>
      </c>
      <c r="DG85" s="642">
        <v>7.7206679314207314</v>
      </c>
      <c r="DH85" s="649">
        <f>+DG85+(DI85-DG85)*(2027-2025)/(2030-2025)</f>
        <v>6.9250482043438293</v>
      </c>
      <c r="DI85" s="642">
        <v>5.7316186137284753</v>
      </c>
      <c r="DJ85" s="649">
        <f>+DI85+(DK85-DI85)*(2033-2030)/(2035-2030)</f>
        <v>4.86647321568931</v>
      </c>
      <c r="DK85" s="642">
        <v>4.2897096169965332</v>
      </c>
      <c r="DL85" s="649">
        <f>+DK85+(DM85-DK85)*(2037-2035)/(2040-2035)</f>
        <v>3.9319640225224832</v>
      </c>
      <c r="DM85" s="642">
        <v>3.3953456308114087</v>
      </c>
      <c r="DN85" s="649">
        <f>+DM85+(DO85-DM85)*(2043-2040)/(2045-2040)</f>
        <v>2.9682362412096941</v>
      </c>
      <c r="DO85" s="642">
        <v>2.6834966481418845</v>
      </c>
      <c r="DP85" s="649">
        <f>+DO85+(DQ85-DO85)*(2047-2045)/(2050-2045)</f>
        <v>2.5447690578865614</v>
      </c>
      <c r="DQ85" s="643">
        <v>2.3366776725035767</v>
      </c>
    </row>
    <row r="86" spans="9:121" x14ac:dyDescent="0.25">
      <c r="I86" s="473" t="s">
        <v>830</v>
      </c>
      <c r="J86" s="476" t="s">
        <v>835</v>
      </c>
      <c r="K86" s="473">
        <v>21</v>
      </c>
      <c r="L86" s="476"/>
      <c r="M86" s="476" t="str">
        <f t="shared" si="40"/>
        <v>Medium Oil</v>
      </c>
      <c r="N86" s="573">
        <f t="shared" si="41"/>
        <v>8.7564836170076354</v>
      </c>
      <c r="O86" s="574">
        <f t="shared" si="42"/>
        <v>0.43874352621703561</v>
      </c>
      <c r="P86" s="582">
        <f t="shared" si="43"/>
        <v>4.771426734578444E-2</v>
      </c>
      <c r="Q86" s="575">
        <f>+V86+T86-U86</f>
        <v>0.23786180586758954</v>
      </c>
      <c r="R86" s="576">
        <f t="shared" si="44"/>
        <v>0</v>
      </c>
      <c r="S86" s="576">
        <f t="shared" si="45"/>
        <v>5.7140945681870784E-3</v>
      </c>
      <c r="T86" s="576">
        <f t="shared" si="46"/>
        <v>0.4330294316488485</v>
      </c>
      <c r="U86" s="576">
        <f t="shared" si="47"/>
        <v>0.19516762578125896</v>
      </c>
      <c r="V86" s="576">
        <f t="shared" si="48"/>
        <v>0</v>
      </c>
      <c r="W86" s="577">
        <f>+IF($O86=0,"-",R86/$O86)</f>
        <v>0</v>
      </c>
      <c r="X86" s="577">
        <f t="shared" si="50"/>
        <v>1.302376952990175E-2</v>
      </c>
      <c r="Y86" s="577">
        <f t="shared" si="51"/>
        <v>0.98697623047009819</v>
      </c>
      <c r="Z86" s="577">
        <f t="shared" si="52"/>
        <v>0</v>
      </c>
      <c r="AA86" s="578">
        <f>+IF($T86=0,"-",U86/$T86)</f>
        <v>0.4507029118970462</v>
      </c>
      <c r="AB86" s="565">
        <f>+'5. GlobalData'!M25*1000*$D$21/1000</f>
        <v>91.97045401930994</v>
      </c>
      <c r="AC86" s="566">
        <f>+AB86/(Q86+N86)</f>
        <v>10.225363791944485</v>
      </c>
      <c r="AD86" s="571">
        <f>+AB86*(N86/(N86+O86))</f>
        <v>87.582151188319415</v>
      </c>
      <c r="AE86" s="586">
        <f>+IF(N86=0,"-",AD86/N86)</f>
        <v>10.001977394008872</v>
      </c>
      <c r="AF86" s="571">
        <f t="shared" si="74"/>
        <v>4.3883028309905292</v>
      </c>
      <c r="AG86" s="587">
        <f t="shared" si="55"/>
        <v>10.001977394008872</v>
      </c>
      <c r="AH86" s="436">
        <f t="shared" si="56"/>
        <v>9.1952271432246704</v>
      </c>
      <c r="AI86" s="638">
        <v>1</v>
      </c>
      <c r="AJ86" s="639">
        <v>0.94704049844236715</v>
      </c>
      <c r="AK86" s="639">
        <v>0.80588711457796713</v>
      </c>
      <c r="AL86" s="639">
        <v>0.71178485866836716</v>
      </c>
      <c r="AM86" s="639">
        <v>0.59777107300839705</v>
      </c>
      <c r="AN86" s="639">
        <v>0.42675039451844166</v>
      </c>
      <c r="AO86" s="639">
        <v>0.34542971848145088</v>
      </c>
      <c r="AP86" s="639">
        <v>0.29121593445679034</v>
      </c>
      <c r="AQ86" s="639">
        <v>0.26192426881219244</v>
      </c>
      <c r="AR86" s="639">
        <v>0.21798677034529557</v>
      </c>
      <c r="AS86" s="639">
        <v>0.18906141405221516</v>
      </c>
      <c r="AT86" s="639">
        <v>0.16977784319016154</v>
      </c>
      <c r="AU86" s="639">
        <v>0.15044194242074826</v>
      </c>
      <c r="AV86" s="640">
        <v>0.12143809126662836</v>
      </c>
      <c r="AW86" s="644">
        <f>+IF(AI86="","",AI86*$AH86)</f>
        <v>9.1952271432246704</v>
      </c>
      <c r="AX86" s="645">
        <f t="shared" si="76"/>
        <v>8.7082524970102764</v>
      </c>
      <c r="AY86" s="645">
        <f t="shared" si="77"/>
        <v>7.4103150703423335</v>
      </c>
      <c r="AZ86" s="645">
        <f t="shared" si="78"/>
        <v>6.5450234525637052</v>
      </c>
      <c r="BA86" s="645">
        <f t="shared" si="79"/>
        <v>5.4966407959613486</v>
      </c>
      <c r="BB86" s="645">
        <f t="shared" si="80"/>
        <v>3.9240668110578114</v>
      </c>
      <c r="BC86" s="645">
        <f t="shared" si="81"/>
        <v>3.1763047234570938</v>
      </c>
      <c r="BD86" s="645">
        <f t="shared" si="82"/>
        <v>2.677796665056615</v>
      </c>
      <c r="BE86" s="645">
        <f t="shared" si="83"/>
        <v>2.4084531460511469</v>
      </c>
      <c r="BF86" s="645">
        <f t="shared" si="84"/>
        <v>2.0044378675429444</v>
      </c>
      <c r="BG86" s="645">
        <f t="shared" si="85"/>
        <v>1.7384626462293669</v>
      </c>
      <c r="BH86" s="645">
        <f t="shared" si="86"/>
        <v>1.5611458320203151</v>
      </c>
      <c r="BI86" s="645">
        <f t="shared" si="87"/>
        <v>1.3833478324267074</v>
      </c>
      <c r="BJ86" s="646">
        <f t="shared" si="88"/>
        <v>1.1166508330362959</v>
      </c>
      <c r="BK86" s="641">
        <v>9.1952271432246704</v>
      </c>
      <c r="BL86" s="642">
        <v>8.7082524970102764</v>
      </c>
      <c r="BM86" s="649">
        <v>7.4103150703423335</v>
      </c>
      <c r="BN86" s="642">
        <v>6.5450234525637052</v>
      </c>
      <c r="BO86" s="649">
        <v>5.4966407959613486</v>
      </c>
      <c r="BP86" s="642">
        <v>3.9240668110578114</v>
      </c>
      <c r="BQ86" s="649">
        <v>3.1763047234570938</v>
      </c>
      <c r="BR86" s="642">
        <v>2.677796665056615</v>
      </c>
      <c r="BS86" s="649">
        <v>2.4084531460511469</v>
      </c>
      <c r="BT86" s="642">
        <v>2.0044378675429444</v>
      </c>
      <c r="BU86" s="649">
        <v>1.7384626462293669</v>
      </c>
      <c r="BV86" s="642">
        <v>1.5611458320203151</v>
      </c>
      <c r="BW86" s="649">
        <v>1.3833478324267074</v>
      </c>
      <c r="BX86" s="643">
        <v>1.1166508330362959</v>
      </c>
      <c r="BY86" s="630"/>
      <c r="BZ86" s="630"/>
      <c r="CA86" s="630"/>
      <c r="CB86" s="638" t="str">
        <f>+IF('5. GlobalData'!BF136="","",'5. GlobalData'!BF136)</f>
        <v/>
      </c>
      <c r="CC86" s="639" t="str">
        <f>+IF('5. GlobalData'!BG136="","",'5. GlobalData'!BG136)</f>
        <v/>
      </c>
      <c r="CD86" s="639" t="str">
        <f>+IF('5. GlobalData'!BH136="","",'5. GlobalData'!BH136)</f>
        <v/>
      </c>
      <c r="CE86" s="639" t="str">
        <f>+IF('5. GlobalData'!BI136="","",'5. GlobalData'!BI136)</f>
        <v/>
      </c>
      <c r="CF86" s="639" t="str">
        <f>+IF('5. GlobalData'!BJ136="","",'5. GlobalData'!BJ136)</f>
        <v/>
      </c>
      <c r="CG86" s="639" t="str">
        <f>+IF('5. GlobalData'!BK136="","",'5. GlobalData'!BK136)</f>
        <v/>
      </c>
      <c r="CH86" s="639" t="str">
        <f>+IF('5. GlobalData'!BL136="","",'5. GlobalData'!BL136)</f>
        <v/>
      </c>
      <c r="CI86" s="639" t="str">
        <f>+IF('5. GlobalData'!BM136="","",'5. GlobalData'!BM136)</f>
        <v/>
      </c>
      <c r="CJ86" s="639" t="str">
        <f>+IF('5. GlobalData'!BN136="","",'5. GlobalData'!BN136)</f>
        <v/>
      </c>
      <c r="CK86" s="639" t="str">
        <f>+IF('5. GlobalData'!BO136="","",'5. GlobalData'!BO136)</f>
        <v/>
      </c>
      <c r="CL86" s="639" t="str">
        <f>+IF('5. GlobalData'!BP136="","",'5. GlobalData'!BP136)</f>
        <v/>
      </c>
      <c r="CM86" s="639" t="str">
        <f>+IF('5. GlobalData'!BQ136="","",'5. GlobalData'!BQ136)</f>
        <v/>
      </c>
      <c r="CN86" s="639" t="str">
        <f>+IF('5. GlobalData'!BR136="","",'5. GlobalData'!BR136)</f>
        <v/>
      </c>
      <c r="CO86" s="640" t="str">
        <f>+IF('5. GlobalData'!BS136="","",'5. GlobalData'!BS136)</f>
        <v/>
      </c>
      <c r="CP86" s="644" t="str">
        <f>+IF(CB86="","",CB86*$AH86)</f>
        <v/>
      </c>
      <c r="CQ86" s="645" t="str">
        <f t="shared" si="58"/>
        <v/>
      </c>
      <c r="CR86" s="645" t="str">
        <f t="shared" si="59"/>
        <v/>
      </c>
      <c r="CS86" s="645" t="str">
        <f t="shared" si="60"/>
        <v/>
      </c>
      <c r="CT86" s="645" t="str">
        <f t="shared" si="61"/>
        <v/>
      </c>
      <c r="CU86" s="645" t="str">
        <f t="shared" si="62"/>
        <v/>
      </c>
      <c r="CV86" s="645" t="str">
        <f t="shared" si="63"/>
        <v/>
      </c>
      <c r="CW86" s="645" t="str">
        <f t="shared" si="64"/>
        <v/>
      </c>
      <c r="CX86" s="645" t="str">
        <f t="shared" si="65"/>
        <v/>
      </c>
      <c r="CY86" s="645" t="str">
        <f t="shared" si="66"/>
        <v/>
      </c>
      <c r="CZ86" s="645" t="str">
        <f t="shared" si="67"/>
        <v/>
      </c>
      <c r="DA86" s="645" t="str">
        <f t="shared" ref="DA86:DA89" si="92">+IF(CM86="","",CM86*$AH86)</f>
        <v/>
      </c>
      <c r="DB86" s="645" t="str">
        <f t="shared" si="69"/>
        <v/>
      </c>
      <c r="DC86" s="646" t="str">
        <f t="shared" si="70"/>
        <v/>
      </c>
      <c r="DD86" s="641">
        <v>9.1952271432246704</v>
      </c>
      <c r="DE86" s="642">
        <v>8.7082524970102764</v>
      </c>
      <c r="DF86" s="649">
        <f>+DE86+(DG86-DE86)*(2023-2020)/(2025-2020)</f>
        <v>7.4103150703423335</v>
      </c>
      <c r="DG86" s="642">
        <v>6.5450234525637052</v>
      </c>
      <c r="DH86" s="649">
        <f>+DG86+(DI86-DG86)*(2027-2025)/(2030-2025)</f>
        <v>5.4966407959613477</v>
      </c>
      <c r="DI86" s="642">
        <v>3.9240668110578114</v>
      </c>
      <c r="DJ86" s="649">
        <f>+DI86+(DK86-DI86)*(2033-2030)/(2035-2030)</f>
        <v>3.1763047234570934</v>
      </c>
      <c r="DK86" s="642">
        <v>2.677796665056615</v>
      </c>
      <c r="DL86" s="649">
        <f>+DK86+(DM86-DK86)*(2037-2035)/(2040-2035)</f>
        <v>2.4084531460511469</v>
      </c>
      <c r="DM86" s="642">
        <v>2.0044378675429444</v>
      </c>
      <c r="DN86" s="649">
        <f>+DM86+(DO86-DM86)*(2043-2040)/(2045-2040)</f>
        <v>1.7384626462293669</v>
      </c>
      <c r="DO86" s="642">
        <v>1.5611458320203151</v>
      </c>
      <c r="DP86" s="649">
        <f>+DO86+(DQ86-DO86)*(2047-2045)/(2050-2045)</f>
        <v>1.3833478324267074</v>
      </c>
      <c r="DQ86" s="643">
        <v>1.1166508330362959</v>
      </c>
    </row>
    <row r="87" spans="9:121" x14ac:dyDescent="0.25">
      <c r="I87" s="474" t="s">
        <v>1111</v>
      </c>
      <c r="J87" s="737" t="s">
        <v>1128</v>
      </c>
      <c r="K87" s="473" t="s">
        <v>665</v>
      </c>
      <c r="L87" s="476" t="s">
        <v>51</v>
      </c>
      <c r="M87" s="476" t="s">
        <v>987</v>
      </c>
      <c r="N87" s="573">
        <f t="shared" ref="N87:O87" si="93">Y55</f>
        <v>0</v>
      </c>
      <c r="O87" s="574">
        <f t="shared" si="93"/>
        <v>1.0840525806313783</v>
      </c>
      <c r="P87" s="582">
        <f t="shared" si="43"/>
        <v>1</v>
      </c>
      <c r="Q87" s="575">
        <f t="shared" ref="Q87:Q89" si="94">+V87+T87-U87</f>
        <v>1.0840525806313783</v>
      </c>
      <c r="R87" s="576">
        <f t="shared" ref="R87:V87" si="95">T55</f>
        <v>0</v>
      </c>
      <c r="S87" s="576">
        <f t="shared" si="95"/>
        <v>0</v>
      </c>
      <c r="T87" s="576">
        <f t="shared" si="95"/>
        <v>0</v>
      </c>
      <c r="U87" s="576">
        <f t="shared" si="95"/>
        <v>0</v>
      </c>
      <c r="V87" s="576">
        <f t="shared" si="95"/>
        <v>1.0840525806313783</v>
      </c>
      <c r="W87" s="577">
        <f t="shared" ref="W87:W89" si="96">+IF($O87=0,"-",R87/$O87)</f>
        <v>0</v>
      </c>
      <c r="X87" s="577">
        <f t="shared" ref="X87:X89" si="97">+IF($O87=0,"-",S87/$O87)</f>
        <v>0</v>
      </c>
      <c r="Y87" s="577">
        <f t="shared" ref="Y87:Y89" si="98">+IF($O87=0,"-",T87/$O87)</f>
        <v>0</v>
      </c>
      <c r="Z87" s="577">
        <f t="shared" ref="Z87:Z89" si="99">+IF($O87=0,"-",V87/$O87)</f>
        <v>1</v>
      </c>
      <c r="AA87" s="578" t="str">
        <f>+IF($T87=0,"-",U87/$T87)</f>
        <v>-</v>
      </c>
      <c r="AB87" s="746">
        <f>+'5. GlobalData'!M26*1000*$D$21/1000</f>
        <v>18.26524302843664</v>
      </c>
      <c r="AC87" s="566">
        <f t="shared" ref="AC87:AC88" si="100">+AB87/(Q87+N87)</f>
        <v>16.849037910871928</v>
      </c>
      <c r="AD87" s="571">
        <f t="shared" ref="AD87:AD89" si="101">+AB87*(N87/(N87+O87))</f>
        <v>0</v>
      </c>
      <c r="AE87" s="586" t="str">
        <f t="shared" ref="AE87:AE89" si="102">+IF(N87=0,"-",AD87/N87)</f>
        <v>-</v>
      </c>
      <c r="AF87" s="571">
        <f t="shared" ref="AF87:AF89" si="103">+AB87*(O87/(O87+N87))</f>
        <v>18.26524302843664</v>
      </c>
      <c r="AG87" s="587">
        <f t="shared" ref="AG87:AG89" si="104">+IF(O87=0,"-",AF87/O87)</f>
        <v>16.849037910871928</v>
      </c>
      <c r="AH87" s="436">
        <f t="shared" si="56"/>
        <v>1.0840525806313783</v>
      </c>
      <c r="AI87" s="638">
        <v>1</v>
      </c>
      <c r="AJ87" s="639">
        <v>1.0390480978716272</v>
      </c>
      <c r="AK87" s="639">
        <v>1.3359189829778064</v>
      </c>
      <c r="AL87" s="639">
        <v>1.1300246594364241</v>
      </c>
      <c r="AM87" s="639">
        <v>0.99020804903157833</v>
      </c>
      <c r="AN87" s="639">
        <v>0.78048313342430964</v>
      </c>
      <c r="AO87" s="639">
        <v>0.63396298690416331</v>
      </c>
      <c r="AP87" s="639">
        <v>0.53628288922406575</v>
      </c>
      <c r="AQ87" s="639">
        <v>0.47116282410400068</v>
      </c>
      <c r="AR87" s="639">
        <v>0.37348272642390301</v>
      </c>
      <c r="AS87" s="639">
        <v>0.30453206923795167</v>
      </c>
      <c r="AT87" s="639">
        <v>0.25856496444731747</v>
      </c>
      <c r="AU87" s="639">
        <v>0.2279202279202279</v>
      </c>
      <c r="AV87" s="640">
        <v>0.18195312312959355</v>
      </c>
      <c r="AW87" s="644">
        <f>+IF(AI87="","",AI87*$AH87)</f>
        <v>1.0840525806313783</v>
      </c>
      <c r="AX87" s="645">
        <f t="shared" ref="AX87:AX89" si="105">+IF(AJ87="","",AJ87*$AH87)</f>
        <v>1.1263827718978625</v>
      </c>
      <c r="AY87" s="645">
        <f t="shared" ref="AY87:AY89" si="106">+IF(AK87="","",AK87*$AH87)</f>
        <v>1.4482064210115375</v>
      </c>
      <c r="AZ87" s="645">
        <f t="shared" ref="AZ87:AZ89" si="107">+IF(AL87="","",AL87*$AH87)</f>
        <v>1.2250061482391499</v>
      </c>
      <c r="BA87" s="645">
        <f t="shared" ref="BA87:BA89" si="108">+IF(AM87="","",AM87*$AH87)</f>
        <v>1.073437590914645</v>
      </c>
      <c r="BB87" s="645">
        <f t="shared" ref="BB87:BB89" si="109">+IF(AN87="","",AN87*$AH87)</f>
        <v>0.84608475492788726</v>
      </c>
      <c r="BC87" s="645">
        <f t="shared" ref="BC87:BC89" si="110">+IF(AO87="","",AO87*$AH87)</f>
        <v>0.68724921197823496</v>
      </c>
      <c r="BD87" s="645">
        <f t="shared" ref="BD87:BD89" si="111">+IF(AP87="","",AP87*$AH87)</f>
        <v>0.5813588500118001</v>
      </c>
      <c r="BE87" s="645">
        <f t="shared" ref="BE87:BE89" si="112">+IF(AQ87="","",AQ87*$AH87)</f>
        <v>0.51076527536751015</v>
      </c>
      <c r="BF87" s="645">
        <f t="shared" ref="BF87:BF89" si="113">+IF(AR87="","",AR87*$AH87)</f>
        <v>0.40487491340107512</v>
      </c>
      <c r="BG87" s="645">
        <f t="shared" ref="BG87:BG89" si="114">+IF(AS87="","",AS87*$AH87)</f>
        <v>0.3301287755424151</v>
      </c>
      <c r="BH87" s="645">
        <f t="shared" ref="BH87:BH89" si="115">+IF(AT87="","",AT87*$AH87)</f>
        <v>0.28029801696997508</v>
      </c>
      <c r="BI87" s="645">
        <f t="shared" ref="BI87:BI89" si="116">+IF(AU87="","",AU87*$AH87)</f>
        <v>0.24707751125501498</v>
      </c>
      <c r="BJ87" s="646">
        <f t="shared" ref="BJ87:BJ89" si="117">+IF(AV87="","",AV87*$AH87)</f>
        <v>0.19724675268257483</v>
      </c>
      <c r="BK87" s="747">
        <v>1.0840525806313783</v>
      </c>
      <c r="BL87" s="748">
        <v>1.1263827718978625</v>
      </c>
      <c r="BM87" s="748">
        <v>1.4482064210115375</v>
      </c>
      <c r="BN87" s="748">
        <v>1.2250061482391499</v>
      </c>
      <c r="BO87" s="749">
        <v>1.073437590914645</v>
      </c>
      <c r="BP87" s="748">
        <v>0.84608475492788726</v>
      </c>
      <c r="BQ87" s="749">
        <v>0.68724921197823496</v>
      </c>
      <c r="BR87" s="748">
        <v>0.5813588500118001</v>
      </c>
      <c r="BS87" s="749">
        <v>0.51076527536751015</v>
      </c>
      <c r="BT87" s="748">
        <v>0.40487491340107512</v>
      </c>
      <c r="BU87" s="749">
        <v>0.3301287755424151</v>
      </c>
      <c r="BV87" s="748">
        <v>0.28029801696997508</v>
      </c>
      <c r="BW87" s="749">
        <v>0.24707751125501498</v>
      </c>
      <c r="BX87" s="750">
        <v>0.19724675268257483</v>
      </c>
      <c r="BY87" s="630"/>
      <c r="BZ87" s="630"/>
      <c r="CA87" s="630"/>
      <c r="CB87" s="638" t="str">
        <f>+IF('5. GlobalData'!BF137="","",'5. GlobalData'!BF137)</f>
        <v/>
      </c>
      <c r="CC87" s="639" t="str">
        <f>+IF('5. GlobalData'!BG137="","",'5. GlobalData'!BG137)</f>
        <v/>
      </c>
      <c r="CD87" s="639" t="str">
        <f>+IF('5. GlobalData'!BH137="","",'5. GlobalData'!BH137)</f>
        <v/>
      </c>
      <c r="CE87" s="639" t="str">
        <f>+IF('5. GlobalData'!BI137="","",'5. GlobalData'!BI137)</f>
        <v/>
      </c>
      <c r="CF87" s="639" t="str">
        <f>+IF('5. GlobalData'!BJ137="","",'5. GlobalData'!BJ137)</f>
        <v/>
      </c>
      <c r="CG87" s="639" t="str">
        <f>+IF('5. GlobalData'!BK137="","",'5. GlobalData'!BK137)</f>
        <v/>
      </c>
      <c r="CH87" s="639" t="str">
        <f>+IF('5. GlobalData'!BL137="","",'5. GlobalData'!BL137)</f>
        <v/>
      </c>
      <c r="CI87" s="639" t="str">
        <f>+IF('5. GlobalData'!BM137="","",'5. GlobalData'!BM137)</f>
        <v/>
      </c>
      <c r="CJ87" s="639" t="str">
        <f>+IF('5. GlobalData'!BN137="","",'5. GlobalData'!BN137)</f>
        <v/>
      </c>
      <c r="CK87" s="639" t="str">
        <f>+IF('5. GlobalData'!BO137="","",'5. GlobalData'!BO137)</f>
        <v/>
      </c>
      <c r="CL87" s="639" t="str">
        <f>+IF('5. GlobalData'!BP137="","",'5. GlobalData'!BP137)</f>
        <v/>
      </c>
      <c r="CM87" s="639" t="str">
        <f>+IF('5. GlobalData'!BQ137="","",'5. GlobalData'!BQ137)</f>
        <v/>
      </c>
      <c r="CN87" s="639" t="str">
        <f>+IF('5. GlobalData'!BR137="","",'5. GlobalData'!BR137)</f>
        <v/>
      </c>
      <c r="CO87" s="640" t="str">
        <f>+IF('5. GlobalData'!BS137="","",'5. GlobalData'!BS137)</f>
        <v/>
      </c>
      <c r="CP87" s="644" t="str">
        <f>+IF(CB87="","",CB87*$AH87)</f>
        <v/>
      </c>
      <c r="CQ87" s="645" t="str">
        <f t="shared" si="58"/>
        <v/>
      </c>
      <c r="CR87" s="645" t="str">
        <f t="shared" si="59"/>
        <v/>
      </c>
      <c r="CS87" s="645" t="str">
        <f t="shared" si="60"/>
        <v/>
      </c>
      <c r="CT87" s="645" t="str">
        <f t="shared" si="61"/>
        <v/>
      </c>
      <c r="CU87" s="645" t="str">
        <f t="shared" si="62"/>
        <v/>
      </c>
      <c r="CV87" s="645" t="str">
        <f t="shared" si="63"/>
        <v/>
      </c>
      <c r="CW87" s="645" t="str">
        <f t="shared" si="64"/>
        <v/>
      </c>
      <c r="CX87" s="645" t="str">
        <f t="shared" si="65"/>
        <v/>
      </c>
      <c r="CY87" s="645" t="str">
        <f t="shared" si="66"/>
        <v/>
      </c>
      <c r="CZ87" s="645" t="str">
        <f t="shared" si="67"/>
        <v/>
      </c>
      <c r="DA87" s="645" t="str">
        <f t="shared" si="92"/>
        <v/>
      </c>
      <c r="DB87" s="645" t="str">
        <f t="shared" si="69"/>
        <v/>
      </c>
      <c r="DC87" s="646" t="str">
        <f t="shared" si="70"/>
        <v/>
      </c>
      <c r="DD87" s="747">
        <v>1.0840525806313783</v>
      </c>
      <c r="DE87" s="748">
        <v>1.1263827718978625</v>
      </c>
      <c r="DF87" s="748">
        <v>1.4482064210115375</v>
      </c>
      <c r="DG87" s="748">
        <v>1.2250061482391499</v>
      </c>
      <c r="DH87" s="749">
        <f>+DG87+(DI87-DG87)*(2027-2025)/(2030-2025)</f>
        <v>1.0734375909146447</v>
      </c>
      <c r="DI87" s="748">
        <v>0.84608475492788726</v>
      </c>
      <c r="DJ87" s="749">
        <f>+DI87+(DK87-DI87)*(2033-2030)/(2035-2030)</f>
        <v>0.68724921197823496</v>
      </c>
      <c r="DK87" s="748">
        <v>0.5813588500118001</v>
      </c>
      <c r="DL87" s="749">
        <f>+DK87+(DM87-DK87)*(2037-2035)/(2040-2035)</f>
        <v>0.51076527536751015</v>
      </c>
      <c r="DM87" s="748">
        <v>0.40487491340107512</v>
      </c>
      <c r="DN87" s="749">
        <f>+DM87+(DO87-DM87)*(2043-2040)/(2045-2040)</f>
        <v>0.3301287755424151</v>
      </c>
      <c r="DO87" s="748">
        <v>0.28029801696997508</v>
      </c>
      <c r="DP87" s="749">
        <f>+DO87+(DQ87-DO87)*(2047-2045)/(2050-2045)</f>
        <v>0.24707751125501498</v>
      </c>
      <c r="DQ87" s="750">
        <v>0.19724675268257483</v>
      </c>
    </row>
    <row r="88" spans="9:121" x14ac:dyDescent="0.25">
      <c r="I88" s="474" t="s">
        <v>1111</v>
      </c>
      <c r="J88" s="737" t="s">
        <v>1156</v>
      </c>
      <c r="K88" s="473" t="s">
        <v>665</v>
      </c>
      <c r="L88" s="476" t="s">
        <v>51</v>
      </c>
      <c r="M88" s="476" t="s">
        <v>987</v>
      </c>
      <c r="N88" s="579">
        <f t="shared" ref="N88:O88" si="118">Y56</f>
        <v>1.3579511620070052E-2</v>
      </c>
      <c r="O88" s="574">
        <f t="shared" si="118"/>
        <v>2.2925734862295029</v>
      </c>
      <c r="P88" s="582">
        <f>+O88/(N88+O88)</f>
        <v>0.99411161721154995</v>
      </c>
      <c r="Q88" s="575">
        <f t="shared" si="94"/>
        <v>2.2440339691202391</v>
      </c>
      <c r="R88" s="576">
        <f t="shared" ref="R88:V88" si="119">T56</f>
        <v>4.2906187128613207E-3</v>
      </c>
      <c r="S88" s="576">
        <f t="shared" si="119"/>
        <v>4.4248898396402753E-2</v>
      </c>
      <c r="T88" s="576">
        <f t="shared" si="119"/>
        <v>0</v>
      </c>
      <c r="U88" s="576">
        <f t="shared" si="119"/>
        <v>0</v>
      </c>
      <c r="V88" s="576">
        <f t="shared" si="119"/>
        <v>2.2440339691202391</v>
      </c>
      <c r="W88" s="577">
        <f t="shared" si="96"/>
        <v>1.8715294138369877E-3</v>
      </c>
      <c r="X88" s="577">
        <f t="shared" si="97"/>
        <v>1.9300972754935336E-2</v>
      </c>
      <c r="Y88" s="577">
        <f t="shared" si="98"/>
        <v>0</v>
      </c>
      <c r="Z88" s="577">
        <f t="shared" si="99"/>
        <v>0.9788274978312278</v>
      </c>
      <c r="AA88" s="578" t="str">
        <f t="shared" ref="AA88:AA89" si="120">+IF($T88=0,"-",U88/$T88)</f>
        <v>-</v>
      </c>
      <c r="AB88" s="746">
        <f>+'5. GlobalData'!M27*1000*$D$21/1000</f>
        <v>24.410274168000001</v>
      </c>
      <c r="AC88" s="566">
        <f t="shared" si="100"/>
        <v>10.81242399385189</v>
      </c>
      <c r="AD88" s="758">
        <f t="shared" si="101"/>
        <v>0.14373703827219958</v>
      </c>
      <c r="AE88" s="586">
        <f t="shared" si="102"/>
        <v>10.5848459277255</v>
      </c>
      <c r="AF88" s="571">
        <f t="shared" si="103"/>
        <v>24.266537129727801</v>
      </c>
      <c r="AG88" s="587">
        <f t="shared" si="104"/>
        <v>10.584845927725498</v>
      </c>
      <c r="AH88" s="436">
        <f t="shared" si="56"/>
        <v>2.3061529978495727</v>
      </c>
      <c r="AI88" s="638">
        <v>1</v>
      </c>
      <c r="AJ88" s="639">
        <v>0.96350436681900098</v>
      </c>
      <c r="AK88" s="639">
        <v>0.95578856498458908</v>
      </c>
      <c r="AL88" s="639">
        <v>0.79066894578459357</v>
      </c>
      <c r="AM88" s="639">
        <v>0.64750687806795737</v>
      </c>
      <c r="AN88" s="639">
        <v>0.47856950639927948</v>
      </c>
      <c r="AO88" s="639">
        <v>0.35727009383312897</v>
      </c>
      <c r="AP88" s="639">
        <v>0.30204772781862993</v>
      </c>
      <c r="AQ88" s="639">
        <v>0.24685456067578454</v>
      </c>
      <c r="AR88" s="639">
        <v>0.19152999861049871</v>
      </c>
      <c r="AS88" s="639">
        <v>0.14718421228689244</v>
      </c>
      <c r="AT88" s="639">
        <v>0.12494927152282567</v>
      </c>
      <c r="AU88" s="639">
        <v>0.10271433075875916</v>
      </c>
      <c r="AV88" s="640">
        <v>6.9361919612657696E-2</v>
      </c>
      <c r="AW88" s="644">
        <f t="shared" ref="AW88:AW89" si="121">+IF(AI88="","",AI88*$AH88)</f>
        <v>2.3061529978495727</v>
      </c>
      <c r="AX88" s="645">
        <f t="shared" si="105"/>
        <v>2.2219884839807933</v>
      </c>
      <c r="AY88" s="645">
        <f t="shared" si="106"/>
        <v>2.2041946644495511</v>
      </c>
      <c r="AZ88" s="645">
        <f t="shared" si="107"/>
        <v>1.8234035596277018</v>
      </c>
      <c r="BA88" s="645">
        <f t="shared" si="108"/>
        <v>1.4932499279846376</v>
      </c>
      <c r="BB88" s="645">
        <f t="shared" si="109"/>
        <v>1.1036545018620887</v>
      </c>
      <c r="BC88" s="645">
        <f t="shared" si="110"/>
        <v>0.82391949793526853</v>
      </c>
      <c r="BD88" s="645">
        <f t="shared" si="111"/>
        <v>0.69656827300258517</v>
      </c>
      <c r="BE88" s="645">
        <f t="shared" si="112"/>
        <v>0.56928438513529978</v>
      </c>
      <c r="BF88" s="645">
        <f t="shared" si="113"/>
        <v>0.44169748047372609</v>
      </c>
      <c r="BG88" s="645">
        <f t="shared" si="114"/>
        <v>0.33942931240154489</v>
      </c>
      <c r="BH88" s="645">
        <f t="shared" si="115"/>
        <v>0.28815213710148468</v>
      </c>
      <c r="BI88" s="645">
        <f t="shared" si="116"/>
        <v>0.236874961801425</v>
      </c>
      <c r="BJ88" s="646">
        <f t="shared" si="117"/>
        <v>0.15995919885133161</v>
      </c>
      <c r="BK88" s="641">
        <v>2.3061529978495727</v>
      </c>
      <c r="BL88" s="642">
        <v>2.2219884839807933</v>
      </c>
      <c r="BM88" s="642">
        <v>2.2041946644495511</v>
      </c>
      <c r="BN88" s="642">
        <v>1.8234035596277018</v>
      </c>
      <c r="BO88" s="642">
        <v>1.4932499279846376</v>
      </c>
      <c r="BP88" s="642">
        <v>1.1036545018620887</v>
      </c>
      <c r="BQ88" s="642">
        <v>0.82391949793526853</v>
      </c>
      <c r="BR88" s="642">
        <v>0.69656827300258517</v>
      </c>
      <c r="BS88" s="642">
        <v>0.56928438513529978</v>
      </c>
      <c r="BT88" s="642">
        <v>0.44169748047372609</v>
      </c>
      <c r="BU88" s="642">
        <v>0.33942931240154489</v>
      </c>
      <c r="BV88" s="642">
        <v>0.28815213710148468</v>
      </c>
      <c r="BW88" s="642">
        <v>0.236874961801425</v>
      </c>
      <c r="BX88" s="648">
        <v>0.15995919885133161</v>
      </c>
      <c r="BY88" s="630"/>
      <c r="BZ88" s="630"/>
      <c r="CA88" s="630"/>
      <c r="CB88" s="638" t="str">
        <f>+IF('5. GlobalData'!BF138="","",'5. GlobalData'!BF138)</f>
        <v/>
      </c>
      <c r="CC88" s="639" t="str">
        <f>+IF('5. GlobalData'!BG138="","",'5. GlobalData'!BG138)</f>
        <v/>
      </c>
      <c r="CD88" s="639" t="str">
        <f>+IF('5. GlobalData'!BH138="","",'5. GlobalData'!BH138)</f>
        <v/>
      </c>
      <c r="CE88" s="639" t="str">
        <f>+IF('5. GlobalData'!BI138="","",'5. GlobalData'!BI138)</f>
        <v/>
      </c>
      <c r="CF88" s="639" t="str">
        <f>+IF('5. GlobalData'!BJ138="","",'5. GlobalData'!BJ138)</f>
        <v/>
      </c>
      <c r="CG88" s="639" t="str">
        <f>+IF('5. GlobalData'!BK138="","",'5. GlobalData'!BK138)</f>
        <v/>
      </c>
      <c r="CH88" s="639" t="str">
        <f>+IF('5. GlobalData'!BL138="","",'5. GlobalData'!BL138)</f>
        <v/>
      </c>
      <c r="CI88" s="639" t="str">
        <f>+IF('5. GlobalData'!BM138="","",'5. GlobalData'!BM138)</f>
        <v/>
      </c>
      <c r="CJ88" s="639" t="str">
        <f>+IF('5. GlobalData'!BN138="","",'5. GlobalData'!BN138)</f>
        <v/>
      </c>
      <c r="CK88" s="639" t="str">
        <f>+IF('5. GlobalData'!BO138="","",'5. GlobalData'!BO138)</f>
        <v/>
      </c>
      <c r="CL88" s="639" t="str">
        <f>+IF('5. GlobalData'!BP138="","",'5. GlobalData'!BP138)</f>
        <v/>
      </c>
      <c r="CM88" s="639" t="str">
        <f>+IF('5. GlobalData'!BQ138="","",'5. GlobalData'!BQ138)</f>
        <v/>
      </c>
      <c r="CN88" s="639" t="str">
        <f>+IF('5. GlobalData'!BR138="","",'5. GlobalData'!BR138)</f>
        <v/>
      </c>
      <c r="CO88" s="640" t="str">
        <f>+IF('5. GlobalData'!BS138="","",'5. GlobalData'!BS138)</f>
        <v/>
      </c>
      <c r="CP88" s="644" t="str">
        <f t="shared" ref="CP88:CP89" si="122">+IF(CB88="","",CB88*$AH88)</f>
        <v/>
      </c>
      <c r="CQ88" s="645" t="str">
        <f t="shared" si="58"/>
        <v/>
      </c>
      <c r="CR88" s="645" t="str">
        <f t="shared" si="59"/>
        <v/>
      </c>
      <c r="CS88" s="645" t="str">
        <f t="shared" si="60"/>
        <v/>
      </c>
      <c r="CT88" s="645" t="str">
        <f t="shared" si="61"/>
        <v/>
      </c>
      <c r="CU88" s="645" t="str">
        <f t="shared" si="62"/>
        <v/>
      </c>
      <c r="CV88" s="645" t="str">
        <f t="shared" si="63"/>
        <v/>
      </c>
      <c r="CW88" s="645" t="str">
        <f t="shared" si="64"/>
        <v/>
      </c>
      <c r="CX88" s="645" t="str">
        <f t="shared" si="65"/>
        <v/>
      </c>
      <c r="CY88" s="645" t="str">
        <f t="shared" si="66"/>
        <v/>
      </c>
      <c r="CZ88" s="645" t="str">
        <f t="shared" si="67"/>
        <v/>
      </c>
      <c r="DA88" s="645" t="str">
        <f t="shared" si="92"/>
        <v/>
      </c>
      <c r="DB88" s="645" t="str">
        <f t="shared" si="69"/>
        <v/>
      </c>
      <c r="DC88" s="646" t="str">
        <f t="shared" si="70"/>
        <v/>
      </c>
      <c r="DD88" s="641">
        <v>2.2925734862295029</v>
      </c>
      <c r="DE88" s="642">
        <v>2.2089045652355868</v>
      </c>
      <c r="DF88" s="642">
        <v>2.1912155225250132</v>
      </c>
      <c r="DG88" s="642">
        <v>1.8126666614907914</v>
      </c>
      <c r="DH88" s="642">
        <v>1.4844571008098386</v>
      </c>
      <c r="DI88" s="642">
        <v>1.0971557616889285</v>
      </c>
      <c r="DJ88" s="642">
        <v>0.81906794454455811</v>
      </c>
      <c r="DK88" s="642">
        <v>0.69246661237285645</v>
      </c>
      <c r="DL88" s="642">
        <v>0.56593222076013572</v>
      </c>
      <c r="DM88" s="642">
        <v>0.4390965966320029</v>
      </c>
      <c r="DN88" s="642">
        <v>0.33743062268050422</v>
      </c>
      <c r="DO88" s="642">
        <v>0.28645538701692119</v>
      </c>
      <c r="DP88" s="642">
        <v>0.23548015135333875</v>
      </c>
      <c r="DQ88" s="648" t="s">
        <v>1021</v>
      </c>
    </row>
    <row r="89" spans="9:121" x14ac:dyDescent="0.25">
      <c r="I89" s="474" t="s">
        <v>1111</v>
      </c>
      <c r="J89" s="737" t="s">
        <v>1134</v>
      </c>
      <c r="K89" s="473" t="s">
        <v>665</v>
      </c>
      <c r="L89" s="476" t="s">
        <v>51</v>
      </c>
      <c r="M89" s="476" t="s">
        <v>987</v>
      </c>
      <c r="N89" s="579">
        <f t="shared" ref="N89:O89" si="123">Y57</f>
        <v>6.1343436802343387E-2</v>
      </c>
      <c r="O89" s="574">
        <f t="shared" si="123"/>
        <v>10.354312893772342</v>
      </c>
      <c r="P89" s="582">
        <f>+O89/(N89+O89)</f>
        <v>0.99411045882703797</v>
      </c>
      <c r="Q89" s="575">
        <f t="shared" si="94"/>
        <v>10.137571027545471</v>
      </c>
      <c r="R89" s="576">
        <f t="shared" ref="R89:V89" si="124">T57</f>
        <v>1.8616237427097122E-2</v>
      </c>
      <c r="S89" s="576">
        <f>U57</f>
        <v>0.19812562879977277</v>
      </c>
      <c r="T89" s="576">
        <f t="shared" si="124"/>
        <v>0</v>
      </c>
      <c r="U89" s="576">
        <f t="shared" si="124"/>
        <v>0</v>
      </c>
      <c r="V89" s="576">
        <f t="shared" si="124"/>
        <v>10.137571027545471</v>
      </c>
      <c r="W89" s="577">
        <f t="shared" si="96"/>
        <v>1.79792108062467E-3</v>
      </c>
      <c r="X89" s="577">
        <f t="shared" si="97"/>
        <v>1.913459935317741E-2</v>
      </c>
      <c r="Y89" s="577">
        <f t="shared" si="98"/>
        <v>0</v>
      </c>
      <c r="Z89" s="577">
        <f t="shared" si="99"/>
        <v>0.97906747956619788</v>
      </c>
      <c r="AA89" s="578" t="str">
        <f t="shared" si="120"/>
        <v>-</v>
      </c>
      <c r="AB89" s="746">
        <f>+'5. GlobalData'!M28*1000*$D$21/1000</f>
        <v>115.07700679200001</v>
      </c>
      <c r="AC89" s="566">
        <f>+AB89/(Q89+N89)</f>
        <v>11.283260311111825</v>
      </c>
      <c r="AD89" s="758">
        <f t="shared" si="101"/>
        <v>0.67775076956272806</v>
      </c>
      <c r="AE89" s="586">
        <f t="shared" si="102"/>
        <v>11.048464267604212</v>
      </c>
      <c r="AF89" s="571">
        <f t="shared" si="103"/>
        <v>114.39925602243729</v>
      </c>
      <c r="AG89" s="587">
        <f t="shared" si="104"/>
        <v>11.048464267604212</v>
      </c>
      <c r="AH89" s="436">
        <f t="shared" si="56"/>
        <v>10.415656330574684</v>
      </c>
      <c r="AI89" s="638">
        <v>1</v>
      </c>
      <c r="AJ89" s="639">
        <v>0.97993311036789299</v>
      </c>
      <c r="AK89" s="639">
        <v>0.95317725752508342</v>
      </c>
      <c r="AL89" s="639">
        <v>0.81270903010033435</v>
      </c>
      <c r="AM89" s="639">
        <v>0.69565217391304335</v>
      </c>
      <c r="AN89" s="639">
        <v>0.55183946488294311</v>
      </c>
      <c r="AO89" s="639">
        <v>0.45150501672240795</v>
      </c>
      <c r="AP89" s="639">
        <v>0.38795986622073569</v>
      </c>
      <c r="AQ89" s="639">
        <v>0.334448160535117</v>
      </c>
      <c r="AR89" s="639">
        <v>0.27090301003344475</v>
      </c>
      <c r="AS89" s="639">
        <v>0.20735785953177308</v>
      </c>
      <c r="AT89" s="639">
        <v>0.16499442586398799</v>
      </c>
      <c r="AU89" s="639">
        <v>0.12263099219620927</v>
      </c>
      <c r="AV89" s="640">
        <v>5.9085841694537997E-2</v>
      </c>
      <c r="AW89" s="644">
        <f t="shared" si="121"/>
        <v>10.415656330574684</v>
      </c>
      <c r="AX89" s="645">
        <f t="shared" si="105"/>
        <v>10.206646504543086</v>
      </c>
      <c r="AY89" s="645">
        <f t="shared" si="106"/>
        <v>9.9279667365009505</v>
      </c>
      <c r="AZ89" s="645">
        <f t="shared" si="107"/>
        <v>8.4648979542797598</v>
      </c>
      <c r="BA89" s="645">
        <f t="shared" si="108"/>
        <v>7.2456739690954315</v>
      </c>
      <c r="BB89" s="645">
        <f t="shared" si="109"/>
        <v>5.7477702158689725</v>
      </c>
      <c r="BC89" s="645">
        <f t="shared" si="110"/>
        <v>4.7027210857109774</v>
      </c>
      <c r="BD89" s="645">
        <f t="shared" si="111"/>
        <v>4.0408566366109131</v>
      </c>
      <c r="BE89" s="645">
        <f t="shared" si="112"/>
        <v>3.4834971005266495</v>
      </c>
      <c r="BF89" s="645">
        <f t="shared" si="113"/>
        <v>2.8216326514265861</v>
      </c>
      <c r="BG89" s="645">
        <f t="shared" si="114"/>
        <v>2.1597682023265286</v>
      </c>
      <c r="BH89" s="645">
        <f t="shared" si="115"/>
        <v>1.718525236259782</v>
      </c>
      <c r="BI89" s="645">
        <f t="shared" si="116"/>
        <v>1.2772822701931017</v>
      </c>
      <c r="BJ89" s="646">
        <f t="shared" si="117"/>
        <v>0.61541782109304832</v>
      </c>
      <c r="BK89" s="644">
        <v>10.415656330574684</v>
      </c>
      <c r="BL89" s="645">
        <v>10.206646504543086</v>
      </c>
      <c r="BM89" s="645">
        <v>9.9279667365009505</v>
      </c>
      <c r="BN89" s="645">
        <v>8.4648979542797598</v>
      </c>
      <c r="BO89" s="645">
        <v>7.2456739690954315</v>
      </c>
      <c r="BP89" s="645">
        <v>5.7477702158689725</v>
      </c>
      <c r="BQ89" s="645">
        <v>4.7027210857109774</v>
      </c>
      <c r="BR89" s="645">
        <v>4.0408566366109131</v>
      </c>
      <c r="BS89" s="645">
        <v>3.4834971005266495</v>
      </c>
      <c r="BT89" s="645">
        <v>2.8216326514265861</v>
      </c>
      <c r="BU89" s="751">
        <v>2.1597682023265286</v>
      </c>
      <c r="BV89" s="751">
        <v>1.718525236259782</v>
      </c>
      <c r="BW89" s="751">
        <v>1.2772822701931017</v>
      </c>
      <c r="BX89" s="752">
        <v>0.61541782109304832</v>
      </c>
      <c r="BY89" s="630"/>
      <c r="BZ89" s="630"/>
      <c r="CA89" s="630"/>
      <c r="CB89" s="638" t="str">
        <f>+IF('5. GlobalData'!BF139="","",'5. GlobalData'!BF139)</f>
        <v/>
      </c>
      <c r="CC89" s="639" t="str">
        <f>+IF('5. GlobalData'!BG139="","",'5. GlobalData'!BG139)</f>
        <v/>
      </c>
      <c r="CD89" s="639" t="str">
        <f>+IF('5. GlobalData'!BH139="","",'5. GlobalData'!BH139)</f>
        <v/>
      </c>
      <c r="CE89" s="639" t="str">
        <f>+IF('5. GlobalData'!BI139="","",'5. GlobalData'!BI139)</f>
        <v/>
      </c>
      <c r="CF89" s="639" t="str">
        <f>+IF('5. GlobalData'!BJ139="","",'5. GlobalData'!BJ139)</f>
        <v/>
      </c>
      <c r="CG89" s="639" t="str">
        <f>+IF('5. GlobalData'!BK139="","",'5. GlobalData'!BK139)</f>
        <v/>
      </c>
      <c r="CH89" s="639" t="str">
        <f>+IF('5. GlobalData'!BL139="","",'5. GlobalData'!BL139)</f>
        <v/>
      </c>
      <c r="CI89" s="639" t="str">
        <f>+IF('5. GlobalData'!BM139="","",'5. GlobalData'!BM139)</f>
        <v/>
      </c>
      <c r="CJ89" s="639" t="str">
        <f>+IF('5. GlobalData'!BN139="","",'5. GlobalData'!BN139)</f>
        <v/>
      </c>
      <c r="CK89" s="639" t="str">
        <f>+IF('5. GlobalData'!BO139="","",'5. GlobalData'!BO139)</f>
        <v/>
      </c>
      <c r="CL89" s="639" t="str">
        <f>+IF('5. GlobalData'!BP139="","",'5. GlobalData'!BP139)</f>
        <v/>
      </c>
      <c r="CM89" s="639" t="str">
        <f>+IF('5. GlobalData'!BQ139="","",'5. GlobalData'!BQ139)</f>
        <v/>
      </c>
      <c r="CN89" s="639" t="str">
        <f>+IF('5. GlobalData'!BR139="","",'5. GlobalData'!BR139)</f>
        <v/>
      </c>
      <c r="CO89" s="640" t="str">
        <f>+IF('5. GlobalData'!BS139="","",'5. GlobalData'!BS139)</f>
        <v/>
      </c>
      <c r="CP89" s="644" t="str">
        <f t="shared" si="122"/>
        <v/>
      </c>
      <c r="CQ89" s="645" t="str">
        <f t="shared" si="58"/>
        <v/>
      </c>
      <c r="CR89" s="645" t="str">
        <f t="shared" si="59"/>
        <v/>
      </c>
      <c r="CS89" s="645" t="str">
        <f t="shared" si="60"/>
        <v/>
      </c>
      <c r="CT89" s="645" t="str">
        <f t="shared" si="61"/>
        <v/>
      </c>
      <c r="CU89" s="645" t="str">
        <f t="shared" si="62"/>
        <v/>
      </c>
      <c r="CV89" s="645" t="str">
        <f t="shared" si="63"/>
        <v/>
      </c>
      <c r="CW89" s="645" t="str">
        <f t="shared" si="64"/>
        <v/>
      </c>
      <c r="CX89" s="645" t="str">
        <f t="shared" si="65"/>
        <v/>
      </c>
      <c r="CY89" s="645" t="str">
        <f t="shared" si="66"/>
        <v/>
      </c>
      <c r="CZ89" s="645" t="str">
        <f t="shared" si="67"/>
        <v/>
      </c>
      <c r="DA89" s="645" t="str">
        <f t="shared" si="92"/>
        <v/>
      </c>
      <c r="DB89" s="645" t="str">
        <f t="shared" si="69"/>
        <v/>
      </c>
      <c r="DC89" s="646" t="str">
        <f t="shared" si="70"/>
        <v/>
      </c>
      <c r="DD89" s="644">
        <v>10.354312893772342</v>
      </c>
      <c r="DE89" s="645">
        <v>10.146534039716709</v>
      </c>
      <c r="DF89" s="645">
        <v>9.8694955676425309</v>
      </c>
      <c r="DG89" s="645">
        <v>8.4150435892531057</v>
      </c>
      <c r="DH89" s="645">
        <v>7.2030002739285841</v>
      </c>
      <c r="DI89" s="645">
        <v>5.7139184865298871</v>
      </c>
      <c r="DJ89" s="645">
        <v>4.6750242162517255</v>
      </c>
      <c r="DK89" s="645">
        <v>4.0170578450755565</v>
      </c>
      <c r="DL89" s="645">
        <v>3.4629809009272039</v>
      </c>
      <c r="DM89" s="645">
        <v>2.8050145297510349</v>
      </c>
      <c r="DN89" s="751" t="s">
        <v>1021</v>
      </c>
      <c r="DO89" s="751" t="s">
        <v>1021</v>
      </c>
      <c r="DP89" s="751" t="s">
        <v>1021</v>
      </c>
      <c r="DQ89" s="752" t="s">
        <v>1021</v>
      </c>
    </row>
    <row r="90" spans="9:121" x14ac:dyDescent="0.25">
      <c r="J90" s="544"/>
      <c r="K90" s="541"/>
      <c r="L90" s="320"/>
      <c r="M90" s="320"/>
      <c r="N90" s="543"/>
      <c r="O90" s="545"/>
      <c r="P90" s="560"/>
      <c r="Q90" s="560"/>
      <c r="R90" s="542"/>
      <c r="S90" s="542"/>
      <c r="T90" s="542"/>
      <c r="U90" s="542"/>
      <c r="V90" s="542"/>
      <c r="W90" s="561"/>
      <c r="X90" s="561"/>
      <c r="Y90" s="561"/>
      <c r="Z90" s="561"/>
      <c r="AA90" s="562"/>
      <c r="AB90" s="57"/>
      <c r="AC90" s="289"/>
      <c r="AH90" s="630" t="str">
        <f>+IF('5. GlobalData'!M140="","",'5. GlobalData'!M140)</f>
        <v/>
      </c>
      <c r="AI90" s="630" t="str">
        <f>+IF('5. GlobalData'!N140="","",'5. GlobalData'!N140)</f>
        <v/>
      </c>
      <c r="AJ90" s="630" t="str">
        <f>+IF('5. GlobalData'!O140="","",'5. GlobalData'!O140)</f>
        <v/>
      </c>
      <c r="AK90" s="630" t="str">
        <f>+IF('5. GlobalData'!P140="","",'5. GlobalData'!P140)</f>
        <v/>
      </c>
      <c r="AL90" s="630" t="str">
        <f>+IF('5. GlobalData'!Q140="","",'5. GlobalData'!Q140)</f>
        <v/>
      </c>
      <c r="AM90" s="630" t="str">
        <f>+IF('5. GlobalData'!R140="","",'5. GlobalData'!R140)</f>
        <v/>
      </c>
      <c r="AN90" s="630" t="str">
        <f>+IF('5. GlobalData'!S140="","",'5. GlobalData'!S140)</f>
        <v/>
      </c>
      <c r="AO90" s="630" t="str">
        <f>+IF('5. GlobalData'!T140="","",'5. GlobalData'!T140)</f>
        <v/>
      </c>
      <c r="AP90" s="630" t="str">
        <f>+IF('5. GlobalData'!U140="","",'5. GlobalData'!U140)</f>
        <v/>
      </c>
      <c r="AQ90" s="630" t="str">
        <f>+IF('5. GlobalData'!V140="","",'5. GlobalData'!V140)</f>
        <v/>
      </c>
      <c r="AR90" s="630" t="str">
        <f>+IF('5. GlobalData'!W140="","",'5. GlobalData'!W140)</f>
        <v/>
      </c>
      <c r="AS90" s="630" t="str">
        <f>+IF('5. GlobalData'!X140="","",'5. GlobalData'!X140)</f>
        <v/>
      </c>
      <c r="AT90" s="630" t="str">
        <f>+IF('5. GlobalData'!Y140="","",'5. GlobalData'!Y140)</f>
        <v/>
      </c>
      <c r="AU90" s="630" t="str">
        <f>+IF('5. GlobalData'!Z140="","",'5. GlobalData'!Z140)</f>
        <v/>
      </c>
      <c r="AV90" s="630"/>
      <c r="AW90" s="630"/>
      <c r="AX90" s="630"/>
      <c r="AY90" s="630"/>
      <c r="AZ90" s="630"/>
      <c r="BA90" s="630"/>
      <c r="BB90" s="630"/>
      <c r="BC90" s="630"/>
      <c r="BD90" s="630"/>
      <c r="BE90" s="630"/>
      <c r="BF90" s="630"/>
      <c r="BG90" s="630"/>
      <c r="BH90" s="630"/>
      <c r="BI90" s="630"/>
      <c r="BJ90" s="630"/>
      <c r="BK90" s="630"/>
      <c r="BL90" s="630"/>
      <c r="BM90" s="630"/>
      <c r="BN90" s="630"/>
      <c r="BO90" s="630"/>
      <c r="BP90" s="630"/>
      <c r="BQ90" s="630"/>
      <c r="BR90" s="630"/>
      <c r="BS90" s="630"/>
      <c r="BT90" s="630"/>
      <c r="BU90" s="630"/>
      <c r="BV90" s="630"/>
      <c r="BW90" s="630"/>
      <c r="BX90" s="630"/>
      <c r="BY90" s="630"/>
      <c r="BZ90" s="630"/>
      <c r="CA90" s="630"/>
      <c r="CB90" s="630"/>
      <c r="CC90" s="320"/>
      <c r="CD90" s="657"/>
      <c r="CE90" s="657"/>
      <c r="CF90" s="657"/>
      <c r="CG90" s="657"/>
      <c r="CH90" s="657"/>
      <c r="CI90" s="657"/>
      <c r="CJ90" s="657"/>
      <c r="CK90" s="657"/>
      <c r="CL90" s="657"/>
      <c r="CM90" s="657"/>
      <c r="CN90" s="657"/>
      <c r="CO90" s="657"/>
      <c r="CP90" s="657"/>
      <c r="CQ90" s="657"/>
      <c r="CR90" s="630"/>
      <c r="CS90" s="630"/>
      <c r="CT90" s="630"/>
      <c r="CU90" s="630"/>
      <c r="CV90" s="629"/>
      <c r="CW90" s="629"/>
      <c r="CX90" s="629"/>
      <c r="CY90" s="629"/>
      <c r="CZ90" s="629"/>
      <c r="DA90" s="629"/>
      <c r="DB90" s="629"/>
    </row>
    <row r="91" spans="9:121" x14ac:dyDescent="0.25">
      <c r="J91" s="320"/>
      <c r="K91" s="541"/>
      <c r="L91" s="320"/>
      <c r="N91" s="543"/>
      <c r="O91" s="545"/>
      <c r="P91" s="560"/>
      <c r="Q91" s="560"/>
      <c r="R91" s="542"/>
      <c r="S91" s="542"/>
      <c r="T91" s="542"/>
      <c r="U91" s="542"/>
      <c r="V91" s="542"/>
      <c r="W91" s="561"/>
      <c r="X91" s="561"/>
      <c r="Y91" s="561"/>
      <c r="Z91" s="561"/>
      <c r="AA91" s="562"/>
      <c r="AB91" s="57"/>
      <c r="AC91" s="122"/>
      <c r="AF91" t="s">
        <v>1011</v>
      </c>
      <c r="AG91" s="589">
        <f>+SUM(AF67:AF86)/SUM(O67:O86)</f>
        <v>5.3157502484075962</v>
      </c>
    </row>
    <row r="92" spans="9:121" x14ac:dyDescent="0.25">
      <c r="J92" s="544"/>
      <c r="K92" s="541"/>
      <c r="L92" s="320"/>
      <c r="M92" s="320"/>
      <c r="N92" s="543"/>
      <c r="O92" s="545"/>
      <c r="P92" s="560"/>
      <c r="Q92" s="560"/>
      <c r="R92" s="542"/>
      <c r="S92" s="542"/>
      <c r="T92" s="542"/>
      <c r="U92" s="542"/>
      <c r="V92" s="542"/>
      <c r="W92" s="561"/>
      <c r="X92" s="561"/>
      <c r="Y92" s="561"/>
      <c r="Z92" s="561"/>
      <c r="AA92" s="562"/>
      <c r="AB92" s="57"/>
      <c r="AC92" s="122"/>
      <c r="AF92" t="s">
        <v>1012</v>
      </c>
      <c r="AG92" s="66">
        <f>+SUM(AF67:AF86)/(SUM(T67:T86,V67:V86)-SUM(U67:U86))</f>
        <v>6.3532002292489826</v>
      </c>
      <c r="AH92" s="590">
        <f>+IF((T67+V67-U67)=0,"-",AF67/(T67+V67-U67))</f>
        <v>3.0484936597423249</v>
      </c>
      <c r="AW92" s="122">
        <f>0.05*BK78</f>
        <v>0.45976135716123356</v>
      </c>
      <c r="AX92" s="122">
        <f t="shared" ref="AX92:BJ92" si="125">0.05*BL78</f>
        <v>0.35887383114809163</v>
      </c>
      <c r="AY92" s="122">
        <f t="shared" si="125"/>
        <v>0.15821478661537516</v>
      </c>
      <c r="AZ92" s="122">
        <f t="shared" si="125"/>
        <v>9.9788867633869835E-2</v>
      </c>
      <c r="BA92" s="122">
        <f t="shared" si="125"/>
        <v>7.9246601656003113E-2</v>
      </c>
      <c r="BB92" s="122">
        <f t="shared" si="125"/>
        <v>4.8433202689203016E-2</v>
      </c>
      <c r="BC92" s="122">
        <f t="shared" si="125"/>
        <v>1.7807392237011568E-2</v>
      </c>
      <c r="BD92" s="122">
        <f t="shared" si="125"/>
        <v>1.3469739604707842E-2</v>
      </c>
      <c r="BE92" s="122">
        <f t="shared" si="125"/>
        <v>1.0699240411137064E-2</v>
      </c>
      <c r="BF92" s="122">
        <f t="shared" si="125"/>
        <v>6.5434916207808948E-3</v>
      </c>
      <c r="BG92" s="122">
        <f t="shared" si="125"/>
        <v>2.3877428304250412E-3</v>
      </c>
      <c r="BH92" s="122">
        <f t="shared" si="125"/>
        <v>0</v>
      </c>
      <c r="BI92" s="122">
        <f t="shared" si="125"/>
        <v>0</v>
      </c>
      <c r="BJ92" s="122">
        <f t="shared" si="125"/>
        <v>0</v>
      </c>
    </row>
    <row r="95" spans="9:121" x14ac:dyDescent="0.25">
      <c r="AV95" s="57"/>
      <c r="AW95" s="57"/>
    </row>
    <row r="96" spans="9:121" x14ac:dyDescent="0.25">
      <c r="R96" s="912" t="s">
        <v>992</v>
      </c>
      <c r="S96" s="912"/>
      <c r="T96" s="912"/>
      <c r="U96" s="912"/>
      <c r="V96" s="912"/>
      <c r="W96" s="913" t="s">
        <v>990</v>
      </c>
      <c r="X96" s="913"/>
      <c r="Y96" s="913"/>
      <c r="Z96" s="913"/>
      <c r="AA96" s="539" t="s">
        <v>991</v>
      </c>
    </row>
    <row r="97" spans="10:106" ht="15.75" x14ac:dyDescent="0.25">
      <c r="N97" s="486" t="s">
        <v>9</v>
      </c>
      <c r="O97" s="486" t="s">
        <v>9</v>
      </c>
      <c r="P97" s="546" t="s">
        <v>924</v>
      </c>
      <c r="Q97" s="546" t="s">
        <v>9</v>
      </c>
      <c r="R97" s="533" t="s">
        <v>9</v>
      </c>
      <c r="S97" s="533" t="s">
        <v>9</v>
      </c>
      <c r="T97" s="533" t="s">
        <v>9</v>
      </c>
      <c r="U97" s="533" t="s">
        <v>9</v>
      </c>
      <c r="V97" s="533" t="s">
        <v>9</v>
      </c>
      <c r="W97" s="534" t="s">
        <v>924</v>
      </c>
      <c r="X97" s="534" t="s">
        <v>924</v>
      </c>
      <c r="Y97" s="534" t="s">
        <v>924</v>
      </c>
      <c r="Z97" s="534" t="s">
        <v>924</v>
      </c>
      <c r="AA97" s="270" t="s">
        <v>924</v>
      </c>
      <c r="AB97" s="563" t="s">
        <v>9</v>
      </c>
      <c r="AC97" s="563" t="s">
        <v>1002</v>
      </c>
      <c r="AD97" s="546" t="s">
        <v>9</v>
      </c>
      <c r="AE97" s="546" t="s">
        <v>1002</v>
      </c>
      <c r="AF97" s="546" t="s">
        <v>9</v>
      </c>
      <c r="AG97" s="546" t="s">
        <v>1002</v>
      </c>
      <c r="AH97" s="19" t="s">
        <v>9</v>
      </c>
      <c r="AI97" s="908" t="s">
        <v>1030</v>
      </c>
      <c r="AJ97" s="909"/>
      <c r="AK97" s="909"/>
      <c r="AL97" s="909"/>
      <c r="AM97" s="909"/>
      <c r="AN97" s="909"/>
      <c r="AO97" s="909"/>
      <c r="AP97" s="909"/>
      <c r="AQ97" s="909"/>
      <c r="AR97" s="909"/>
      <c r="AS97" s="909"/>
      <c r="AT97" s="909"/>
      <c r="AU97" s="909"/>
      <c r="AV97" s="910"/>
      <c r="AW97" s="908" t="s">
        <v>1031</v>
      </c>
      <c r="AX97" s="909"/>
      <c r="AY97" s="909"/>
      <c r="AZ97" s="909"/>
      <c r="BA97" s="909"/>
      <c r="BB97" s="909"/>
      <c r="BC97" s="909"/>
      <c r="BD97" s="909"/>
      <c r="BE97" s="909"/>
      <c r="BF97" s="909"/>
      <c r="BG97" s="909"/>
      <c r="BH97" s="909"/>
      <c r="BI97" s="909"/>
      <c r="BJ97" s="910"/>
      <c r="BK97" s="908" t="s">
        <v>1032</v>
      </c>
      <c r="BL97" s="909"/>
      <c r="BM97" s="909"/>
      <c r="BN97" s="909"/>
      <c r="BO97" s="909"/>
      <c r="BP97" s="909"/>
      <c r="BQ97" s="909"/>
      <c r="BR97" s="909"/>
      <c r="BS97" s="909"/>
      <c r="BT97" s="909"/>
      <c r="BU97" s="909"/>
      <c r="BV97" s="909"/>
      <c r="BW97" s="909"/>
      <c r="BX97" s="910"/>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row>
    <row r="98" spans="10:106" ht="40.5" x14ac:dyDescent="0.25">
      <c r="J98" s="549" t="s">
        <v>798</v>
      </c>
      <c r="K98" s="549" t="s">
        <v>993</v>
      </c>
      <c r="L98" s="549" t="s">
        <v>925</v>
      </c>
      <c r="M98" s="549" t="str">
        <f>+M66</f>
        <v>Type of Oil producing</v>
      </c>
      <c r="N98" s="549" t="s">
        <v>813</v>
      </c>
      <c r="O98" s="549" t="s">
        <v>814</v>
      </c>
      <c r="P98" s="550" t="s">
        <v>1010</v>
      </c>
      <c r="Q98" s="550" t="s">
        <v>804</v>
      </c>
      <c r="R98" s="551" t="s">
        <v>808</v>
      </c>
      <c r="S98" s="551" t="s">
        <v>809</v>
      </c>
      <c r="T98" s="551" t="s">
        <v>810</v>
      </c>
      <c r="U98" s="551" t="s">
        <v>811</v>
      </c>
      <c r="V98" s="551" t="s">
        <v>812</v>
      </c>
      <c r="W98" s="552" t="s">
        <v>808</v>
      </c>
      <c r="X98" s="552" t="s">
        <v>809</v>
      </c>
      <c r="Y98" s="552" t="s">
        <v>810</v>
      </c>
      <c r="Z98" s="552" t="s">
        <v>812</v>
      </c>
      <c r="AA98" s="553" t="s">
        <v>811</v>
      </c>
      <c r="AB98" s="564" t="s">
        <v>1003</v>
      </c>
      <c r="AC98" s="564" t="s">
        <v>1001</v>
      </c>
      <c r="AD98" s="547" t="s">
        <v>1006</v>
      </c>
      <c r="AE98" s="547" t="s">
        <v>1007</v>
      </c>
      <c r="AF98" s="547" t="s">
        <v>1008</v>
      </c>
      <c r="AG98" s="547" t="s">
        <v>1009</v>
      </c>
      <c r="AH98" s="632" t="s">
        <v>1020</v>
      </c>
      <c r="AI98" s="633">
        <v>2019</v>
      </c>
      <c r="AJ98" s="615">
        <v>2020</v>
      </c>
      <c r="AK98" s="615">
        <v>2023</v>
      </c>
      <c r="AL98" s="615">
        <v>2025</v>
      </c>
      <c r="AM98" s="615">
        <v>2027</v>
      </c>
      <c r="AN98" s="615">
        <v>2030</v>
      </c>
      <c r="AO98" s="615">
        <v>2033</v>
      </c>
      <c r="AP98" s="615">
        <v>2035</v>
      </c>
      <c r="AQ98" s="615">
        <v>2037</v>
      </c>
      <c r="AR98" s="615">
        <v>2040</v>
      </c>
      <c r="AS98" s="615">
        <v>2043</v>
      </c>
      <c r="AT98" s="615">
        <v>2045</v>
      </c>
      <c r="AU98" s="615">
        <v>2047</v>
      </c>
      <c r="AV98" s="634">
        <v>2050</v>
      </c>
      <c r="AW98" s="633">
        <v>2019</v>
      </c>
      <c r="AX98" s="615">
        <v>2020</v>
      </c>
      <c r="AY98" s="615">
        <v>2023</v>
      </c>
      <c r="AZ98" s="615">
        <v>2025</v>
      </c>
      <c r="BA98" s="615">
        <v>2027</v>
      </c>
      <c r="BB98" s="615">
        <v>2030</v>
      </c>
      <c r="BC98" s="615">
        <v>2033</v>
      </c>
      <c r="BD98" s="615">
        <v>2035</v>
      </c>
      <c r="BE98" s="615">
        <v>2037</v>
      </c>
      <c r="BF98" s="615">
        <v>2040</v>
      </c>
      <c r="BG98" s="615">
        <v>2043</v>
      </c>
      <c r="BH98" s="615">
        <v>2045</v>
      </c>
      <c r="BI98" s="615">
        <v>2047</v>
      </c>
      <c r="BJ98" s="634">
        <v>2050</v>
      </c>
      <c r="BK98" s="633">
        <v>2019</v>
      </c>
      <c r="BL98" s="615">
        <v>2020</v>
      </c>
      <c r="BM98" s="615">
        <v>2023</v>
      </c>
      <c r="BN98" s="615">
        <v>2025</v>
      </c>
      <c r="BO98" s="615">
        <v>2027</v>
      </c>
      <c r="BP98" s="615">
        <v>2030</v>
      </c>
      <c r="BQ98" s="615">
        <v>2033</v>
      </c>
      <c r="BR98" s="615">
        <v>2035</v>
      </c>
      <c r="BS98" s="615">
        <v>2037</v>
      </c>
      <c r="BT98" s="615">
        <v>2040</v>
      </c>
      <c r="BU98" s="615">
        <v>2043</v>
      </c>
      <c r="BV98" s="615">
        <v>2045</v>
      </c>
      <c r="BW98" s="615">
        <v>2047</v>
      </c>
      <c r="BX98" s="634">
        <v>2050</v>
      </c>
      <c r="CV98" s="508"/>
      <c r="CW98" s="508"/>
      <c r="CX98" s="508"/>
      <c r="CY98" s="508"/>
      <c r="CZ98" s="508"/>
      <c r="DA98" s="508"/>
      <c r="DB98" s="508"/>
    </row>
    <row r="99" spans="10:106" ht="15.75" x14ac:dyDescent="0.25">
      <c r="J99" s="155" t="s">
        <v>837</v>
      </c>
      <c r="K99" s="155" t="s">
        <v>987</v>
      </c>
      <c r="L99" s="554" t="s">
        <v>57</v>
      </c>
      <c r="M99" s="555" t="s">
        <v>1000</v>
      </c>
      <c r="N99" s="556">
        <f t="shared" ref="N99:N105" si="126">+SUMIFS(N$67:N$89,$I$67:$I$89,$J99,$M$67:$M$89,$K99)</f>
        <v>0</v>
      </c>
      <c r="O99" s="556">
        <f t="shared" ref="O99:O105" si="127">+SUMIFS(O$67:O$89,$I$67:$I$89,$J99,$M$67:$M$89,$K99)</f>
        <v>68.585731940983607</v>
      </c>
      <c r="P99" s="583">
        <f>+O99/(N99+O99)</f>
        <v>1</v>
      </c>
      <c r="Q99" s="557">
        <f t="shared" ref="Q99:V99" si="128">+SUMIFS(Q$67:Q$89,$I$67:$I$89,$J99,$M$67:$M$89,$K99)</f>
        <v>66.042848806832495</v>
      </c>
      <c r="R99" s="558">
        <f t="shared" si="128"/>
        <v>2.4500442407782339</v>
      </c>
      <c r="S99" s="822">
        <f t="shared" si="128"/>
        <v>9.2838893372876957E-2</v>
      </c>
      <c r="T99" s="558">
        <f t="shared" si="128"/>
        <v>5.6186813035864835</v>
      </c>
      <c r="U99" s="558">
        <f t="shared" si="128"/>
        <v>0</v>
      </c>
      <c r="V99" s="558">
        <f t="shared" si="128"/>
        <v>60.424167503246018</v>
      </c>
      <c r="W99" s="536">
        <f>+IF($O99=0,"-",R99/$O99)</f>
        <v>3.5722360488715625E-2</v>
      </c>
      <c r="X99" s="823">
        <f t="shared" ref="X99:X112" si="129">+IF($O99=0,"-",S99/$O99)</f>
        <v>1.3536181760480828E-3</v>
      </c>
      <c r="Y99" s="536">
        <f>+IF($O99=0,"-",T99/$O99)</f>
        <v>8.1922014165004831E-2</v>
      </c>
      <c r="Z99" s="536">
        <f t="shared" ref="Z99:Z112" si="130">+IF($O99=0,"-",V99/$O99)</f>
        <v>0.88100200717023158</v>
      </c>
      <c r="AA99" s="538">
        <f t="shared" ref="AA99:AA112" si="131">+IF($T99=0,"-",U99/$T99)</f>
        <v>0</v>
      </c>
      <c r="AB99" s="567">
        <f>+SUMIFS(AB$67:AB$89,$I$67:$I$89,$J99,$M$67:$M$89,$K99)</f>
        <v>266.73883552000007</v>
      </c>
      <c r="AC99" s="753">
        <f>+IF((N99+O99)=0,"-",AB99/(N99+O99))</f>
        <v>3.8891301145480592</v>
      </c>
      <c r="AD99" s="571">
        <f t="shared" ref="AD99:AD112" si="132">+AB99*(100%-P99)</f>
        <v>0</v>
      </c>
      <c r="AE99" s="585" t="str">
        <f>+IF(N99=0,"-",AD99/N99)</f>
        <v>-</v>
      </c>
      <c r="AF99" s="571">
        <f>+AB99*(P99)</f>
        <v>266.73883552000007</v>
      </c>
      <c r="AG99" s="588">
        <f t="shared" ref="AG99:AG105" si="133">+AF99/O99</f>
        <v>3.8891301145480592</v>
      </c>
      <c r="AH99" s="556">
        <f>+SUMIFS(AH$67:AH$89,$I$67:$I$89,$J99,$M$67:$M$89,$K99)</f>
        <v>68.585731940983607</v>
      </c>
      <c r="AI99" s="556">
        <f>+SUMIFS(BK$67:BK$89,$I$67:$I$89,$J99,$M$67:$M$89,$K99)</f>
        <v>68.585731940983607</v>
      </c>
      <c r="AJ99" s="556">
        <f t="shared" ref="AJ99:AQ99" si="134">+SUMIFS(BL$67:BL$89,$I$67:$I$89,$J99,$M$67:$M$89,$K99)</f>
        <v>55.42289382660443</v>
      </c>
      <c r="AK99" s="556">
        <f t="shared" si="134"/>
        <v>48.301053084017497</v>
      </c>
      <c r="AL99" s="556">
        <f t="shared" si="134"/>
        <v>38.921861734744084</v>
      </c>
      <c r="AM99" s="556">
        <f t="shared" si="134"/>
        <v>31.12573621980787</v>
      </c>
      <c r="AN99" s="556">
        <f t="shared" si="134"/>
        <v>20.101904077407454</v>
      </c>
      <c r="AO99" s="556">
        <f t="shared" si="134"/>
        <v>8.0077874319897546</v>
      </c>
      <c r="AP99" s="556">
        <f t="shared" si="134"/>
        <v>2.86729599242289</v>
      </c>
      <c r="AQ99" s="556">
        <f t="shared" si="134"/>
        <v>2.3371052350566992</v>
      </c>
      <c r="AR99" s="556">
        <f>+SUMIFS(BT$67:BT$89,$I$67:$I$89,$J99,$M$67:$M$89,$K99)</f>
        <v>1.5418190990073675</v>
      </c>
      <c r="AS99" s="556">
        <f t="shared" ref="AS99" si="135">+SUMIFS(BU$67:BU$89,$I$67:$I$89,$J99,$M$67:$M$89,$K99)</f>
        <v>0.74653296295810601</v>
      </c>
      <c r="AT99" s="556">
        <f t="shared" ref="AT99" si="136">+SUMIFS(BV$67:BV$89,$I$67:$I$89,$J99,$M$67:$M$89,$K99)</f>
        <v>0.21634220559186546</v>
      </c>
      <c r="AU99" s="556">
        <f t="shared" ref="AU99" si="137">+SUMIFS(BW$67:BW$89,$I$67:$I$89,$J99,$M$67:$M$89,$K99)</f>
        <v>0</v>
      </c>
      <c r="AV99" s="556">
        <f t="shared" ref="AV99" si="138">+SUMIFS(BX$67:BX$89,$I$67:$I$89,$J99,$M$67:$M$89,$K99)</f>
        <v>0</v>
      </c>
      <c r="AW99" s="509">
        <f>+AI99*(100%-$P99)</f>
        <v>0</v>
      </c>
      <c r="AX99" s="509">
        <f t="shared" ref="AX99:BJ112" si="139">+AJ99*(100%-$P99)</f>
        <v>0</v>
      </c>
      <c r="AY99" s="509">
        <f t="shared" si="139"/>
        <v>0</v>
      </c>
      <c r="AZ99" s="509">
        <f t="shared" si="139"/>
        <v>0</v>
      </c>
      <c r="BA99" s="509">
        <f t="shared" si="139"/>
        <v>0</v>
      </c>
      <c r="BB99" s="509">
        <f t="shared" si="139"/>
        <v>0</v>
      </c>
      <c r="BC99" s="509">
        <f t="shared" si="139"/>
        <v>0</v>
      </c>
      <c r="BD99" s="509">
        <f t="shared" si="139"/>
        <v>0</v>
      </c>
      <c r="BE99" s="509">
        <f t="shared" si="139"/>
        <v>0</v>
      </c>
      <c r="BF99" s="509">
        <f t="shared" si="139"/>
        <v>0</v>
      </c>
      <c r="BG99" s="509">
        <f t="shared" si="139"/>
        <v>0</v>
      </c>
      <c r="BH99" s="509">
        <f t="shared" si="139"/>
        <v>0</v>
      </c>
      <c r="BI99" s="509">
        <f t="shared" si="139"/>
        <v>0</v>
      </c>
      <c r="BJ99" s="509">
        <f t="shared" si="139"/>
        <v>0</v>
      </c>
      <c r="BK99" s="509">
        <f>+AI99*($P99)</f>
        <v>68.585731940983607</v>
      </c>
      <c r="BL99" s="509">
        <f t="shared" ref="BL99:BX99" si="140">+AJ99*($P99)</f>
        <v>55.42289382660443</v>
      </c>
      <c r="BM99" s="509">
        <f t="shared" si="140"/>
        <v>48.301053084017497</v>
      </c>
      <c r="BN99" s="509">
        <f t="shared" si="140"/>
        <v>38.921861734744084</v>
      </c>
      <c r="BO99" s="509">
        <f t="shared" si="140"/>
        <v>31.12573621980787</v>
      </c>
      <c r="BP99" s="509">
        <f t="shared" si="140"/>
        <v>20.101904077407454</v>
      </c>
      <c r="BQ99" s="509">
        <f t="shared" si="140"/>
        <v>8.0077874319897546</v>
      </c>
      <c r="BR99" s="509">
        <f t="shared" si="140"/>
        <v>2.86729599242289</v>
      </c>
      <c r="BS99" s="509">
        <f t="shared" si="140"/>
        <v>2.3371052350566992</v>
      </c>
      <c r="BT99" s="509">
        <f t="shared" si="140"/>
        <v>1.5418190990073675</v>
      </c>
      <c r="BU99" s="509">
        <f t="shared" si="140"/>
        <v>0.74653296295810601</v>
      </c>
      <c r="BV99" s="509">
        <f t="shared" si="140"/>
        <v>0.21634220559186546</v>
      </c>
      <c r="BW99" s="509">
        <f t="shared" si="140"/>
        <v>0</v>
      </c>
      <c r="BX99" s="509">
        <f t="shared" si="140"/>
        <v>0</v>
      </c>
      <c r="CV99" s="320"/>
      <c r="CW99" s="320"/>
      <c r="CX99" s="320"/>
      <c r="CY99" s="320"/>
      <c r="CZ99" s="320"/>
      <c r="DA99" s="320"/>
      <c r="DB99" s="320"/>
    </row>
    <row r="100" spans="10:106" ht="15.75" x14ac:dyDescent="0.25">
      <c r="J100" s="155" t="s">
        <v>822</v>
      </c>
      <c r="K100" s="155" t="s">
        <v>792</v>
      </c>
      <c r="L100" s="554" t="s">
        <v>58</v>
      </c>
      <c r="M100" s="559" t="s">
        <v>995</v>
      </c>
      <c r="N100" s="556">
        <f t="shared" si="126"/>
        <v>107.6091233110016</v>
      </c>
      <c r="O100" s="556">
        <f t="shared" si="127"/>
        <v>256.07651205217701</v>
      </c>
      <c r="P100" s="583">
        <f t="shared" ref="P100:P103" si="141">+O100/(N100+O100)</f>
        <v>0.70411500249785086</v>
      </c>
      <c r="Q100" s="557">
        <f t="shared" ref="Q100:Q105" si="142">+SUMIFS(Q$67:Q$89,$I$67:$I$89,$J100,$M$67:$M$89,$K100)</f>
        <v>209.74608813235034</v>
      </c>
      <c r="R100" s="558">
        <f t="shared" ref="R100:V105" si="143">+SUMIFS(R$67:R$89,$I$67:$I$89,$J100,$M$67:$M$89,$K100)</f>
        <v>28.837995441575647</v>
      </c>
      <c r="S100" s="558">
        <f t="shared" si="143"/>
        <v>3.2629701010505454</v>
      </c>
      <c r="T100" s="558">
        <f t="shared" si="143"/>
        <v>69.637902700685089</v>
      </c>
      <c r="U100" s="558">
        <f t="shared" si="143"/>
        <v>14.229458377200496</v>
      </c>
      <c r="V100" s="558">
        <f t="shared" si="143"/>
        <v>154.33764380886575</v>
      </c>
      <c r="W100" s="536">
        <f t="shared" ref="W100:W105" si="144">+IF($O100=0,"-",R100/$O100)</f>
        <v>0.11261476193372918</v>
      </c>
      <c r="X100" s="536">
        <f t="shared" ref="X100:X105" si="145">+IF($O100=0,"-",S100/$O100)</f>
        <v>1.2742168638979654E-2</v>
      </c>
      <c r="Y100" s="536">
        <f t="shared" ref="Y100:Y105" si="146">+IF($O100=0,"-",T100/$O100)</f>
        <v>0.27194178076939746</v>
      </c>
      <c r="Z100" s="536">
        <f t="shared" ref="Z100:Z105" si="147">+IF($O100=0,"-",V100/$O100)</f>
        <v>0.60270128865789374</v>
      </c>
      <c r="AA100" s="538">
        <f t="shared" si="131"/>
        <v>0.20433496451438232</v>
      </c>
      <c r="AB100" s="567">
        <f t="shared" ref="AB100:AB105" si="148">+SUMIFS(AB$67:AB$89,$I$67:$I$89,$J100,$M$67:$M$89,$K100)</f>
        <v>2135.7396415784524</v>
      </c>
      <c r="AC100" s="753">
        <f t="shared" ref="AC100:AC105" si="149">+IF((N100+O100)=0,"-",AB100/(N100+O100))</f>
        <v>5.8724883083317003</v>
      </c>
      <c r="AD100" s="571">
        <f t="shared" si="132"/>
        <v>631.93331851368123</v>
      </c>
      <c r="AE100" s="572">
        <f t="shared" ref="AE100:AE112" si="150">+IF(N100=0,"-",AD100/N100)</f>
        <v>5.8724883083317012</v>
      </c>
      <c r="AF100" s="571">
        <f t="shared" ref="AF100:AF112" si="151">+AB100*(P100)</f>
        <v>1503.806323064771</v>
      </c>
      <c r="AG100" s="572">
        <f t="shared" si="133"/>
        <v>5.8724883083316994</v>
      </c>
      <c r="AH100" s="556">
        <f t="shared" ref="AH100:AH105" si="152">+SUMIFS(AH$67:AH$89,$I$67:$I$89,$J100,$M$67:$M$89,$K100)</f>
        <v>363.68563536317856</v>
      </c>
      <c r="AI100" s="556">
        <f t="shared" ref="AI100:AI104" si="153">+SUMIFS(BK$67:BK$89,$I$67:$I$89,$J100,$M$67:$M$89,$K100)</f>
        <v>363.68563536317856</v>
      </c>
      <c r="AJ100" s="556">
        <f t="shared" ref="AJ100:AJ105" si="154">+SUMIFS(BL$67:BL$89,$I$67:$I$89,$J100,$M$67:$M$89,$K100)</f>
        <v>357.03963544887284</v>
      </c>
      <c r="AK100" s="556">
        <f t="shared" ref="AK100:AK105" si="155">+SUMIFS(BM$67:BM$89,$I$67:$I$89,$J100,$M$67:$M$89,$K100)</f>
        <v>291.71333965512213</v>
      </c>
      <c r="AL100" s="556">
        <f t="shared" ref="AL100:AL105" si="156">+SUMIFS(BN$67:BN$89,$I$67:$I$89,$J100,$M$67:$M$89,$K100)</f>
        <v>219.06541620476196</v>
      </c>
      <c r="AM100" s="556">
        <f t="shared" ref="AM100:AM105" si="157">+SUMIFS(BO$67:BO$89,$I$67:$I$89,$J100,$M$67:$M$89,$K100)</f>
        <v>170.23519767765302</v>
      </c>
      <c r="AN100" s="556">
        <f t="shared" ref="AN100:AN105" si="158">+SUMIFS(BP$67:BP$89,$I$67:$I$89,$J100,$M$67:$M$89,$K100)</f>
        <v>111.95261234678644</v>
      </c>
      <c r="AO100" s="556">
        <f t="shared" ref="AO100:AO105" si="159">+SUMIFS(BQ$67:BQ$89,$I$67:$I$89,$J100,$M$67:$M$89,$K100)</f>
        <v>72.379931845519636</v>
      </c>
      <c r="AP100" s="556">
        <f t="shared" ref="AP100:AP105" si="160">+SUMIFS(BR$67:BR$89,$I$67:$I$89,$J100,$M$67:$M$89,$K100)</f>
        <v>52.2350632561674</v>
      </c>
      <c r="AQ100" s="556">
        <f t="shared" ref="AQ100:AQ105" si="161">+SUMIFS(BS$67:BS$89,$I$67:$I$89,$J100,$M$67:$M$89,$K100)</f>
        <v>39.077990841053399</v>
      </c>
      <c r="AR100" s="556">
        <f t="shared" ref="AR100:AR104" si="162">+SUMIFS(BT$67:BT$89,$I$67:$I$89,$J100,$M$67:$M$89,$K100)</f>
        <v>23.3968962245543</v>
      </c>
      <c r="AS100" s="556">
        <f t="shared" ref="AS100:AS105" si="163">+SUMIFS(BU$67:BU$89,$I$67:$I$89,$J100,$M$67:$M$89,$K100)</f>
        <v>17.354491524384926</v>
      </c>
      <c r="AT100" s="556">
        <f t="shared" ref="AT100:AT105" si="164">+SUMIFS(BV$67:BV$89,$I$67:$I$89,$J100,$M$67:$M$89,$K100)</f>
        <v>13.326221724272058</v>
      </c>
      <c r="AU100" s="556">
        <f t="shared" ref="AU100:AU105" si="165">+SUMIFS(BW$67:BW$89,$I$67:$I$89,$J100,$M$67:$M$89,$K100)</f>
        <v>10.029486407153993</v>
      </c>
      <c r="AV100" s="556">
        <f t="shared" ref="AV100:AV105" si="166">+SUMIFS(BX$67:BX$89,$I$67:$I$89,$J100,$M$67:$M$89,$K100)</f>
        <v>6.6898601086639449</v>
      </c>
      <c r="AW100" s="509">
        <f t="shared" ref="AW100:AW112" si="167">+AI100*(100%-$P100)</f>
        <v>107.60912331100161</v>
      </c>
      <c r="AX100" s="509">
        <f t="shared" si="139"/>
        <v>105.64267164295798</v>
      </c>
      <c r="AY100" s="509">
        <f t="shared" si="139"/>
        <v>86.31360077519939</v>
      </c>
      <c r="AZ100" s="509">
        <f t="shared" si="139"/>
        <v>64.818170126553255</v>
      </c>
      <c r="BA100" s="509">
        <f t="shared" si="139"/>
        <v>50.37004103963023</v>
      </c>
      <c r="BB100" s="509">
        <f t="shared" si="139"/>
        <v>33.125098424587975</v>
      </c>
      <c r="BC100" s="509">
        <f t="shared" si="139"/>
        <v>21.416135953317301</v>
      </c>
      <c r="BD100" s="509">
        <f>+AP100*(100%-$P100)</f>
        <v>15.455571561075693</v>
      </c>
      <c r="BE100" s="509">
        <f t="shared" si="139"/>
        <v>11.562591222394092</v>
      </c>
      <c r="BF100" s="509">
        <f t="shared" si="139"/>
        <v>6.9227905809602914</v>
      </c>
      <c r="BG100" s="509">
        <f t="shared" si="139"/>
        <v>5.1349336813437025</v>
      </c>
      <c r="BH100" s="509">
        <f t="shared" si="139"/>
        <v>3.9430290815993234</v>
      </c>
      <c r="BI100" s="509">
        <f t="shared" si="139"/>
        <v>2.9675745605285977</v>
      </c>
      <c r="BJ100" s="509">
        <f t="shared" si="139"/>
        <v>1.9794292415417585</v>
      </c>
      <c r="BK100" s="509">
        <f t="shared" ref="BK100:BK112" si="168">+AI100*($P100)</f>
        <v>256.07651205217695</v>
      </c>
      <c r="BL100" s="509">
        <f t="shared" ref="BL100:BL112" si="169">+AJ100*($P100)</f>
        <v>251.39696380591485</v>
      </c>
      <c r="BM100" s="509">
        <f t="shared" ref="BM100:BM112" si="170">+AK100*($P100)</f>
        <v>205.39973887992272</v>
      </c>
      <c r="BN100" s="509">
        <f t="shared" ref="BN100:BN112" si="171">+AL100*($P100)</f>
        <v>154.24724607820872</v>
      </c>
      <c r="BO100" s="509">
        <f t="shared" ref="BO100:BO112" si="172">+AM100*($P100)</f>
        <v>119.8651566380228</v>
      </c>
      <c r="BP100" s="509">
        <f t="shared" ref="BP100:BP112" si="173">+AN100*($P100)</f>
        <v>78.827513922198463</v>
      </c>
      <c r="BQ100" s="509">
        <f t="shared" ref="BQ100:BQ112" si="174">+AO100*($P100)</f>
        <v>50.963795892202334</v>
      </c>
      <c r="BR100" s="509">
        <f t="shared" ref="BR100:BR112" si="175">+AP100*($P100)</f>
        <v>36.779491695091707</v>
      </c>
      <c r="BS100" s="509">
        <f t="shared" ref="BS100:BS112" si="176">+AQ100*($P100)</f>
        <v>27.515399618659306</v>
      </c>
      <c r="BT100" s="509">
        <f t="shared" ref="BT100:BT112" si="177">+AR100*($P100)</f>
        <v>16.474105643594008</v>
      </c>
      <c r="BU100" s="509">
        <f t="shared" ref="BU100:BU112" si="178">+AS100*($P100)</f>
        <v>12.219557843041224</v>
      </c>
      <c r="BV100" s="509">
        <f t="shared" ref="BV100:BV112" si="179">+AT100*($P100)</f>
        <v>9.3831926426727339</v>
      </c>
      <c r="BW100" s="509">
        <f t="shared" ref="BW100:BW112" si="180">+AU100*($P100)</f>
        <v>7.061911846625395</v>
      </c>
      <c r="BX100" s="509">
        <f t="shared" ref="BX100:BX112" si="181">+AV100*($P100)</f>
        <v>4.7104308671221862</v>
      </c>
      <c r="CV100" s="320"/>
      <c r="CW100" s="320"/>
      <c r="CX100" s="320"/>
      <c r="CY100" s="320"/>
      <c r="CZ100" s="320"/>
      <c r="DA100" s="320"/>
      <c r="DB100" s="320"/>
    </row>
    <row r="101" spans="10:106" ht="15.75" x14ac:dyDescent="0.25">
      <c r="J101" s="155" t="s">
        <v>822</v>
      </c>
      <c r="K101" s="155" t="s">
        <v>790</v>
      </c>
      <c r="L101" s="554" t="s">
        <v>59</v>
      </c>
      <c r="M101" s="156" t="s">
        <v>996</v>
      </c>
      <c r="N101" s="556">
        <f t="shared" si="126"/>
        <v>724.65339318846713</v>
      </c>
      <c r="O101" s="556">
        <f t="shared" si="127"/>
        <v>2.0511176562165518</v>
      </c>
      <c r="P101" s="583">
        <f t="shared" si="141"/>
        <v>2.8224919834781799E-3</v>
      </c>
      <c r="Q101" s="557">
        <f t="shared" si="142"/>
        <v>0.23786180586758954</v>
      </c>
      <c r="R101" s="558">
        <f t="shared" si="143"/>
        <v>0.32681390346528633</v>
      </c>
      <c r="S101" s="558">
        <f t="shared" si="143"/>
        <v>1.2912743211024171</v>
      </c>
      <c r="T101" s="558">
        <f t="shared" si="143"/>
        <v>0.4330294316488485</v>
      </c>
      <c r="U101" s="558">
        <f t="shared" si="143"/>
        <v>0.19516762578125896</v>
      </c>
      <c r="V101" s="558">
        <f t="shared" si="143"/>
        <v>0</v>
      </c>
      <c r="W101" s="536">
        <f t="shared" si="144"/>
        <v>0.15933454742334008</v>
      </c>
      <c r="X101" s="536">
        <f t="shared" si="145"/>
        <v>0.629546685042083</v>
      </c>
      <c r="Y101" s="536">
        <f t="shared" si="146"/>
        <v>0.21111876753457692</v>
      </c>
      <c r="Z101" s="536">
        <f t="shared" si="147"/>
        <v>0</v>
      </c>
      <c r="AA101" s="538">
        <f t="shared" si="131"/>
        <v>0.4507029118970462</v>
      </c>
      <c r="AB101" s="567">
        <f t="shared" si="148"/>
        <v>6496.7121983715815</v>
      </c>
      <c r="AC101" s="753">
        <f t="shared" si="149"/>
        <v>8.9399640451111821</v>
      </c>
      <c r="AD101" s="571">
        <f t="shared" si="132"/>
        <v>6478.3752802727131</v>
      </c>
      <c r="AE101" s="572">
        <f t="shared" si="150"/>
        <v>8.9399640451111821</v>
      </c>
      <c r="AF101" s="571">
        <f t="shared" si="151"/>
        <v>18.33691809886869</v>
      </c>
      <c r="AG101" s="572">
        <f t="shared" si="133"/>
        <v>8.9399640451111804</v>
      </c>
      <c r="AH101" s="556">
        <f t="shared" si="152"/>
        <v>726.70451084468357</v>
      </c>
      <c r="AI101" s="556">
        <f t="shared" si="153"/>
        <v>726.70451084468357</v>
      </c>
      <c r="AJ101" s="556">
        <f t="shared" si="154"/>
        <v>687.86225103060212</v>
      </c>
      <c r="AK101" s="556">
        <f t="shared" si="155"/>
        <v>587.55750824736049</v>
      </c>
      <c r="AL101" s="556">
        <f t="shared" si="156"/>
        <v>494.42471335568871</v>
      </c>
      <c r="AM101" s="556">
        <f t="shared" si="157"/>
        <v>420.57125502833946</v>
      </c>
      <c r="AN101" s="556">
        <f t="shared" si="158"/>
        <v>309.7910675373156</v>
      </c>
      <c r="AO101" s="556">
        <f t="shared" si="159"/>
        <v>257.83201320744161</v>
      </c>
      <c r="AP101" s="556">
        <f t="shared" si="160"/>
        <v>218.66172919585773</v>
      </c>
      <c r="AQ101" s="556">
        <f>+SUMIFS(BS$67:BS$89,$I$67:$I$89,$J101,$M$67:$M$89,$K101)</f>
        <v>182.14935775491111</v>
      </c>
      <c r="AR101" s="556">
        <f t="shared" si="162"/>
        <v>127.3982825137665</v>
      </c>
      <c r="AS101" s="556">
        <f t="shared" si="163"/>
        <v>81.49849118140061</v>
      </c>
      <c r="AT101" s="556">
        <f t="shared" si="164"/>
        <v>70.347634082399537</v>
      </c>
      <c r="AU101" s="556">
        <f t="shared" si="165"/>
        <v>64.244040865995586</v>
      </c>
      <c r="AV101" s="556">
        <f t="shared" si="166"/>
        <v>55.088651041389411</v>
      </c>
      <c r="AW101" s="509">
        <f t="shared" si="167"/>
        <v>724.65339318846702</v>
      </c>
      <c r="AX101" s="509">
        <f t="shared" si="139"/>
        <v>685.92076534133105</v>
      </c>
      <c r="AY101" s="509">
        <f t="shared" si="139"/>
        <v>585.89913189049992</v>
      </c>
      <c r="AZ101" s="509">
        <f t="shared" si="139"/>
        <v>493.02920356580881</v>
      </c>
      <c r="BA101" s="509">
        <f t="shared" si="139"/>
        <v>419.38419603254061</v>
      </c>
      <c r="BB101" s="509">
        <f t="shared" si="139"/>
        <v>308.91668473263837</v>
      </c>
      <c r="BC101" s="509">
        <f t="shared" si="139"/>
        <v>257.10428441707955</v>
      </c>
      <c r="BD101" s="509">
        <f t="shared" si="139"/>
        <v>218.04455821810896</v>
      </c>
      <c r="BE101" s="509">
        <f t="shared" si="139"/>
        <v>181.63524265285218</v>
      </c>
      <c r="BF101" s="509">
        <f t="shared" si="139"/>
        <v>127.03870188266251</v>
      </c>
      <c r="BG101" s="509">
        <f t="shared" si="139"/>
        <v>81.268462343375546</v>
      </c>
      <c r="BH101" s="509">
        <f t="shared" si="139"/>
        <v>70.149078449145307</v>
      </c>
      <c r="BI101" s="509">
        <f t="shared" si="139"/>
        <v>64.062712575665074</v>
      </c>
      <c r="BJ101" s="509">
        <f t="shared" si="139"/>
        <v>54.933163765444462</v>
      </c>
      <c r="BK101" s="509">
        <f t="shared" si="168"/>
        <v>2.0511176562165514</v>
      </c>
      <c r="BL101" s="509">
        <f t="shared" si="169"/>
        <v>1.9414856892711299</v>
      </c>
      <c r="BM101" s="509">
        <f t="shared" si="170"/>
        <v>1.6583763568605896</v>
      </c>
      <c r="BN101" s="509">
        <f t="shared" si="171"/>
        <v>1.3955097898799282</v>
      </c>
      <c r="BO101" s="509">
        <f t="shared" si="172"/>
        <v>1.1870589957988453</v>
      </c>
      <c r="BP101" s="509">
        <f t="shared" si="173"/>
        <v>0.87438280467722063</v>
      </c>
      <c r="BQ101" s="509">
        <f t="shared" si="174"/>
        <v>0.72772879036204408</v>
      </c>
      <c r="BR101" s="509">
        <f t="shared" si="175"/>
        <v>0.61717097774878515</v>
      </c>
      <c r="BS101" s="509">
        <f t="shared" si="176"/>
        <v>0.51411510205893562</v>
      </c>
      <c r="BT101" s="509">
        <f t="shared" si="177"/>
        <v>0.35958063110399435</v>
      </c>
      <c r="BU101" s="509">
        <f t="shared" si="178"/>
        <v>0.23002883802507035</v>
      </c>
      <c r="BV101" s="509">
        <f t="shared" si="179"/>
        <v>0.19855563325422906</v>
      </c>
      <c r="BW101" s="509">
        <f t="shared" si="180"/>
        <v>0.18132829033051712</v>
      </c>
      <c r="BX101" s="509">
        <f t="shared" si="181"/>
        <v>0.15548727594494849</v>
      </c>
      <c r="CV101" s="320"/>
      <c r="CW101" s="320"/>
      <c r="CX101" s="320"/>
      <c r="CY101" s="320"/>
      <c r="CZ101" s="320"/>
      <c r="DA101" s="320"/>
      <c r="DB101" s="320"/>
    </row>
    <row r="102" spans="10:106" ht="15.75" x14ac:dyDescent="0.25">
      <c r="J102" s="155" t="s">
        <v>852</v>
      </c>
      <c r="K102" s="155" t="s">
        <v>792</v>
      </c>
      <c r="L102" s="554" t="s">
        <v>60</v>
      </c>
      <c r="M102" s="156" t="s">
        <v>997</v>
      </c>
      <c r="N102" s="556">
        <f t="shared" si="126"/>
        <v>4.3593517548323124</v>
      </c>
      <c r="O102" s="556">
        <f t="shared" si="127"/>
        <v>1.2759391450439788</v>
      </c>
      <c r="P102" s="583">
        <f t="shared" si="141"/>
        <v>0.2264193930205074</v>
      </c>
      <c r="Q102" s="557">
        <f t="shared" si="142"/>
        <v>0</v>
      </c>
      <c r="R102" s="558">
        <f t="shared" si="143"/>
        <v>0</v>
      </c>
      <c r="S102" s="558">
        <f t="shared" si="143"/>
        <v>1.2759391450439788</v>
      </c>
      <c r="T102" s="558">
        <f t="shared" si="143"/>
        <v>0</v>
      </c>
      <c r="U102" s="558">
        <f t="shared" si="143"/>
        <v>0</v>
      </c>
      <c r="V102" s="558">
        <f t="shared" si="143"/>
        <v>0</v>
      </c>
      <c r="W102" s="536">
        <f t="shared" si="144"/>
        <v>0</v>
      </c>
      <c r="X102" s="536">
        <f t="shared" si="145"/>
        <v>1</v>
      </c>
      <c r="Y102" s="536">
        <f t="shared" si="146"/>
        <v>0</v>
      </c>
      <c r="Z102" s="536">
        <f t="shared" si="147"/>
        <v>0</v>
      </c>
      <c r="AA102" s="538" t="str">
        <f t="shared" si="131"/>
        <v>-</v>
      </c>
      <c r="AB102" s="567">
        <f t="shared" si="148"/>
        <v>44.660401360000002</v>
      </c>
      <c r="AC102" s="753">
        <f t="shared" si="149"/>
        <v>7.9251279398869023</v>
      </c>
      <c r="AD102" s="571">
        <f t="shared" si="132"/>
        <v>34.54842039201656</v>
      </c>
      <c r="AE102" s="572">
        <f t="shared" si="150"/>
        <v>7.9251279398869032</v>
      </c>
      <c r="AF102" s="571">
        <f t="shared" si="151"/>
        <v>10.111980967983444</v>
      </c>
      <c r="AG102" s="572">
        <f t="shared" si="133"/>
        <v>7.9251279398869032</v>
      </c>
      <c r="AH102" s="556">
        <f t="shared" si="152"/>
        <v>5.6352908998762912</v>
      </c>
      <c r="AI102" s="556">
        <f t="shared" si="153"/>
        <v>5.6352908998762912</v>
      </c>
      <c r="AJ102" s="556">
        <f t="shared" si="154"/>
        <v>5.3251450871105153</v>
      </c>
      <c r="AK102" s="556">
        <f t="shared" si="155"/>
        <v>4.6229281525464918</v>
      </c>
      <c r="AL102" s="556">
        <f t="shared" si="156"/>
        <v>4.1547835295038089</v>
      </c>
      <c r="AM102" s="556">
        <f t="shared" si="157"/>
        <v>3.4993810572440527</v>
      </c>
      <c r="AN102" s="556">
        <f t="shared" si="158"/>
        <v>2.5162773488544192</v>
      </c>
      <c r="AO102" s="556">
        <f t="shared" si="159"/>
        <v>2.0247254946596041</v>
      </c>
      <c r="AP102" s="556">
        <f t="shared" si="160"/>
        <v>1.6970242585297266</v>
      </c>
      <c r="AQ102" s="556">
        <f t="shared" si="161"/>
        <v>1.4629519470083854</v>
      </c>
      <c r="AR102" s="556">
        <f t="shared" si="162"/>
        <v>1.1118434797263739</v>
      </c>
      <c r="AS102" s="556">
        <f t="shared" si="163"/>
        <v>0.99480732396570282</v>
      </c>
      <c r="AT102" s="556">
        <f t="shared" si="164"/>
        <v>0.9167832201252627</v>
      </c>
      <c r="AU102" s="556">
        <f t="shared" si="165"/>
        <v>0.83875911628481048</v>
      </c>
      <c r="AV102" s="556">
        <f t="shared" si="166"/>
        <v>0.72172296052414664</v>
      </c>
      <c r="AW102" s="509">
        <f t="shared" si="167"/>
        <v>4.3593517548323124</v>
      </c>
      <c r="AX102" s="509">
        <f t="shared" si="139"/>
        <v>4.1194289687408157</v>
      </c>
      <c r="AY102" s="509">
        <f t="shared" si="139"/>
        <v>3.5762075662694994</v>
      </c>
      <c r="AZ102" s="509">
        <f t="shared" si="139"/>
        <v>3.214059964621955</v>
      </c>
      <c r="BA102" s="509">
        <f t="shared" si="139"/>
        <v>2.7070533223153928</v>
      </c>
      <c r="BB102" s="509">
        <f t="shared" si="139"/>
        <v>1.9465433588555501</v>
      </c>
      <c r="BC102" s="509">
        <f t="shared" si="139"/>
        <v>1.56628837712563</v>
      </c>
      <c r="BD102" s="509">
        <f t="shared" si="139"/>
        <v>1.3127850559723493</v>
      </c>
      <c r="BE102" s="509">
        <f t="shared" si="139"/>
        <v>1.1317112551485773</v>
      </c>
      <c r="BF102" s="509">
        <f t="shared" si="139"/>
        <v>0.86010055391291951</v>
      </c>
      <c r="BG102" s="509">
        <f t="shared" si="139"/>
        <v>0.76956365350103317</v>
      </c>
      <c r="BH102" s="509">
        <f t="shared" si="139"/>
        <v>0.70920571989311454</v>
      </c>
      <c r="BI102" s="509">
        <f t="shared" si="139"/>
        <v>0.64884778628518647</v>
      </c>
      <c r="BJ102" s="509">
        <f t="shared" si="139"/>
        <v>0.55831088587330568</v>
      </c>
      <c r="BK102" s="509">
        <f t="shared" si="168"/>
        <v>1.2759391450439788</v>
      </c>
      <c r="BL102" s="509">
        <f t="shared" si="169"/>
        <v>1.2057161183696998</v>
      </c>
      <c r="BM102" s="509">
        <f t="shared" si="170"/>
        <v>1.0467205862769924</v>
      </c>
      <c r="BN102" s="509">
        <f t="shared" si="171"/>
        <v>0.94072356488185382</v>
      </c>
      <c r="BO102" s="509">
        <f t="shared" si="172"/>
        <v>0.79232773492865982</v>
      </c>
      <c r="BP102" s="509">
        <f t="shared" si="173"/>
        <v>0.56973398999886915</v>
      </c>
      <c r="BQ102" s="509">
        <f t="shared" si="174"/>
        <v>0.45843711753397415</v>
      </c>
      <c r="BR102" s="509">
        <f t="shared" si="175"/>
        <v>0.38423920255737731</v>
      </c>
      <c r="BS102" s="509">
        <f t="shared" si="176"/>
        <v>0.33124069185980815</v>
      </c>
      <c r="BT102" s="509">
        <f t="shared" si="177"/>
        <v>0.25174292581345442</v>
      </c>
      <c r="BU102" s="509">
        <f t="shared" si="178"/>
        <v>0.2252436704646697</v>
      </c>
      <c r="BV102" s="509">
        <f t="shared" si="179"/>
        <v>0.20757750023214822</v>
      </c>
      <c r="BW102" s="509">
        <f t="shared" si="180"/>
        <v>0.18991132999962398</v>
      </c>
      <c r="BX102" s="509">
        <f t="shared" si="181"/>
        <v>0.1634120746508409</v>
      </c>
      <c r="CV102" s="320"/>
      <c r="CW102" s="320"/>
      <c r="CX102" s="320"/>
      <c r="CY102" s="320"/>
      <c r="CZ102" s="320"/>
      <c r="DA102" s="320"/>
      <c r="DB102" s="320"/>
    </row>
    <row r="103" spans="10:106" ht="15.75" x14ac:dyDescent="0.25">
      <c r="J103" s="155" t="s">
        <v>817</v>
      </c>
      <c r="K103" s="155" t="s">
        <v>791</v>
      </c>
      <c r="L103" s="554" t="s">
        <v>61</v>
      </c>
      <c r="M103" s="156" t="s">
        <v>998</v>
      </c>
      <c r="N103" s="556">
        <f t="shared" si="126"/>
        <v>160.64590837999947</v>
      </c>
      <c r="O103" s="556">
        <f t="shared" si="127"/>
        <v>4.7988803578001527</v>
      </c>
      <c r="P103" s="583">
        <f t="shared" si="141"/>
        <v>2.9005932398423979E-2</v>
      </c>
      <c r="Q103" s="557">
        <f t="shared" si="142"/>
        <v>2.2768748695271519</v>
      </c>
      <c r="R103" s="558">
        <f t="shared" si="143"/>
        <v>1.7521170575840492</v>
      </c>
      <c r="S103" s="558">
        <f t="shared" si="143"/>
        <v>0.7698884306889513</v>
      </c>
      <c r="T103" s="558">
        <f t="shared" si="143"/>
        <v>1.3766222989813104</v>
      </c>
      <c r="U103" s="558">
        <f t="shared" si="143"/>
        <v>0</v>
      </c>
      <c r="V103" s="558">
        <f t="shared" si="143"/>
        <v>0.90025257054584151</v>
      </c>
      <c r="W103" s="536">
        <f t="shared" si="144"/>
        <v>0.36510955200959305</v>
      </c>
      <c r="X103" s="536">
        <f t="shared" si="145"/>
        <v>0.16043084496523574</v>
      </c>
      <c r="Y103" s="536">
        <f t="shared" si="146"/>
        <v>0.28686322565715427</v>
      </c>
      <c r="Z103" s="536">
        <f t="shared" si="147"/>
        <v>0.18759637736801693</v>
      </c>
      <c r="AA103" s="538">
        <f t="shared" si="131"/>
        <v>0</v>
      </c>
      <c r="AB103" s="567">
        <f t="shared" si="148"/>
        <v>1058.6607668001971</v>
      </c>
      <c r="AC103" s="753">
        <f t="shared" si="149"/>
        <v>6.3988764764176702</v>
      </c>
      <c r="AD103" s="571">
        <f t="shared" si="132"/>
        <v>1027.9533241655267</v>
      </c>
      <c r="AE103" s="572">
        <f t="shared" si="150"/>
        <v>6.3988764764176693</v>
      </c>
      <c r="AF103" s="571">
        <f t="shared" si="151"/>
        <v>30.707442634670208</v>
      </c>
      <c r="AG103" s="572">
        <f t="shared" si="133"/>
        <v>6.3988764764176702</v>
      </c>
      <c r="AH103" s="556">
        <f t="shared" si="152"/>
        <v>165.44478873779963</v>
      </c>
      <c r="AI103" s="556">
        <f t="shared" si="153"/>
        <v>165.44478873779963</v>
      </c>
      <c r="AJ103" s="556">
        <f t="shared" si="154"/>
        <v>153.89107121101256</v>
      </c>
      <c r="AK103" s="556">
        <f t="shared" si="155"/>
        <v>117.34515536171116</v>
      </c>
      <c r="AL103" s="556">
        <f t="shared" si="156"/>
        <v>91.230677358831571</v>
      </c>
      <c r="AM103" s="556">
        <f t="shared" si="157"/>
        <v>73.19355276753096</v>
      </c>
      <c r="AN103" s="556">
        <f t="shared" si="158"/>
        <v>46.137865880580037</v>
      </c>
      <c r="AO103" s="556">
        <f t="shared" si="159"/>
        <v>34.93812928869707</v>
      </c>
      <c r="AP103" s="556">
        <f t="shared" si="160"/>
        <v>27.471638227441758</v>
      </c>
      <c r="AQ103" s="556">
        <f t="shared" si="161"/>
        <v>23.215461459279428</v>
      </c>
      <c r="AR103" s="556">
        <f t="shared" si="162"/>
        <v>16.831196307035714</v>
      </c>
      <c r="AS103" s="556">
        <f t="shared" si="163"/>
        <v>12.14520015893914</v>
      </c>
      <c r="AT103" s="556">
        <f t="shared" si="164"/>
        <v>9.7568222406346106</v>
      </c>
      <c r="AU103" s="556">
        <f t="shared" si="165"/>
        <v>7.7567559465187346</v>
      </c>
      <c r="AV103" s="556">
        <f t="shared" si="166"/>
        <v>5.7455960840757854</v>
      </c>
      <c r="AW103" s="509">
        <f t="shared" si="167"/>
        <v>160.64590837999947</v>
      </c>
      <c r="AX103" s="509">
        <f t="shared" si="139"/>
        <v>149.42731720274489</v>
      </c>
      <c r="AY103" s="509">
        <f t="shared" si="139"/>
        <v>113.94144971800681</v>
      </c>
      <c r="AZ103" s="509">
        <f t="shared" si="139"/>
        <v>88.584446498698867</v>
      </c>
      <c r="BA103" s="509">
        <f t="shared" si="139"/>
        <v>71.070505523955475</v>
      </c>
      <c r="BB103" s="509">
        <f t="shared" si="139"/>
        <v>44.799594061840381</v>
      </c>
      <c r="BC103" s="509">
        <f t="shared" si="139"/>
        <v>33.924716272421726</v>
      </c>
      <c r="BD103" s="509">
        <f t="shared" si="139"/>
        <v>26.674797746142623</v>
      </c>
      <c r="BE103" s="509">
        <f t="shared" si="139"/>
        <v>22.542075353593351</v>
      </c>
      <c r="BF103" s="509">
        <f t="shared" si="139"/>
        <v>16.342991764769234</v>
      </c>
      <c r="BG103" s="509">
        <f t="shared" si="139"/>
        <v>11.792917304163623</v>
      </c>
      <c r="BH103" s="509">
        <f t="shared" si="139"/>
        <v>9.4738165142993243</v>
      </c>
      <c r="BI103" s="509">
        <f t="shared" si="139"/>
        <v>7.5317640079029387</v>
      </c>
      <c r="BJ103" s="509">
        <f t="shared" si="139"/>
        <v>5.578939712472434</v>
      </c>
      <c r="BK103" s="509">
        <f t="shared" si="168"/>
        <v>4.7988803578001527</v>
      </c>
      <c r="BL103" s="509">
        <f t="shared" si="169"/>
        <v>4.4637540082676805</v>
      </c>
      <c r="BM103" s="509">
        <f t="shared" si="170"/>
        <v>3.4037056437043534</v>
      </c>
      <c r="BN103" s="509">
        <f t="shared" si="171"/>
        <v>2.6462308601326976</v>
      </c>
      <c r="BO103" s="509">
        <f t="shared" si="172"/>
        <v>2.1230472435754812</v>
      </c>
      <c r="BP103" s="509">
        <f t="shared" si="173"/>
        <v>1.3382718187396567</v>
      </c>
      <c r="BQ103" s="509">
        <f t="shared" si="174"/>
        <v>1.0134130162753441</v>
      </c>
      <c r="BR103" s="509">
        <f t="shared" si="175"/>
        <v>0.79684048129913565</v>
      </c>
      <c r="BS103" s="509">
        <f t="shared" si="176"/>
        <v>0.67338610568607637</v>
      </c>
      <c r="BT103" s="509">
        <f t="shared" si="177"/>
        <v>0.48820454226648125</v>
      </c>
      <c r="BU103" s="509">
        <f t="shared" si="178"/>
        <v>0.35228285477551685</v>
      </c>
      <c r="BV103" s="509">
        <f t="shared" si="179"/>
        <v>0.28300572633528709</v>
      </c>
      <c r="BW103" s="509">
        <f t="shared" si="180"/>
        <v>0.22499193861579561</v>
      </c>
      <c r="BX103" s="509">
        <f t="shared" si="181"/>
        <v>0.16665637160335178</v>
      </c>
      <c r="CV103" s="320"/>
      <c r="CW103" s="320"/>
      <c r="CX103" s="320"/>
      <c r="CY103" s="320"/>
      <c r="CZ103" s="320"/>
      <c r="DA103" s="320"/>
      <c r="DB103" s="320"/>
    </row>
    <row r="104" spans="10:106" ht="15.75" x14ac:dyDescent="0.25">
      <c r="J104" s="155" t="s">
        <v>830</v>
      </c>
      <c r="K104" s="155" t="s">
        <v>791</v>
      </c>
      <c r="L104" s="554" t="s">
        <v>62</v>
      </c>
      <c r="M104" s="559" t="s">
        <v>999</v>
      </c>
      <c r="N104" s="556">
        <f t="shared" si="126"/>
        <v>28.394686542809108</v>
      </c>
      <c r="O104" s="556">
        <f t="shared" si="127"/>
        <v>1.4684920173037528</v>
      </c>
      <c r="P104" s="583">
        <f>+O104/(N104+O104)</f>
        <v>4.9174002504380532E-2</v>
      </c>
      <c r="Q104" s="557">
        <f t="shared" si="142"/>
        <v>0.61987830491387741</v>
      </c>
      <c r="R104" s="558">
        <f t="shared" si="143"/>
        <v>0.20575788232194489</v>
      </c>
      <c r="S104" s="558">
        <f t="shared" si="143"/>
        <v>0.24158707246769739</v>
      </c>
      <c r="T104" s="558">
        <f t="shared" si="143"/>
        <v>1.0198649246869729</v>
      </c>
      <c r="U104" s="558">
        <f t="shared" si="143"/>
        <v>0.40126875760023273</v>
      </c>
      <c r="V104" s="558">
        <f t="shared" si="143"/>
        <v>1.2821378271373829E-3</v>
      </c>
      <c r="W104" s="536">
        <f t="shared" si="144"/>
        <v>0.14011508397555322</v>
      </c>
      <c r="X104" s="536">
        <f t="shared" si="145"/>
        <v>0.16451371176757706</v>
      </c>
      <c r="Y104" s="536">
        <f t="shared" si="146"/>
        <v>0.69449810599550377</v>
      </c>
      <c r="Z104" s="536">
        <f t="shared" si="147"/>
        <v>8.7309826136574556E-4</v>
      </c>
      <c r="AA104" s="538">
        <f t="shared" si="131"/>
        <v>0.39345284643786937</v>
      </c>
      <c r="AB104" s="567">
        <f t="shared" si="148"/>
        <v>283.33235609852005</v>
      </c>
      <c r="AC104" s="753">
        <f t="shared" si="149"/>
        <v>9.4876824825658908</v>
      </c>
      <c r="AD104" s="571">
        <f>+AB104*(100%-P104)</f>
        <v>269.39977011015941</v>
      </c>
      <c r="AE104" s="572">
        <f t="shared" si="150"/>
        <v>9.4876824825658908</v>
      </c>
      <c r="AF104" s="571">
        <f t="shared" si="151"/>
        <v>13.932585988360662</v>
      </c>
      <c r="AG104" s="572">
        <f t="shared" si="133"/>
        <v>9.4876824825658908</v>
      </c>
      <c r="AH104" s="556">
        <f t="shared" si="152"/>
        <v>29.863178560112861</v>
      </c>
      <c r="AI104" s="556">
        <f t="shared" si="153"/>
        <v>29.863178560112861</v>
      </c>
      <c r="AJ104" s="556">
        <f t="shared" si="154"/>
        <v>27.835107673690871</v>
      </c>
      <c r="AK104" s="556">
        <f t="shared" si="155"/>
        <v>23.993658119029163</v>
      </c>
      <c r="AL104" s="556">
        <f t="shared" si="156"/>
        <v>20.274712206938659</v>
      </c>
      <c r="AM104" s="556">
        <f t="shared" si="157"/>
        <v>17.1777557482433</v>
      </c>
      <c r="AN104" s="556">
        <f t="shared" si="158"/>
        <v>12.747595139993381</v>
      </c>
      <c r="AO104" s="556">
        <f t="shared" si="159"/>
        <v>10.454848192395344</v>
      </c>
      <c r="AP104" s="556">
        <f t="shared" si="160"/>
        <v>8.9263502273299657</v>
      </c>
      <c r="AQ104" s="556">
        <f t="shared" si="161"/>
        <v>7.8276051073700268</v>
      </c>
      <c r="AR104" s="556">
        <f t="shared" si="162"/>
        <v>6.2430911328234622</v>
      </c>
      <c r="AS104" s="556">
        <f t="shared" si="163"/>
        <v>4.9217966700768256</v>
      </c>
      <c r="AT104" s="556">
        <f t="shared" si="164"/>
        <v>4.3266071106673554</v>
      </c>
      <c r="AU104" s="556">
        <f t="shared" si="165"/>
        <v>3.9981896052775259</v>
      </c>
      <c r="AV104" s="556">
        <f t="shared" si="166"/>
        <v>3.5055633471927838</v>
      </c>
      <c r="AW104" s="509">
        <f>+AI104*(100%-$P104)</f>
        <v>28.394686542809108</v>
      </c>
      <c r="AX104" s="509">
        <f t="shared" si="139"/>
        <v>26.466344019235095</v>
      </c>
      <c r="AY104" s="509">
        <f t="shared" si="139"/>
        <v>22.813793914594772</v>
      </c>
      <c r="AZ104" s="509">
        <f t="shared" si="139"/>
        <v>19.277723458099064</v>
      </c>
      <c r="BA104" s="509">
        <f t="shared" si="139"/>
        <v>16.333056744059547</v>
      </c>
      <c r="BB104" s="509">
        <f t="shared" si="139"/>
        <v>12.120744864654517</v>
      </c>
      <c r="BC104" s="509">
        <f t="shared" si="139"/>
        <v>9.9407414611995772</v>
      </c>
      <c r="BD104" s="509">
        <f t="shared" si="139"/>
        <v>8.4874058588962651</v>
      </c>
      <c r="BE104" s="509">
        <f t="shared" si="139"/>
        <v>7.4426904342169111</v>
      </c>
      <c r="BF104" s="509">
        <f t="shared" si="139"/>
        <v>5.9360933538229252</v>
      </c>
      <c r="BG104" s="509">
        <f t="shared" si="139"/>
        <v>4.6797722282964163</v>
      </c>
      <c r="BH104" s="509">
        <f t="shared" si="139"/>
        <v>4.1138505217719281</v>
      </c>
      <c r="BI104" s="509">
        <f t="shared" si="139"/>
        <v>3.8015826196146207</v>
      </c>
      <c r="BJ104" s="509">
        <f t="shared" si="139"/>
        <v>3.3331807663786615</v>
      </c>
      <c r="BK104" s="509">
        <f t="shared" si="168"/>
        <v>1.4684920173037528</v>
      </c>
      <c r="BL104" s="509">
        <f t="shared" si="169"/>
        <v>1.3687636544557766</v>
      </c>
      <c r="BM104" s="509">
        <f t="shared" si="170"/>
        <v>1.1798642044343903</v>
      </c>
      <c r="BN104" s="509">
        <f t="shared" si="171"/>
        <v>0.99698874883959621</v>
      </c>
      <c r="BO104" s="509">
        <f t="shared" si="172"/>
        <v>0.8446990041837531</v>
      </c>
      <c r="BP104" s="509">
        <f t="shared" si="173"/>
        <v>0.62685027533886362</v>
      </c>
      <c r="BQ104" s="509">
        <f t="shared" si="174"/>
        <v>0.51410673119576689</v>
      </c>
      <c r="BR104" s="509">
        <f t="shared" si="175"/>
        <v>0.43894436843370144</v>
      </c>
      <c r="BS104" s="509">
        <f t="shared" si="176"/>
        <v>0.38491467315311556</v>
      </c>
      <c r="BT104" s="509">
        <f t="shared" si="177"/>
        <v>0.30699777900053682</v>
      </c>
      <c r="BU104" s="509">
        <f t="shared" si="178"/>
        <v>0.24202444178040958</v>
      </c>
      <c r="BV104" s="509">
        <f t="shared" si="179"/>
        <v>0.21275658889542715</v>
      </c>
      <c r="BW104" s="509">
        <f t="shared" si="180"/>
        <v>0.19660698566290527</v>
      </c>
      <c r="BX104" s="509">
        <f t="shared" si="181"/>
        <v>0.17238258081412255</v>
      </c>
      <c r="CV104" s="320"/>
      <c r="CW104" s="320"/>
      <c r="CX104" s="320"/>
      <c r="CY104" s="320"/>
      <c r="CZ104" s="320"/>
      <c r="DA104" s="320"/>
      <c r="DB104" s="320"/>
    </row>
    <row r="105" spans="10:106" ht="15.75" x14ac:dyDescent="0.25">
      <c r="J105" s="155" t="s">
        <v>1111</v>
      </c>
      <c r="K105" s="155" t="s">
        <v>987</v>
      </c>
      <c r="L105" s="554" t="s">
        <v>63</v>
      </c>
      <c r="M105" s="559" t="s">
        <v>1161</v>
      </c>
      <c r="N105" s="556">
        <f t="shared" si="126"/>
        <v>7.4922948422413441E-2</v>
      </c>
      <c r="O105" s="556">
        <f t="shared" si="127"/>
        <v>13.730938960633223</v>
      </c>
      <c r="P105" s="583">
        <f>+O105/(N105+O105)</f>
        <v>0.99457310605335914</v>
      </c>
      <c r="Q105" s="557">
        <f t="shared" si="142"/>
        <v>13.465657577297089</v>
      </c>
      <c r="R105" s="558">
        <f t="shared" si="143"/>
        <v>2.2906856139958444E-2</v>
      </c>
      <c r="S105" s="558">
        <f t="shared" si="143"/>
        <v>0.24237452719617553</v>
      </c>
      <c r="T105" s="558">
        <f t="shared" si="143"/>
        <v>0</v>
      </c>
      <c r="U105" s="558">
        <f t="shared" si="143"/>
        <v>0</v>
      </c>
      <c r="V105" s="558">
        <f t="shared" si="143"/>
        <v>13.465657577297089</v>
      </c>
      <c r="W105" s="536">
        <f t="shared" si="144"/>
        <v>1.6682658196670085E-3</v>
      </c>
      <c r="X105" s="536">
        <f t="shared" si="145"/>
        <v>1.7651708152739327E-2</v>
      </c>
      <c r="Y105" s="536">
        <f t="shared" si="146"/>
        <v>0</v>
      </c>
      <c r="Z105" s="536">
        <f t="shared" si="147"/>
        <v>0.98068002602759363</v>
      </c>
      <c r="AA105" s="538" t="str">
        <f t="shared" si="131"/>
        <v>-</v>
      </c>
      <c r="AB105" s="567">
        <f t="shared" si="148"/>
        <v>157.75252398843665</v>
      </c>
      <c r="AC105" s="753">
        <f t="shared" si="149"/>
        <v>11.426488619661082</v>
      </c>
      <c r="AD105" s="571">
        <f>+AB105*(100%-P105)</f>
        <v>0.85610621750016469</v>
      </c>
      <c r="AE105" s="572">
        <f t="shared" si="150"/>
        <v>11.426488619661127</v>
      </c>
      <c r="AF105" s="571">
        <f t="shared" si="151"/>
        <v>156.89641777093649</v>
      </c>
      <c r="AG105" s="572">
        <f t="shared" si="133"/>
        <v>11.426488619661082</v>
      </c>
      <c r="AH105" s="556">
        <f t="shared" si="152"/>
        <v>13.805861909055636</v>
      </c>
      <c r="AI105" s="556">
        <f>+SUMIFS(BK$67:BK$89,$I$67:$I$89,$J105,$M$67:$M$89,$K105)</f>
        <v>13.805861909055636</v>
      </c>
      <c r="AJ105" s="556">
        <f t="shared" si="154"/>
        <v>13.555017760421741</v>
      </c>
      <c r="AK105" s="556">
        <f t="shared" si="155"/>
        <v>13.580367821962039</v>
      </c>
      <c r="AL105" s="556">
        <f t="shared" si="156"/>
        <v>11.513307662146612</v>
      </c>
      <c r="AM105" s="556">
        <f t="shared" si="157"/>
        <v>9.8123614879947141</v>
      </c>
      <c r="AN105" s="556">
        <f t="shared" si="158"/>
        <v>7.6975094726589486</v>
      </c>
      <c r="AO105" s="556">
        <f t="shared" si="159"/>
        <v>6.213889795624481</v>
      </c>
      <c r="AP105" s="556">
        <f t="shared" si="160"/>
        <v>5.3187837596252985</v>
      </c>
      <c r="AQ105" s="556">
        <f t="shared" si="161"/>
        <v>4.5635467610294596</v>
      </c>
      <c r="AR105" s="556">
        <f>+SUMIFS(BT$67:BT$89,$I$67:$I$89,$J105,$M$67:$M$89,$K105)</f>
        <v>3.6682050453013875</v>
      </c>
      <c r="AS105" s="556">
        <f t="shared" si="163"/>
        <v>2.8293262902704885</v>
      </c>
      <c r="AT105" s="556">
        <f t="shared" si="164"/>
        <v>2.286975390331242</v>
      </c>
      <c r="AU105" s="556">
        <f t="shared" si="165"/>
        <v>1.7612347432495417</v>
      </c>
      <c r="AV105" s="556">
        <f t="shared" si="166"/>
        <v>0.97262377262695476</v>
      </c>
      <c r="AW105" s="509">
        <f t="shared" si="167"/>
        <v>7.4922948422413732E-2</v>
      </c>
      <c r="AX105" s="509">
        <f t="shared" si="139"/>
        <v>7.3561643830642162E-2</v>
      </c>
      <c r="AY105" s="509">
        <f t="shared" si="139"/>
        <v>7.3699215926162173E-2</v>
      </c>
      <c r="AZ105" s="509">
        <f t="shared" si="139"/>
        <v>6.2481499657517342E-2</v>
      </c>
      <c r="BA105" s="509">
        <f t="shared" si="139"/>
        <v>5.3250645161450463E-2</v>
      </c>
      <c r="BB105" s="509">
        <f t="shared" si="139"/>
        <v>4.1773567561383562E-2</v>
      </c>
      <c r="BC105" s="509">
        <f t="shared" si="139"/>
        <v>3.372212091696794E-2</v>
      </c>
      <c r="BD105" s="509">
        <f t="shared" si="139"/>
        <v>2.8864475388602272E-2</v>
      </c>
      <c r="BE105" s="509">
        <f t="shared" si="139"/>
        <v>2.47658842926433E-2</v>
      </c>
      <c r="BF105" s="509">
        <f t="shared" si="139"/>
        <v>1.990695975538358E-2</v>
      </c>
      <c r="BG105" s="509">
        <f t="shared" si="139"/>
        <v>1.5354453717740768E-2</v>
      </c>
      <c r="BH105" s="509">
        <f t="shared" si="139"/>
        <v>1.2411172901905246E-2</v>
      </c>
      <c r="BI105" s="509">
        <f t="shared" si="139"/>
        <v>9.5580341667545164E-3</v>
      </c>
      <c r="BJ105" s="509">
        <f t="shared" si="139"/>
        <v>5.2783260640282218E-3</v>
      </c>
      <c r="BK105" s="509">
        <f t="shared" si="168"/>
        <v>13.730938960633223</v>
      </c>
      <c r="BL105" s="509">
        <f t="shared" si="169"/>
        <v>13.481456116591099</v>
      </c>
      <c r="BM105" s="509">
        <f t="shared" si="170"/>
        <v>13.506668606035877</v>
      </c>
      <c r="BN105" s="509">
        <f t="shared" si="171"/>
        <v>11.450826162489095</v>
      </c>
      <c r="BO105" s="509">
        <f t="shared" si="172"/>
        <v>9.7591108428332642</v>
      </c>
      <c r="BP105" s="509">
        <f t="shared" si="173"/>
        <v>7.6557359050975649</v>
      </c>
      <c r="BQ105" s="509">
        <f t="shared" si="174"/>
        <v>6.1801676747075129</v>
      </c>
      <c r="BR105" s="509">
        <f t="shared" si="175"/>
        <v>5.2899192842366958</v>
      </c>
      <c r="BS105" s="509">
        <f t="shared" si="176"/>
        <v>4.5387808767368165</v>
      </c>
      <c r="BT105" s="509">
        <f t="shared" si="177"/>
        <v>3.6482980855460041</v>
      </c>
      <c r="BU105" s="509">
        <f t="shared" si="178"/>
        <v>2.813971836552748</v>
      </c>
      <c r="BV105" s="509">
        <f t="shared" si="179"/>
        <v>2.2745642174293366</v>
      </c>
      <c r="BW105" s="509">
        <f t="shared" si="180"/>
        <v>1.7516767090827872</v>
      </c>
      <c r="BX105" s="509">
        <f t="shared" si="181"/>
        <v>0.96734544656292654</v>
      </c>
      <c r="CV105" s="320"/>
      <c r="CW105" s="320"/>
      <c r="CX105" s="320"/>
      <c r="CY105" s="320"/>
      <c r="CZ105" s="320"/>
      <c r="DA105" s="320"/>
      <c r="DB105" s="320"/>
    </row>
    <row r="106" spans="10:106" ht="15.75" x14ac:dyDescent="0.25">
      <c r="J106" s="155" t="s">
        <v>822</v>
      </c>
      <c r="K106" s="155" t="s">
        <v>791</v>
      </c>
      <c r="L106" s="554" t="s">
        <v>994</v>
      </c>
      <c r="M106" s="155"/>
      <c r="N106" s="556">
        <f t="shared" ref="N106:V112" si="182">+SUMIFS(N$67:N$86,$I$67:$I$86,$J106,$M$67:$M$86,$K106)</f>
        <v>0</v>
      </c>
      <c r="O106" s="556">
        <f t="shared" si="182"/>
        <v>0</v>
      </c>
      <c r="P106" s="557">
        <f t="shared" si="182"/>
        <v>0</v>
      </c>
      <c r="Q106" s="557">
        <f t="shared" si="182"/>
        <v>0</v>
      </c>
      <c r="R106" s="558">
        <f t="shared" si="182"/>
        <v>0</v>
      </c>
      <c r="S106" s="558">
        <f t="shared" si="182"/>
        <v>0</v>
      </c>
      <c r="T106" s="558">
        <f t="shared" si="182"/>
        <v>0</v>
      </c>
      <c r="U106" s="558">
        <f t="shared" si="182"/>
        <v>0</v>
      </c>
      <c r="V106" s="558">
        <f t="shared" si="182"/>
        <v>0</v>
      </c>
      <c r="W106" s="536" t="str">
        <f t="shared" ref="W106:W112" si="183">+IF($O106=0,"-",R106/$O106)</f>
        <v>-</v>
      </c>
      <c r="X106" s="536" t="str">
        <f t="shared" si="129"/>
        <v>-</v>
      </c>
      <c r="Y106" s="536" t="str">
        <f t="shared" ref="Y106:Y112" si="184">+IF($O106=0,"-",T106/$O106)</f>
        <v>-</v>
      </c>
      <c r="Z106" s="536" t="str">
        <f t="shared" si="130"/>
        <v>-</v>
      </c>
      <c r="AA106" s="538" t="str">
        <f t="shared" si="131"/>
        <v>-</v>
      </c>
      <c r="AB106" s="567">
        <f t="shared" ref="AB106:AC112" si="185">+SUMIFS(AB$67:AB$86,$I$67:$I$86,$J106,$M$67:$M$86,$K106)</f>
        <v>0</v>
      </c>
      <c r="AC106" s="567">
        <f t="shared" si="185"/>
        <v>0</v>
      </c>
      <c r="AD106" s="572">
        <f t="shared" si="132"/>
        <v>0</v>
      </c>
      <c r="AE106" s="584" t="str">
        <f t="shared" si="150"/>
        <v>-</v>
      </c>
      <c r="AF106" s="572">
        <f t="shared" si="151"/>
        <v>0</v>
      </c>
      <c r="AG106" s="584" t="str">
        <f t="shared" ref="AG106:AG112" si="186">+IF(P106=0,"-",AF106/P106)</f>
        <v>-</v>
      </c>
      <c r="AH106" s="556">
        <f t="shared" ref="AH106:AH112" si="187">+SUMIFS(AH$67:AH$86,$I$67:$I$86,$J106,$M$67:$M$86,$K106)</f>
        <v>0</v>
      </c>
      <c r="AI106" s="556">
        <f t="shared" ref="AI106:AI112" si="188">+SUMIFS(BK$67:BK$86,$I$67:$I$86,$J106,$M$67:$M$86,$K106)</f>
        <v>0</v>
      </c>
      <c r="AJ106" s="556">
        <f t="shared" ref="AJ106:AJ112" si="189">+SUMIFS(BL$67:BL$86,$I$67:$I$86,$J106,$M$67:$M$86,$K106)</f>
        <v>0</v>
      </c>
      <c r="AK106" s="556">
        <f t="shared" ref="AK106:AK112" si="190">+SUMIFS(BM$67:BM$86,$I$67:$I$86,$J106,$M$67:$M$86,$K106)</f>
        <v>0</v>
      </c>
      <c r="AL106" s="556">
        <f t="shared" ref="AL106:AL112" si="191">+SUMIFS(BN$67:BN$86,$I$67:$I$86,$J106,$M$67:$M$86,$K106)</f>
        <v>0</v>
      </c>
      <c r="AM106" s="556">
        <f t="shared" ref="AM106:AM112" si="192">+SUMIFS(BO$67:BO$86,$I$67:$I$86,$J106,$M$67:$M$86,$K106)</f>
        <v>0</v>
      </c>
      <c r="AN106" s="556">
        <f t="shared" ref="AN106:AN112" si="193">+SUMIFS(BP$67:BP$86,$I$67:$I$86,$J106,$M$67:$M$86,$K106)</f>
        <v>0</v>
      </c>
      <c r="AO106" s="556">
        <f t="shared" ref="AO106:AO112" si="194">+SUMIFS(BQ$67:BQ$86,$I$67:$I$86,$J106,$M$67:$M$86,$K106)</f>
        <v>0</v>
      </c>
      <c r="AP106" s="556">
        <f t="shared" ref="AP106:AP112" si="195">+SUMIFS(BR$67:BR$86,$I$67:$I$86,$J106,$M$67:$M$86,$K106)</f>
        <v>0</v>
      </c>
      <c r="AQ106" s="556">
        <f t="shared" ref="AQ106:AQ112" si="196">+SUMIFS(BS$67:BS$86,$I$67:$I$86,$J106,$M$67:$M$86,$K106)</f>
        <v>0</v>
      </c>
      <c r="AR106" s="556">
        <f t="shared" ref="AR106:AR112" si="197">+SUMIFS(BT$67:BT$86,$I$67:$I$86,$J106,$M$67:$M$86,$K106)</f>
        <v>0</v>
      </c>
      <c r="AS106" s="556">
        <f t="shared" ref="AS106:AS112" si="198">+SUMIFS(BU$67:BU$86,$I$67:$I$86,$J106,$M$67:$M$86,$K106)</f>
        <v>0</v>
      </c>
      <c r="AT106" s="556">
        <f t="shared" ref="AT106:AT112" si="199">+SUMIFS(BV$67:BV$86,$I$67:$I$86,$J106,$M$67:$M$86,$K106)</f>
        <v>0</v>
      </c>
      <c r="AU106" s="556">
        <f t="shared" ref="AU106:AU112" si="200">+SUMIFS(BW$67:BW$86,$I$67:$I$86,$J106,$M$67:$M$86,$K106)</f>
        <v>0</v>
      </c>
      <c r="AV106" s="556">
        <f t="shared" ref="AV106:AV112" si="201">+SUMIFS(BX$67:BX$86,$I$67:$I$86,$J106,$M$67:$M$86,$K106)</f>
        <v>0</v>
      </c>
      <c r="AW106" s="509">
        <f t="shared" si="167"/>
        <v>0</v>
      </c>
      <c r="AX106" s="509">
        <f t="shared" si="139"/>
        <v>0</v>
      </c>
      <c r="AY106" s="509">
        <f t="shared" si="139"/>
        <v>0</v>
      </c>
      <c r="AZ106" s="509">
        <f t="shared" si="139"/>
        <v>0</v>
      </c>
      <c r="BA106" s="509">
        <f t="shared" si="139"/>
        <v>0</v>
      </c>
      <c r="BB106" s="509">
        <f t="shared" si="139"/>
        <v>0</v>
      </c>
      <c r="BC106" s="509">
        <f t="shared" si="139"/>
        <v>0</v>
      </c>
      <c r="BD106" s="509">
        <f t="shared" si="139"/>
        <v>0</v>
      </c>
      <c r="BE106" s="509">
        <f t="shared" si="139"/>
        <v>0</v>
      </c>
      <c r="BF106" s="509">
        <f t="shared" si="139"/>
        <v>0</v>
      </c>
      <c r="BG106" s="509">
        <f t="shared" si="139"/>
        <v>0</v>
      </c>
      <c r="BH106" s="509">
        <f t="shared" si="139"/>
        <v>0</v>
      </c>
      <c r="BI106" s="509">
        <f t="shared" si="139"/>
        <v>0</v>
      </c>
      <c r="BJ106" s="509">
        <f t="shared" si="139"/>
        <v>0</v>
      </c>
      <c r="BK106" s="509">
        <f t="shared" si="168"/>
        <v>0</v>
      </c>
      <c r="BL106" s="509">
        <f t="shared" si="169"/>
        <v>0</v>
      </c>
      <c r="BM106" s="509">
        <f t="shared" si="170"/>
        <v>0</v>
      </c>
      <c r="BN106" s="509">
        <f t="shared" si="171"/>
        <v>0</v>
      </c>
      <c r="BO106" s="509">
        <f t="shared" si="172"/>
        <v>0</v>
      </c>
      <c r="BP106" s="509">
        <f t="shared" si="173"/>
        <v>0</v>
      </c>
      <c r="BQ106" s="509">
        <f t="shared" si="174"/>
        <v>0</v>
      </c>
      <c r="BR106" s="509">
        <f t="shared" si="175"/>
        <v>0</v>
      </c>
      <c r="BS106" s="509">
        <f t="shared" si="176"/>
        <v>0</v>
      </c>
      <c r="BT106" s="509">
        <f t="shared" si="177"/>
        <v>0</v>
      </c>
      <c r="BU106" s="509">
        <f t="shared" si="178"/>
        <v>0</v>
      </c>
      <c r="BV106" s="509">
        <f t="shared" si="179"/>
        <v>0</v>
      </c>
      <c r="BW106" s="509">
        <f t="shared" si="180"/>
        <v>0</v>
      </c>
      <c r="BX106" s="509">
        <f t="shared" si="181"/>
        <v>0</v>
      </c>
      <c r="CV106" s="320"/>
      <c r="CW106" s="320"/>
      <c r="CX106" s="320"/>
      <c r="CY106" s="320"/>
      <c r="CZ106" s="320"/>
      <c r="DA106" s="320"/>
      <c r="DB106" s="320"/>
    </row>
    <row r="107" spans="10:106" ht="15.75" x14ac:dyDescent="0.25">
      <c r="J107" s="155" t="s">
        <v>852</v>
      </c>
      <c r="K107" s="155" t="s">
        <v>791</v>
      </c>
      <c r="L107" s="554" t="s">
        <v>994</v>
      </c>
      <c r="M107" s="155"/>
      <c r="N107" s="556">
        <f t="shared" si="182"/>
        <v>0</v>
      </c>
      <c r="O107" s="556">
        <f t="shared" si="182"/>
        <v>0</v>
      </c>
      <c r="P107" s="557">
        <f t="shared" si="182"/>
        <v>0</v>
      </c>
      <c r="Q107" s="557">
        <f t="shared" si="182"/>
        <v>0</v>
      </c>
      <c r="R107" s="558">
        <f t="shared" si="182"/>
        <v>0</v>
      </c>
      <c r="S107" s="558">
        <f t="shared" si="182"/>
        <v>0</v>
      </c>
      <c r="T107" s="558">
        <f t="shared" si="182"/>
        <v>0</v>
      </c>
      <c r="U107" s="558">
        <f t="shared" si="182"/>
        <v>0</v>
      </c>
      <c r="V107" s="558">
        <f t="shared" si="182"/>
        <v>0</v>
      </c>
      <c r="W107" s="536" t="str">
        <f t="shared" si="183"/>
        <v>-</v>
      </c>
      <c r="X107" s="536" t="str">
        <f t="shared" si="129"/>
        <v>-</v>
      </c>
      <c r="Y107" s="536" t="str">
        <f t="shared" si="184"/>
        <v>-</v>
      </c>
      <c r="Z107" s="536" t="str">
        <f t="shared" si="130"/>
        <v>-</v>
      </c>
      <c r="AA107" s="538" t="str">
        <f t="shared" si="131"/>
        <v>-</v>
      </c>
      <c r="AB107" s="567">
        <f t="shared" si="185"/>
        <v>0</v>
      </c>
      <c r="AC107" s="567">
        <f t="shared" si="185"/>
        <v>0</v>
      </c>
      <c r="AD107" s="572">
        <f t="shared" si="132"/>
        <v>0</v>
      </c>
      <c r="AE107" s="584" t="str">
        <f t="shared" si="150"/>
        <v>-</v>
      </c>
      <c r="AF107" s="572">
        <f t="shared" si="151"/>
        <v>0</v>
      </c>
      <c r="AG107" s="584" t="str">
        <f t="shared" si="186"/>
        <v>-</v>
      </c>
      <c r="AH107" s="556">
        <f t="shared" si="187"/>
        <v>0</v>
      </c>
      <c r="AI107" s="556">
        <f t="shared" si="188"/>
        <v>0</v>
      </c>
      <c r="AJ107" s="556">
        <f t="shared" si="189"/>
        <v>0</v>
      </c>
      <c r="AK107" s="556">
        <f t="shared" si="190"/>
        <v>0</v>
      </c>
      <c r="AL107" s="556">
        <f t="shared" si="191"/>
        <v>0</v>
      </c>
      <c r="AM107" s="556">
        <f t="shared" si="192"/>
        <v>0</v>
      </c>
      <c r="AN107" s="556">
        <f t="shared" si="193"/>
        <v>0</v>
      </c>
      <c r="AO107" s="556">
        <f t="shared" si="194"/>
        <v>0</v>
      </c>
      <c r="AP107" s="556">
        <f t="shared" si="195"/>
        <v>0</v>
      </c>
      <c r="AQ107" s="556">
        <f t="shared" si="196"/>
        <v>0</v>
      </c>
      <c r="AR107" s="556">
        <f t="shared" si="197"/>
        <v>0</v>
      </c>
      <c r="AS107" s="556">
        <f t="shared" si="198"/>
        <v>0</v>
      </c>
      <c r="AT107" s="556">
        <f t="shared" si="199"/>
        <v>0</v>
      </c>
      <c r="AU107" s="556">
        <f t="shared" si="200"/>
        <v>0</v>
      </c>
      <c r="AV107" s="556">
        <f t="shared" si="201"/>
        <v>0</v>
      </c>
      <c r="AW107" s="509">
        <f t="shared" si="167"/>
        <v>0</v>
      </c>
      <c r="AX107" s="509">
        <f t="shared" si="139"/>
        <v>0</v>
      </c>
      <c r="AY107" s="509">
        <f t="shared" si="139"/>
        <v>0</v>
      </c>
      <c r="AZ107" s="509">
        <f t="shared" si="139"/>
        <v>0</v>
      </c>
      <c r="BA107" s="509">
        <f t="shared" si="139"/>
        <v>0</v>
      </c>
      <c r="BB107" s="509">
        <f t="shared" si="139"/>
        <v>0</v>
      </c>
      <c r="BC107" s="509">
        <f t="shared" si="139"/>
        <v>0</v>
      </c>
      <c r="BD107" s="509">
        <f t="shared" si="139"/>
        <v>0</v>
      </c>
      <c r="BE107" s="509">
        <f t="shared" si="139"/>
        <v>0</v>
      </c>
      <c r="BF107" s="509">
        <f t="shared" si="139"/>
        <v>0</v>
      </c>
      <c r="BG107" s="509">
        <f t="shared" si="139"/>
        <v>0</v>
      </c>
      <c r="BH107" s="509">
        <f t="shared" si="139"/>
        <v>0</v>
      </c>
      <c r="BI107" s="509">
        <f t="shared" si="139"/>
        <v>0</v>
      </c>
      <c r="BJ107" s="509">
        <f t="shared" si="139"/>
        <v>0</v>
      </c>
      <c r="BK107" s="509">
        <f t="shared" si="168"/>
        <v>0</v>
      </c>
      <c r="BL107" s="509">
        <f t="shared" si="169"/>
        <v>0</v>
      </c>
      <c r="BM107" s="509">
        <f t="shared" si="170"/>
        <v>0</v>
      </c>
      <c r="BN107" s="509">
        <f t="shared" si="171"/>
        <v>0</v>
      </c>
      <c r="BO107" s="509">
        <f t="shared" si="172"/>
        <v>0</v>
      </c>
      <c r="BP107" s="509">
        <f t="shared" si="173"/>
        <v>0</v>
      </c>
      <c r="BQ107" s="509">
        <f t="shared" si="174"/>
        <v>0</v>
      </c>
      <c r="BR107" s="509">
        <f t="shared" si="175"/>
        <v>0</v>
      </c>
      <c r="BS107" s="509">
        <f t="shared" si="176"/>
        <v>0</v>
      </c>
      <c r="BT107" s="509">
        <f t="shared" si="177"/>
        <v>0</v>
      </c>
      <c r="BU107" s="509">
        <f t="shared" si="178"/>
        <v>0</v>
      </c>
      <c r="BV107" s="509">
        <f t="shared" si="179"/>
        <v>0</v>
      </c>
      <c r="BW107" s="509">
        <f t="shared" si="180"/>
        <v>0</v>
      </c>
      <c r="BX107" s="509">
        <f t="shared" si="181"/>
        <v>0</v>
      </c>
    </row>
    <row r="108" spans="10:106" ht="15.75" x14ac:dyDescent="0.25">
      <c r="J108" s="155" t="s">
        <v>852</v>
      </c>
      <c r="K108" s="155" t="s">
        <v>790</v>
      </c>
      <c r="L108" s="554" t="s">
        <v>994</v>
      </c>
      <c r="M108" s="155"/>
      <c r="N108" s="556">
        <f t="shared" si="182"/>
        <v>0</v>
      </c>
      <c r="O108" s="556">
        <f t="shared" si="182"/>
        <v>0</v>
      </c>
      <c r="P108" s="557">
        <f t="shared" si="182"/>
        <v>0</v>
      </c>
      <c r="Q108" s="557">
        <f t="shared" si="182"/>
        <v>0</v>
      </c>
      <c r="R108" s="558">
        <f t="shared" si="182"/>
        <v>0</v>
      </c>
      <c r="S108" s="558">
        <f t="shared" si="182"/>
        <v>0</v>
      </c>
      <c r="T108" s="558">
        <f t="shared" si="182"/>
        <v>0</v>
      </c>
      <c r="U108" s="558">
        <f t="shared" si="182"/>
        <v>0</v>
      </c>
      <c r="V108" s="558">
        <f t="shared" si="182"/>
        <v>0</v>
      </c>
      <c r="W108" s="536" t="str">
        <f t="shared" si="183"/>
        <v>-</v>
      </c>
      <c r="X108" s="536" t="str">
        <f t="shared" si="129"/>
        <v>-</v>
      </c>
      <c r="Y108" s="536" t="str">
        <f t="shared" si="184"/>
        <v>-</v>
      </c>
      <c r="Z108" s="536" t="str">
        <f t="shared" si="130"/>
        <v>-</v>
      </c>
      <c r="AA108" s="538" t="str">
        <f t="shared" si="131"/>
        <v>-</v>
      </c>
      <c r="AB108" s="567">
        <f t="shared" si="185"/>
        <v>0</v>
      </c>
      <c r="AC108" s="567">
        <f t="shared" si="185"/>
        <v>0</v>
      </c>
      <c r="AD108" s="572">
        <f t="shared" si="132"/>
        <v>0</v>
      </c>
      <c r="AE108" s="584" t="str">
        <f t="shared" si="150"/>
        <v>-</v>
      </c>
      <c r="AF108" s="572">
        <f t="shared" si="151"/>
        <v>0</v>
      </c>
      <c r="AG108" s="584" t="str">
        <f t="shared" si="186"/>
        <v>-</v>
      </c>
      <c r="AH108" s="556">
        <f t="shared" si="187"/>
        <v>0</v>
      </c>
      <c r="AI108" s="556">
        <f t="shared" si="188"/>
        <v>0</v>
      </c>
      <c r="AJ108" s="556">
        <f t="shared" si="189"/>
        <v>0</v>
      </c>
      <c r="AK108" s="556">
        <f t="shared" si="190"/>
        <v>0</v>
      </c>
      <c r="AL108" s="556">
        <f t="shared" si="191"/>
        <v>0</v>
      </c>
      <c r="AM108" s="556">
        <f t="shared" si="192"/>
        <v>0</v>
      </c>
      <c r="AN108" s="556">
        <f t="shared" si="193"/>
        <v>0</v>
      </c>
      <c r="AO108" s="556">
        <f t="shared" si="194"/>
        <v>0</v>
      </c>
      <c r="AP108" s="556">
        <f t="shared" si="195"/>
        <v>0</v>
      </c>
      <c r="AQ108" s="556">
        <f t="shared" si="196"/>
        <v>0</v>
      </c>
      <c r="AR108" s="556">
        <f t="shared" si="197"/>
        <v>0</v>
      </c>
      <c r="AS108" s="556">
        <f t="shared" si="198"/>
        <v>0</v>
      </c>
      <c r="AT108" s="556">
        <f t="shared" si="199"/>
        <v>0</v>
      </c>
      <c r="AU108" s="556">
        <f t="shared" si="200"/>
        <v>0</v>
      </c>
      <c r="AV108" s="556">
        <f t="shared" si="201"/>
        <v>0</v>
      </c>
      <c r="AW108" s="509">
        <f t="shared" si="167"/>
        <v>0</v>
      </c>
      <c r="AX108" s="509">
        <f t="shared" si="139"/>
        <v>0</v>
      </c>
      <c r="AY108" s="509">
        <f t="shared" si="139"/>
        <v>0</v>
      </c>
      <c r="AZ108" s="509">
        <f t="shared" si="139"/>
        <v>0</v>
      </c>
      <c r="BA108" s="509">
        <f t="shared" si="139"/>
        <v>0</v>
      </c>
      <c r="BB108" s="509">
        <f t="shared" si="139"/>
        <v>0</v>
      </c>
      <c r="BC108" s="509">
        <f t="shared" si="139"/>
        <v>0</v>
      </c>
      <c r="BD108" s="509">
        <f t="shared" si="139"/>
        <v>0</v>
      </c>
      <c r="BE108" s="509">
        <f t="shared" si="139"/>
        <v>0</v>
      </c>
      <c r="BF108" s="509">
        <f t="shared" si="139"/>
        <v>0</v>
      </c>
      <c r="BG108" s="509">
        <f t="shared" si="139"/>
        <v>0</v>
      </c>
      <c r="BH108" s="509">
        <f t="shared" si="139"/>
        <v>0</v>
      </c>
      <c r="BI108" s="509">
        <f t="shared" si="139"/>
        <v>0</v>
      </c>
      <c r="BJ108" s="509">
        <f t="shared" si="139"/>
        <v>0</v>
      </c>
      <c r="BK108" s="509">
        <f t="shared" si="168"/>
        <v>0</v>
      </c>
      <c r="BL108" s="509">
        <f t="shared" si="169"/>
        <v>0</v>
      </c>
      <c r="BM108" s="509">
        <f t="shared" si="170"/>
        <v>0</v>
      </c>
      <c r="BN108" s="509">
        <f t="shared" si="171"/>
        <v>0</v>
      </c>
      <c r="BO108" s="509">
        <f t="shared" si="172"/>
        <v>0</v>
      </c>
      <c r="BP108" s="509">
        <f t="shared" si="173"/>
        <v>0</v>
      </c>
      <c r="BQ108" s="509">
        <f t="shared" si="174"/>
        <v>0</v>
      </c>
      <c r="BR108" s="509">
        <f t="shared" si="175"/>
        <v>0</v>
      </c>
      <c r="BS108" s="509">
        <f t="shared" si="176"/>
        <v>0</v>
      </c>
      <c r="BT108" s="509">
        <f t="shared" si="177"/>
        <v>0</v>
      </c>
      <c r="BU108" s="509">
        <f t="shared" si="178"/>
        <v>0</v>
      </c>
      <c r="BV108" s="509">
        <f t="shared" si="179"/>
        <v>0</v>
      </c>
      <c r="BW108" s="509">
        <f t="shared" si="180"/>
        <v>0</v>
      </c>
      <c r="BX108" s="509">
        <f t="shared" si="181"/>
        <v>0</v>
      </c>
    </row>
    <row r="109" spans="10:106" ht="15.75" x14ac:dyDescent="0.25">
      <c r="J109" s="155" t="s">
        <v>817</v>
      </c>
      <c r="K109" s="155" t="s">
        <v>792</v>
      </c>
      <c r="L109" s="554" t="s">
        <v>994</v>
      </c>
      <c r="M109" s="155"/>
      <c r="N109" s="556">
        <f t="shared" si="182"/>
        <v>0</v>
      </c>
      <c r="O109" s="556">
        <f t="shared" si="182"/>
        <v>0</v>
      </c>
      <c r="P109" s="557">
        <f t="shared" si="182"/>
        <v>0</v>
      </c>
      <c r="Q109" s="557">
        <f t="shared" si="182"/>
        <v>0</v>
      </c>
      <c r="R109" s="558">
        <f t="shared" si="182"/>
        <v>0</v>
      </c>
      <c r="S109" s="558">
        <f t="shared" si="182"/>
        <v>0</v>
      </c>
      <c r="T109" s="558">
        <f t="shared" si="182"/>
        <v>0</v>
      </c>
      <c r="U109" s="558">
        <f t="shared" si="182"/>
        <v>0</v>
      </c>
      <c r="V109" s="558">
        <f t="shared" si="182"/>
        <v>0</v>
      </c>
      <c r="W109" s="536" t="str">
        <f t="shared" si="183"/>
        <v>-</v>
      </c>
      <c r="X109" s="536" t="str">
        <f t="shared" si="129"/>
        <v>-</v>
      </c>
      <c r="Y109" s="536" t="str">
        <f t="shared" si="184"/>
        <v>-</v>
      </c>
      <c r="Z109" s="536" t="str">
        <f t="shared" si="130"/>
        <v>-</v>
      </c>
      <c r="AA109" s="538" t="str">
        <f t="shared" si="131"/>
        <v>-</v>
      </c>
      <c r="AB109" s="567">
        <f t="shared" si="185"/>
        <v>0</v>
      </c>
      <c r="AC109" s="567">
        <f t="shared" si="185"/>
        <v>0</v>
      </c>
      <c r="AD109" s="572">
        <f t="shared" si="132"/>
        <v>0</v>
      </c>
      <c r="AE109" s="584" t="str">
        <f t="shared" si="150"/>
        <v>-</v>
      </c>
      <c r="AF109" s="572">
        <f t="shared" si="151"/>
        <v>0</v>
      </c>
      <c r="AG109" s="584" t="str">
        <f t="shared" si="186"/>
        <v>-</v>
      </c>
      <c r="AH109" s="556">
        <f t="shared" si="187"/>
        <v>0</v>
      </c>
      <c r="AI109" s="556">
        <f t="shared" si="188"/>
        <v>0</v>
      </c>
      <c r="AJ109" s="556">
        <f t="shared" si="189"/>
        <v>0</v>
      </c>
      <c r="AK109" s="556">
        <f t="shared" si="190"/>
        <v>0</v>
      </c>
      <c r="AL109" s="556">
        <f t="shared" si="191"/>
        <v>0</v>
      </c>
      <c r="AM109" s="556">
        <f t="shared" si="192"/>
        <v>0</v>
      </c>
      <c r="AN109" s="556">
        <f t="shared" si="193"/>
        <v>0</v>
      </c>
      <c r="AO109" s="556">
        <f t="shared" si="194"/>
        <v>0</v>
      </c>
      <c r="AP109" s="556">
        <f t="shared" si="195"/>
        <v>0</v>
      </c>
      <c r="AQ109" s="556">
        <f t="shared" si="196"/>
        <v>0</v>
      </c>
      <c r="AR109" s="556">
        <f t="shared" si="197"/>
        <v>0</v>
      </c>
      <c r="AS109" s="556">
        <f t="shared" si="198"/>
        <v>0</v>
      </c>
      <c r="AT109" s="556">
        <f t="shared" si="199"/>
        <v>0</v>
      </c>
      <c r="AU109" s="556">
        <f t="shared" si="200"/>
        <v>0</v>
      </c>
      <c r="AV109" s="556">
        <f t="shared" si="201"/>
        <v>0</v>
      </c>
      <c r="AW109" s="509">
        <f t="shared" si="167"/>
        <v>0</v>
      </c>
      <c r="AX109" s="509">
        <f t="shared" si="139"/>
        <v>0</v>
      </c>
      <c r="AY109" s="509">
        <f t="shared" si="139"/>
        <v>0</v>
      </c>
      <c r="AZ109" s="509">
        <f t="shared" si="139"/>
        <v>0</v>
      </c>
      <c r="BA109" s="509">
        <f t="shared" si="139"/>
        <v>0</v>
      </c>
      <c r="BB109" s="509">
        <f t="shared" si="139"/>
        <v>0</v>
      </c>
      <c r="BC109" s="509">
        <f t="shared" si="139"/>
        <v>0</v>
      </c>
      <c r="BD109" s="509">
        <f t="shared" si="139"/>
        <v>0</v>
      </c>
      <c r="BE109" s="509">
        <f t="shared" si="139"/>
        <v>0</v>
      </c>
      <c r="BF109" s="509">
        <f t="shared" si="139"/>
        <v>0</v>
      </c>
      <c r="BG109" s="509">
        <f t="shared" si="139"/>
        <v>0</v>
      </c>
      <c r="BH109" s="509">
        <f t="shared" si="139"/>
        <v>0</v>
      </c>
      <c r="BI109" s="509">
        <f t="shared" si="139"/>
        <v>0</v>
      </c>
      <c r="BJ109" s="509">
        <f t="shared" si="139"/>
        <v>0</v>
      </c>
      <c r="BK109" s="509">
        <f t="shared" si="168"/>
        <v>0</v>
      </c>
      <c r="BL109" s="509">
        <f t="shared" si="169"/>
        <v>0</v>
      </c>
      <c r="BM109" s="509">
        <f t="shared" si="170"/>
        <v>0</v>
      </c>
      <c r="BN109" s="509">
        <f t="shared" si="171"/>
        <v>0</v>
      </c>
      <c r="BO109" s="509">
        <f t="shared" si="172"/>
        <v>0</v>
      </c>
      <c r="BP109" s="509">
        <f t="shared" si="173"/>
        <v>0</v>
      </c>
      <c r="BQ109" s="509">
        <f t="shared" si="174"/>
        <v>0</v>
      </c>
      <c r="BR109" s="509">
        <f t="shared" si="175"/>
        <v>0</v>
      </c>
      <c r="BS109" s="509">
        <f t="shared" si="176"/>
        <v>0</v>
      </c>
      <c r="BT109" s="509">
        <f t="shared" si="177"/>
        <v>0</v>
      </c>
      <c r="BU109" s="509">
        <f t="shared" si="178"/>
        <v>0</v>
      </c>
      <c r="BV109" s="509">
        <f t="shared" si="179"/>
        <v>0</v>
      </c>
      <c r="BW109" s="509">
        <f t="shared" si="180"/>
        <v>0</v>
      </c>
      <c r="BX109" s="509">
        <f t="shared" si="181"/>
        <v>0</v>
      </c>
    </row>
    <row r="110" spans="10:106" ht="15.75" x14ac:dyDescent="0.25">
      <c r="J110" s="155" t="s">
        <v>817</v>
      </c>
      <c r="K110" s="155" t="s">
        <v>790</v>
      </c>
      <c r="L110" s="554" t="s">
        <v>994</v>
      </c>
      <c r="M110" s="155"/>
      <c r="N110" s="556">
        <f t="shared" si="182"/>
        <v>3.2805677744000978</v>
      </c>
      <c r="O110" s="556">
        <f t="shared" si="182"/>
        <v>8.7791106651863626E-2</v>
      </c>
      <c r="P110" s="557">
        <f t="shared" si="182"/>
        <v>2.6063465845553212E-2</v>
      </c>
      <c r="Q110" s="557">
        <f t="shared" si="182"/>
        <v>0</v>
      </c>
      <c r="R110" s="558">
        <f t="shared" si="182"/>
        <v>3.6990181091585597E-2</v>
      </c>
      <c r="S110" s="558">
        <f t="shared" si="182"/>
        <v>5.0800925560278022E-2</v>
      </c>
      <c r="T110" s="558">
        <f t="shared" si="182"/>
        <v>0</v>
      </c>
      <c r="U110" s="558">
        <f t="shared" si="182"/>
        <v>0</v>
      </c>
      <c r="V110" s="558">
        <f t="shared" si="182"/>
        <v>0</v>
      </c>
      <c r="W110" s="536">
        <f t="shared" si="183"/>
        <v>0.42134314627414909</v>
      </c>
      <c r="X110" s="536">
        <f t="shared" si="129"/>
        <v>0.57865685372585085</v>
      </c>
      <c r="Y110" s="536">
        <f t="shared" si="184"/>
        <v>0</v>
      </c>
      <c r="Z110" s="536">
        <f t="shared" si="130"/>
        <v>0</v>
      </c>
      <c r="AA110" s="538" t="str">
        <f t="shared" si="131"/>
        <v>-</v>
      </c>
      <c r="AB110" s="567">
        <f t="shared" si="185"/>
        <v>34.198855287999997</v>
      </c>
      <c r="AC110" s="567">
        <f t="shared" si="185"/>
        <v>10.42467573902014</v>
      </c>
      <c r="AD110" s="572">
        <f t="shared" si="132"/>
        <v>33.307514591244193</v>
      </c>
      <c r="AE110" s="572">
        <f t="shared" si="150"/>
        <v>10.152972558945223</v>
      </c>
      <c r="AF110" s="572">
        <f t="shared" si="151"/>
        <v>0.89134069675580474</v>
      </c>
      <c r="AG110" s="572">
        <f>+IF(P110=0,"-",AF110/P110)</f>
        <v>34.198855287999997</v>
      </c>
      <c r="AH110" s="556">
        <f t="shared" si="187"/>
        <v>3.3683588810519614</v>
      </c>
      <c r="AI110" s="556">
        <f t="shared" si="188"/>
        <v>3.3683588810519614</v>
      </c>
      <c r="AJ110" s="556">
        <f t="shared" si="189"/>
        <v>3.0751987685605915</v>
      </c>
      <c r="AK110" s="556">
        <f t="shared" si="190"/>
        <v>3.4930679115729726</v>
      </c>
      <c r="AL110" s="556">
        <f t="shared" si="191"/>
        <v>2.7288246831254654</v>
      </c>
      <c r="AM110" s="556">
        <f t="shared" si="192"/>
        <v>0</v>
      </c>
      <c r="AN110" s="556">
        <f t="shared" si="193"/>
        <v>0</v>
      </c>
      <c r="AO110" s="556">
        <f t="shared" si="194"/>
        <v>1.6467059785204439</v>
      </c>
      <c r="AP110" s="556">
        <f t="shared" si="195"/>
        <v>0.98038529706751343</v>
      </c>
      <c r="AQ110" s="556">
        <f t="shared" si="196"/>
        <v>0.82911070247183327</v>
      </c>
      <c r="AR110" s="556">
        <f t="shared" si="197"/>
        <v>0.60219881057831304</v>
      </c>
      <c r="AS110" s="556">
        <f t="shared" si="198"/>
        <v>0.4903086312459346</v>
      </c>
      <c r="AT110" s="556">
        <f t="shared" si="199"/>
        <v>0.41571517835768235</v>
      </c>
      <c r="AU110" s="556">
        <f t="shared" si="200"/>
        <v>0.34112172546943498</v>
      </c>
      <c r="AV110" s="556">
        <f t="shared" si="201"/>
        <v>0.22923154613705787</v>
      </c>
      <c r="AW110" s="509">
        <f t="shared" si="167"/>
        <v>3.2805677744000978</v>
      </c>
      <c r="AX110" s="509">
        <f t="shared" si="139"/>
        <v>2.9950484304879255</v>
      </c>
      <c r="AY110" s="509">
        <f t="shared" si="139"/>
        <v>3.4020264553634925</v>
      </c>
      <c r="AZ110" s="509">
        <f t="shared" si="139"/>
        <v>2.6577020541983223</v>
      </c>
      <c r="BA110" s="509">
        <f t="shared" si="139"/>
        <v>0</v>
      </c>
      <c r="BB110" s="509">
        <f t="shared" si="139"/>
        <v>0</v>
      </c>
      <c r="BC110" s="509">
        <f t="shared" si="139"/>
        <v>1.603787113491608</v>
      </c>
      <c r="BD110" s="509">
        <f t="shared" si="139"/>
        <v>0.95483305836191179</v>
      </c>
      <c r="BE110" s="509">
        <f t="shared" si="139"/>
        <v>0.80750120399577607</v>
      </c>
      <c r="BF110" s="509">
        <f t="shared" si="139"/>
        <v>0.58650342244657239</v>
      </c>
      <c r="BG110" s="509">
        <f t="shared" si="139"/>
        <v>0.47752948898167624</v>
      </c>
      <c r="BH110" s="509">
        <f t="shared" si="139"/>
        <v>0.40488020000507885</v>
      </c>
      <c r="BI110" s="509">
        <f t="shared" si="139"/>
        <v>0.33223091102848618</v>
      </c>
      <c r="BJ110" s="509">
        <f t="shared" si="139"/>
        <v>0.22325697756359131</v>
      </c>
      <c r="BK110" s="509">
        <f t="shared" si="168"/>
        <v>8.7791106651863626E-2</v>
      </c>
      <c r="BL110" s="509">
        <f t="shared" si="169"/>
        <v>8.0150338072666277E-2</v>
      </c>
      <c r="BM110" s="509">
        <f t="shared" si="170"/>
        <v>9.1041456209480051E-2</v>
      </c>
      <c r="BN110" s="509">
        <f t="shared" si="171"/>
        <v>7.1122628927143133E-2</v>
      </c>
      <c r="BO110" s="509">
        <f t="shared" si="172"/>
        <v>0</v>
      </c>
      <c r="BP110" s="509">
        <f t="shared" si="173"/>
        <v>0</v>
      </c>
      <c r="BQ110" s="509">
        <f t="shared" si="174"/>
        <v>4.2918865028835872E-2</v>
      </c>
      <c r="BR110" s="509">
        <f t="shared" si="175"/>
        <v>2.5552238705601676E-2</v>
      </c>
      <c r="BS110" s="509">
        <f t="shared" si="176"/>
        <v>2.1609498476057257E-2</v>
      </c>
      <c r="BT110" s="509">
        <f t="shared" si="177"/>
        <v>1.569538813174063E-2</v>
      </c>
      <c r="BU110" s="509">
        <f t="shared" si="178"/>
        <v>1.277914226425836E-2</v>
      </c>
      <c r="BV110" s="509">
        <f t="shared" si="179"/>
        <v>1.0834978352603516E-2</v>
      </c>
      <c r="BW110" s="509">
        <f t="shared" si="180"/>
        <v>8.8908144409487969E-3</v>
      </c>
      <c r="BX110" s="509">
        <f t="shared" si="181"/>
        <v>5.9745685734665628E-3</v>
      </c>
    </row>
    <row r="111" spans="10:106" ht="15.75" x14ac:dyDescent="0.25">
      <c r="J111" s="155" t="s">
        <v>830</v>
      </c>
      <c r="K111" s="155" t="s">
        <v>792</v>
      </c>
      <c r="L111" s="554" t="s">
        <v>994</v>
      </c>
      <c r="M111" s="155"/>
      <c r="N111" s="556">
        <f t="shared" si="182"/>
        <v>0</v>
      </c>
      <c r="O111" s="556">
        <f t="shared" si="182"/>
        <v>0</v>
      </c>
      <c r="P111" s="557">
        <f t="shared" si="182"/>
        <v>0</v>
      </c>
      <c r="Q111" s="557">
        <f t="shared" si="182"/>
        <v>0</v>
      </c>
      <c r="R111" s="558">
        <f t="shared" si="182"/>
        <v>0</v>
      </c>
      <c r="S111" s="558">
        <f t="shared" si="182"/>
        <v>0</v>
      </c>
      <c r="T111" s="558">
        <f t="shared" si="182"/>
        <v>0</v>
      </c>
      <c r="U111" s="558">
        <f t="shared" si="182"/>
        <v>0</v>
      </c>
      <c r="V111" s="558">
        <f t="shared" si="182"/>
        <v>0</v>
      </c>
      <c r="W111" s="536" t="str">
        <f t="shared" si="183"/>
        <v>-</v>
      </c>
      <c r="X111" s="536" t="str">
        <f t="shared" si="129"/>
        <v>-</v>
      </c>
      <c r="Y111" s="536" t="str">
        <f t="shared" si="184"/>
        <v>-</v>
      </c>
      <c r="Z111" s="536" t="str">
        <f t="shared" si="130"/>
        <v>-</v>
      </c>
      <c r="AA111" s="538" t="str">
        <f t="shared" si="131"/>
        <v>-</v>
      </c>
      <c r="AB111" s="567">
        <f t="shared" si="185"/>
        <v>0</v>
      </c>
      <c r="AC111" s="567">
        <f t="shared" si="185"/>
        <v>0</v>
      </c>
      <c r="AD111" s="572">
        <f t="shared" si="132"/>
        <v>0</v>
      </c>
      <c r="AE111" s="584" t="str">
        <f t="shared" si="150"/>
        <v>-</v>
      </c>
      <c r="AF111" s="572">
        <f t="shared" si="151"/>
        <v>0</v>
      </c>
      <c r="AG111" s="584" t="str">
        <f t="shared" si="186"/>
        <v>-</v>
      </c>
      <c r="AH111" s="556">
        <f t="shared" si="187"/>
        <v>0</v>
      </c>
      <c r="AI111" s="556">
        <f t="shared" si="188"/>
        <v>0</v>
      </c>
      <c r="AJ111" s="556">
        <f t="shared" si="189"/>
        <v>0</v>
      </c>
      <c r="AK111" s="556">
        <f t="shared" si="190"/>
        <v>0</v>
      </c>
      <c r="AL111" s="556">
        <f t="shared" si="191"/>
        <v>0</v>
      </c>
      <c r="AM111" s="556">
        <f t="shared" si="192"/>
        <v>0</v>
      </c>
      <c r="AN111" s="556">
        <f t="shared" si="193"/>
        <v>0</v>
      </c>
      <c r="AO111" s="556">
        <f t="shared" si="194"/>
        <v>0</v>
      </c>
      <c r="AP111" s="556">
        <f t="shared" si="195"/>
        <v>0</v>
      </c>
      <c r="AQ111" s="556">
        <f t="shared" si="196"/>
        <v>0</v>
      </c>
      <c r="AR111" s="556">
        <f t="shared" si="197"/>
        <v>0</v>
      </c>
      <c r="AS111" s="556">
        <f t="shared" si="198"/>
        <v>0</v>
      </c>
      <c r="AT111" s="556">
        <f t="shared" si="199"/>
        <v>0</v>
      </c>
      <c r="AU111" s="556">
        <f t="shared" si="200"/>
        <v>0</v>
      </c>
      <c r="AV111" s="556">
        <f t="shared" si="201"/>
        <v>0</v>
      </c>
      <c r="AW111" s="509">
        <f t="shared" si="167"/>
        <v>0</v>
      </c>
      <c r="AX111" s="509">
        <f t="shared" si="139"/>
        <v>0</v>
      </c>
      <c r="AY111" s="509">
        <f t="shared" si="139"/>
        <v>0</v>
      </c>
      <c r="AZ111" s="509">
        <f t="shared" si="139"/>
        <v>0</v>
      </c>
      <c r="BA111" s="509">
        <f t="shared" si="139"/>
        <v>0</v>
      </c>
      <c r="BB111" s="509">
        <f t="shared" si="139"/>
        <v>0</v>
      </c>
      <c r="BC111" s="509">
        <f t="shared" si="139"/>
        <v>0</v>
      </c>
      <c r="BD111" s="509">
        <f t="shared" si="139"/>
        <v>0</v>
      </c>
      <c r="BE111" s="509">
        <f t="shared" si="139"/>
        <v>0</v>
      </c>
      <c r="BF111" s="509">
        <f t="shared" si="139"/>
        <v>0</v>
      </c>
      <c r="BG111" s="509">
        <f t="shared" si="139"/>
        <v>0</v>
      </c>
      <c r="BH111" s="509">
        <f t="shared" si="139"/>
        <v>0</v>
      </c>
      <c r="BI111" s="509">
        <f t="shared" si="139"/>
        <v>0</v>
      </c>
      <c r="BJ111" s="509">
        <f t="shared" si="139"/>
        <v>0</v>
      </c>
      <c r="BK111" s="509">
        <f t="shared" si="168"/>
        <v>0</v>
      </c>
      <c r="BL111" s="509">
        <f t="shared" si="169"/>
        <v>0</v>
      </c>
      <c r="BM111" s="509">
        <f t="shared" si="170"/>
        <v>0</v>
      </c>
      <c r="BN111" s="509">
        <f t="shared" si="171"/>
        <v>0</v>
      </c>
      <c r="BO111" s="509">
        <f t="shared" si="172"/>
        <v>0</v>
      </c>
      <c r="BP111" s="509">
        <f t="shared" si="173"/>
        <v>0</v>
      </c>
      <c r="BQ111" s="509">
        <f t="shared" si="174"/>
        <v>0</v>
      </c>
      <c r="BR111" s="509">
        <f t="shared" si="175"/>
        <v>0</v>
      </c>
      <c r="BS111" s="509">
        <f t="shared" si="176"/>
        <v>0</v>
      </c>
      <c r="BT111" s="509">
        <f t="shared" si="177"/>
        <v>0</v>
      </c>
      <c r="BU111" s="509">
        <f t="shared" si="178"/>
        <v>0</v>
      </c>
      <c r="BV111" s="509">
        <f t="shared" si="179"/>
        <v>0</v>
      </c>
      <c r="BW111" s="509">
        <f t="shared" si="180"/>
        <v>0</v>
      </c>
      <c r="BX111" s="509">
        <f t="shared" si="181"/>
        <v>0</v>
      </c>
    </row>
    <row r="112" spans="10:106" ht="15.75" x14ac:dyDescent="0.25">
      <c r="J112" s="155" t="s">
        <v>830</v>
      </c>
      <c r="K112" s="155" t="s">
        <v>790</v>
      </c>
      <c r="L112" s="554" t="s">
        <v>994</v>
      </c>
      <c r="M112" s="155"/>
      <c r="N112" s="556">
        <f t="shared" si="182"/>
        <v>0</v>
      </c>
      <c r="O112" s="556">
        <f t="shared" si="182"/>
        <v>0</v>
      </c>
      <c r="P112" s="557">
        <f t="shared" si="182"/>
        <v>0</v>
      </c>
      <c r="Q112" s="557">
        <f t="shared" si="182"/>
        <v>0</v>
      </c>
      <c r="R112" s="558">
        <f t="shared" si="182"/>
        <v>0</v>
      </c>
      <c r="S112" s="558">
        <f t="shared" si="182"/>
        <v>0</v>
      </c>
      <c r="T112" s="558">
        <f t="shared" si="182"/>
        <v>0</v>
      </c>
      <c r="U112" s="558">
        <f t="shared" si="182"/>
        <v>0</v>
      </c>
      <c r="V112" s="558">
        <f t="shared" si="182"/>
        <v>0</v>
      </c>
      <c r="W112" s="568" t="str">
        <f t="shared" si="183"/>
        <v>-</v>
      </c>
      <c r="X112" s="568" t="str">
        <f t="shared" si="129"/>
        <v>-</v>
      </c>
      <c r="Y112" s="568" t="str">
        <f t="shared" si="184"/>
        <v>-</v>
      </c>
      <c r="Z112" s="568" t="str">
        <f t="shared" si="130"/>
        <v>-</v>
      </c>
      <c r="AA112" s="569" t="str">
        <f t="shared" si="131"/>
        <v>-</v>
      </c>
      <c r="AB112" s="567">
        <f t="shared" si="185"/>
        <v>0</v>
      </c>
      <c r="AC112" s="567">
        <f t="shared" si="185"/>
        <v>0</v>
      </c>
      <c r="AD112" s="572">
        <f t="shared" si="132"/>
        <v>0</v>
      </c>
      <c r="AE112" s="584" t="str">
        <f t="shared" si="150"/>
        <v>-</v>
      </c>
      <c r="AF112" s="572">
        <f t="shared" si="151"/>
        <v>0</v>
      </c>
      <c r="AG112" s="584" t="str">
        <f t="shared" si="186"/>
        <v>-</v>
      </c>
      <c r="AH112" s="556">
        <f t="shared" si="187"/>
        <v>0</v>
      </c>
      <c r="AI112" s="556">
        <f t="shared" si="188"/>
        <v>0</v>
      </c>
      <c r="AJ112" s="556">
        <f t="shared" si="189"/>
        <v>0</v>
      </c>
      <c r="AK112" s="556">
        <f t="shared" si="190"/>
        <v>0</v>
      </c>
      <c r="AL112" s="556">
        <f t="shared" si="191"/>
        <v>0</v>
      </c>
      <c r="AM112" s="556">
        <f t="shared" si="192"/>
        <v>0</v>
      </c>
      <c r="AN112" s="556">
        <f t="shared" si="193"/>
        <v>0</v>
      </c>
      <c r="AO112" s="556">
        <f t="shared" si="194"/>
        <v>0</v>
      </c>
      <c r="AP112" s="556">
        <f t="shared" si="195"/>
        <v>0</v>
      </c>
      <c r="AQ112" s="556">
        <f t="shared" si="196"/>
        <v>0</v>
      </c>
      <c r="AR112" s="556">
        <f t="shared" si="197"/>
        <v>0</v>
      </c>
      <c r="AS112" s="556">
        <f t="shared" si="198"/>
        <v>0</v>
      </c>
      <c r="AT112" s="556">
        <f t="shared" si="199"/>
        <v>0</v>
      </c>
      <c r="AU112" s="556">
        <f t="shared" si="200"/>
        <v>0</v>
      </c>
      <c r="AV112" s="556">
        <f t="shared" si="201"/>
        <v>0</v>
      </c>
      <c r="AW112" s="509">
        <f t="shared" si="167"/>
        <v>0</v>
      </c>
      <c r="AX112" s="509">
        <f t="shared" si="139"/>
        <v>0</v>
      </c>
      <c r="AY112" s="509">
        <f t="shared" si="139"/>
        <v>0</v>
      </c>
      <c r="AZ112" s="509">
        <f t="shared" si="139"/>
        <v>0</v>
      </c>
      <c r="BA112" s="509">
        <f t="shared" si="139"/>
        <v>0</v>
      </c>
      <c r="BB112" s="509">
        <f t="shared" si="139"/>
        <v>0</v>
      </c>
      <c r="BC112" s="509">
        <f t="shared" si="139"/>
        <v>0</v>
      </c>
      <c r="BD112" s="509">
        <f t="shared" si="139"/>
        <v>0</v>
      </c>
      <c r="BE112" s="509">
        <f t="shared" si="139"/>
        <v>0</v>
      </c>
      <c r="BF112" s="509">
        <f t="shared" si="139"/>
        <v>0</v>
      </c>
      <c r="BG112" s="509">
        <f t="shared" si="139"/>
        <v>0</v>
      </c>
      <c r="BH112" s="509">
        <f t="shared" si="139"/>
        <v>0</v>
      </c>
      <c r="BI112" s="509">
        <f t="shared" si="139"/>
        <v>0</v>
      </c>
      <c r="BJ112" s="509">
        <f t="shared" si="139"/>
        <v>0</v>
      </c>
      <c r="BK112" s="509">
        <f t="shared" si="168"/>
        <v>0</v>
      </c>
      <c r="BL112" s="509">
        <f t="shared" si="169"/>
        <v>0</v>
      </c>
      <c r="BM112" s="509">
        <f t="shared" si="170"/>
        <v>0</v>
      </c>
      <c r="BN112" s="509">
        <f t="shared" si="171"/>
        <v>0</v>
      </c>
      <c r="BO112" s="509">
        <f t="shared" si="172"/>
        <v>0</v>
      </c>
      <c r="BP112" s="509">
        <f t="shared" si="173"/>
        <v>0</v>
      </c>
      <c r="BQ112" s="509">
        <f t="shared" si="174"/>
        <v>0</v>
      </c>
      <c r="BR112" s="509">
        <f t="shared" si="175"/>
        <v>0</v>
      </c>
      <c r="BS112" s="509">
        <f t="shared" si="176"/>
        <v>0</v>
      </c>
      <c r="BT112" s="509">
        <f t="shared" si="177"/>
        <v>0</v>
      </c>
      <c r="BU112" s="509">
        <f t="shared" si="178"/>
        <v>0</v>
      </c>
      <c r="BV112" s="509">
        <f t="shared" si="179"/>
        <v>0</v>
      </c>
      <c r="BW112" s="509">
        <f t="shared" si="180"/>
        <v>0</v>
      </c>
      <c r="BX112" s="509">
        <f t="shared" si="181"/>
        <v>0</v>
      </c>
    </row>
    <row r="115" spans="10:76" ht="15.75" thickBot="1" x14ac:dyDescent="0.3">
      <c r="N115" s="57"/>
    </row>
    <row r="116" spans="10:76" ht="19.5" thickBot="1" x14ac:dyDescent="0.35">
      <c r="J116" s="918" t="s">
        <v>1417</v>
      </c>
      <c r="K116" s="919"/>
      <c r="L116" s="919"/>
      <c r="M116" s="919"/>
      <c r="N116" s="919"/>
      <c r="O116" s="919"/>
      <c r="P116" s="919"/>
      <c r="Q116" s="919"/>
      <c r="R116" s="919"/>
      <c r="S116" s="919"/>
      <c r="T116" s="919"/>
      <c r="U116" s="919"/>
      <c r="V116" s="919"/>
      <c r="W116" s="919"/>
      <c r="X116" s="919"/>
      <c r="Y116" s="919"/>
      <c r="Z116" s="919"/>
      <c r="AA116" s="919"/>
      <c r="AB116" s="919"/>
      <c r="AC116" s="919"/>
      <c r="AD116" s="919"/>
      <c r="AE116" s="919"/>
      <c r="AF116" s="919"/>
      <c r="AG116" s="920"/>
    </row>
    <row r="117" spans="10:76" x14ac:dyDescent="0.25">
      <c r="R117" s="57"/>
      <c r="AB117" s="57"/>
      <c r="AF117" s="57">
        <f>+SUM(AF99:AF104)</f>
        <v>1843.6340862746542</v>
      </c>
      <c r="AI117" s="57"/>
      <c r="AJ117" s="57"/>
      <c r="AK117" s="57"/>
      <c r="AL117" s="57"/>
      <c r="AM117" s="57"/>
      <c r="AN117" s="57"/>
      <c r="AO117" s="57"/>
      <c r="AP117" s="57"/>
      <c r="AQ117" s="57"/>
      <c r="AR117" s="57"/>
      <c r="AS117" s="57"/>
      <c r="AT117" s="57"/>
      <c r="AU117" s="57"/>
      <c r="AV117" s="655" t="s">
        <v>9</v>
      </c>
      <c r="AW117" s="651">
        <f>+SUM(AW99:AW104)</f>
        <v>1025.6624631771094</v>
      </c>
      <c r="AX117" s="651">
        <f>+SUM(AX99:AX104)</f>
        <v>971.57652717500991</v>
      </c>
      <c r="AY117" s="651">
        <f t="shared" ref="AY117:BX117" si="202">+SUM(AY99:AY104)</f>
        <v>812.5441838645703</v>
      </c>
      <c r="AZ117" s="651">
        <f t="shared" si="202"/>
        <v>668.92360361378201</v>
      </c>
      <c r="BA117" s="651">
        <f t="shared" si="202"/>
        <v>559.86485266250133</v>
      </c>
      <c r="BB117" s="651">
        <f t="shared" si="202"/>
        <v>400.90866544257676</v>
      </c>
      <c r="BC117" s="651">
        <f t="shared" si="202"/>
        <v>323.95216648114376</v>
      </c>
      <c r="BD117" s="651">
        <f t="shared" si="202"/>
        <v>269.97511844019584</v>
      </c>
      <c r="BE117" s="651">
        <f t="shared" si="202"/>
        <v>224.31431091820514</v>
      </c>
      <c r="BF117" s="651">
        <f t="shared" si="202"/>
        <v>157.10067813612787</v>
      </c>
      <c r="BG117" s="651">
        <f t="shared" si="202"/>
        <v>103.64564921068032</v>
      </c>
      <c r="BH117" s="651">
        <f t="shared" si="202"/>
        <v>88.388980286709</v>
      </c>
      <c r="BI117" s="651">
        <f t="shared" si="202"/>
        <v>79.012481549996423</v>
      </c>
      <c r="BJ117" s="651">
        <f t="shared" si="202"/>
        <v>66.383024371710619</v>
      </c>
      <c r="BK117" s="650">
        <f t="shared" si="202"/>
        <v>334.25667316952502</v>
      </c>
      <c r="BL117" s="651">
        <f t="shared" si="202"/>
        <v>315.79957710288363</v>
      </c>
      <c r="BM117" s="651">
        <f t="shared" si="202"/>
        <v>260.98945875521662</v>
      </c>
      <c r="BN117" s="651">
        <f t="shared" si="202"/>
        <v>199.14856077668688</v>
      </c>
      <c r="BO117" s="651">
        <f t="shared" si="202"/>
        <v>155.93802583631739</v>
      </c>
      <c r="BP117" s="651">
        <f t="shared" si="202"/>
        <v>102.33865688836053</v>
      </c>
      <c r="BQ117" s="651">
        <f t="shared" si="202"/>
        <v>61.685268979559218</v>
      </c>
      <c r="BR117" s="651">
        <f t="shared" si="202"/>
        <v>41.883982717553593</v>
      </c>
      <c r="BS117" s="651">
        <f t="shared" si="202"/>
        <v>31.756161426473941</v>
      </c>
      <c r="BT117" s="651">
        <f t="shared" si="202"/>
        <v>19.422450620785838</v>
      </c>
      <c r="BU117" s="651">
        <f t="shared" si="202"/>
        <v>14.015670611044998</v>
      </c>
      <c r="BV117" s="651">
        <f t="shared" si="202"/>
        <v>10.50143029698169</v>
      </c>
      <c r="BW117" s="651">
        <f t="shared" si="202"/>
        <v>7.8547503912342362</v>
      </c>
      <c r="BX117" s="652">
        <f t="shared" si="202"/>
        <v>5.3683691701354501</v>
      </c>
    </row>
    <row r="118" spans="10:76" x14ac:dyDescent="0.25">
      <c r="AB118" t="s">
        <v>1223</v>
      </c>
      <c r="AC118" t="s">
        <v>1222</v>
      </c>
      <c r="AF118">
        <f>+AF117*(1000/D8)/1000</f>
        <v>302.87191322450025</v>
      </c>
      <c r="AV118" s="211" t="s">
        <v>249</v>
      </c>
      <c r="AW118" s="653">
        <f>+AW117*1000/($D$8*365)</f>
        <v>461.63196063013703</v>
      </c>
      <c r="AX118" s="653">
        <f t="shared" ref="AX118:BJ118" si="203">+AX117*1000/($D$8*365)</f>
        <v>437.28886767748605</v>
      </c>
      <c r="AY118" s="653">
        <f t="shared" si="203"/>
        <v>365.71131162791244</v>
      </c>
      <c r="AZ118" s="653">
        <f t="shared" si="203"/>
        <v>301.07030893133543</v>
      </c>
      <c r="BA118" s="653">
        <f t="shared" si="203"/>
        <v>251.98495499377984</v>
      </c>
      <c r="BB118" s="653">
        <f t="shared" si="203"/>
        <v>180.4416754110172</v>
      </c>
      <c r="BC118" s="653">
        <f t="shared" si="203"/>
        <v>145.80495936239356</v>
      </c>
      <c r="BD118" s="653">
        <f t="shared" si="203"/>
        <v>121.51087489430755</v>
      </c>
      <c r="BE118" s="653">
        <f t="shared" si="203"/>
        <v>100.95977854723172</v>
      </c>
      <c r="BF118" s="653">
        <f t="shared" si="203"/>
        <v>70.708148799418154</v>
      </c>
      <c r="BG118" s="653">
        <f t="shared" si="203"/>
        <v>46.64901561055548</v>
      </c>
      <c r="BH118" s="653">
        <f t="shared" si="203"/>
        <v>39.782267298209774</v>
      </c>
      <c r="BI118" s="653">
        <f t="shared" si="203"/>
        <v>35.562076298661417</v>
      </c>
      <c r="BJ118" s="653">
        <f t="shared" si="203"/>
        <v>29.877788057433573</v>
      </c>
      <c r="BK118" s="656">
        <f>+BK117*1000/($D$7*365)</f>
        <v>907.10221917808201</v>
      </c>
      <c r="BL118" s="653">
        <f t="shared" ref="BL118:BX118" si="204">+BL117*1000/($D$7*365)</f>
        <v>857.01354737124529</v>
      </c>
      <c r="BM118" s="653">
        <f t="shared" si="204"/>
        <v>708.27042875184122</v>
      </c>
      <c r="BN118" s="653">
        <f t="shared" si="204"/>
        <v>540.44725484069693</v>
      </c>
      <c r="BO118" s="653">
        <f t="shared" si="204"/>
        <v>423.18296280844186</v>
      </c>
      <c r="BP118" s="653">
        <f t="shared" si="204"/>
        <v>277.72556308563128</v>
      </c>
      <c r="BQ118" s="653">
        <f t="shared" si="204"/>
        <v>167.40082958217096</v>
      </c>
      <c r="BR118" s="653">
        <f t="shared" si="204"/>
        <v>113.66430866090849</v>
      </c>
      <c r="BS118" s="653">
        <f t="shared" si="204"/>
        <v>86.179534515747221</v>
      </c>
      <c r="BT118" s="653">
        <f t="shared" si="204"/>
        <v>52.708440770773045</v>
      </c>
      <c r="BU118" s="653">
        <f t="shared" si="204"/>
        <v>38.035578449319281</v>
      </c>
      <c r="BV118" s="653">
        <f t="shared" si="204"/>
        <v>28.498670308086265</v>
      </c>
      <c r="BW118" s="653">
        <f t="shared" si="204"/>
        <v>21.316138413682069</v>
      </c>
      <c r="BX118" s="654">
        <f t="shared" si="204"/>
        <v>14.568623391782877</v>
      </c>
    </row>
    <row r="119" spans="10:76" x14ac:dyDescent="0.25">
      <c r="AB119" t="s">
        <v>1221</v>
      </c>
      <c r="AC119" t="s">
        <v>1224</v>
      </c>
    </row>
    <row r="120" spans="10:76" ht="31.5" x14ac:dyDescent="0.25">
      <c r="J120" s="549" t="str">
        <f>J98</f>
        <v>Basin</v>
      </c>
      <c r="K120" s="549" t="str">
        <f>K98</f>
        <v>Type Fluid</v>
      </c>
      <c r="L120" s="549" t="str">
        <f>L98</f>
        <v>CAM</v>
      </c>
      <c r="M120" s="549" t="str">
        <f>M98</f>
        <v>Type of Oil producing</v>
      </c>
      <c r="N120" s="659" t="s">
        <v>1049</v>
      </c>
      <c r="Y120" s="818" t="s">
        <v>1010</v>
      </c>
      <c r="Z120" s="818" t="s">
        <v>804</v>
      </c>
      <c r="AA120" s="821" t="s">
        <v>1197</v>
      </c>
      <c r="AB120" s="821" t="s">
        <v>1198</v>
      </c>
      <c r="AC120" s="821" t="s">
        <v>1200</v>
      </c>
    </row>
    <row r="121" spans="10:76" ht="15.75" x14ac:dyDescent="0.25">
      <c r="J121" s="155" t="str">
        <f>J99</f>
        <v>Guajira</v>
      </c>
      <c r="K121" s="155" t="str">
        <f>K99</f>
        <v>Doesn't Apply</v>
      </c>
      <c r="L121" s="554" t="str">
        <f>L99</f>
        <v>CAM1</v>
      </c>
      <c r="M121" s="555" t="str">
        <f>M99</f>
        <v>GU - Gas</v>
      </c>
      <c r="N121" s="386">
        <f>+$T$133/1000</f>
        <v>1.0582000000000001E-2</v>
      </c>
      <c r="O121" s="386" t="s">
        <v>958</v>
      </c>
      <c r="S121">
        <v>11.07</v>
      </c>
      <c r="U121">
        <f>+S121*N121</f>
        <v>0.11714274000000001</v>
      </c>
      <c r="X121" s="555" t="s">
        <v>1000</v>
      </c>
      <c r="Y121" s="819" cm="1">
        <f t="array" ref="Y121:Y127">+P99:P105</f>
        <v>1</v>
      </c>
      <c r="Z121" s="820" cm="1">
        <f t="array" ref="Z121:Z127">+Q99:Q105</f>
        <v>66.042848806832495</v>
      </c>
      <c r="AA121" t="s">
        <v>1152</v>
      </c>
      <c r="AB121" t="s">
        <v>1152</v>
      </c>
      <c r="AC121" t="s">
        <v>511</v>
      </c>
    </row>
    <row r="122" spans="10:76" ht="15.75" x14ac:dyDescent="0.25">
      <c r="J122" s="155" t="str">
        <f>J100</f>
        <v>Llanos Orientales</v>
      </c>
      <c r="K122" s="155" t="str">
        <f>K100</f>
        <v>Light Oil</v>
      </c>
      <c r="L122" s="554" t="str">
        <f>L100</f>
        <v>CAM2</v>
      </c>
      <c r="M122" s="559" t="str">
        <f>M100</f>
        <v>LLO - Ligth</v>
      </c>
      <c r="N122" s="386">
        <f t="shared" ref="N122:N127" si="205">+$T$133/1000</f>
        <v>1.0582000000000001E-2</v>
      </c>
      <c r="O122" s="386" t="s">
        <v>958</v>
      </c>
      <c r="S122">
        <v>363.69</v>
      </c>
      <c r="U122">
        <f t="shared" ref="U122:U127" si="206">+S122*N122</f>
        <v>3.8485675800000005</v>
      </c>
      <c r="X122" s="559" t="s">
        <v>995</v>
      </c>
      <c r="Y122" s="819">
        <v>0.70411500249785086</v>
      </c>
      <c r="Z122" s="820">
        <v>209.74608813235034</v>
      </c>
      <c r="AA122" t="s">
        <v>1152</v>
      </c>
      <c r="AB122" t="s">
        <v>1152</v>
      </c>
      <c r="AC122" t="s">
        <v>511</v>
      </c>
    </row>
    <row r="123" spans="10:76" ht="15.75" x14ac:dyDescent="0.25">
      <c r="J123" s="155" t="str">
        <f>J101</f>
        <v>Llanos Orientales</v>
      </c>
      <c r="K123" s="155" t="str">
        <f>K101</f>
        <v>Heavy Oil</v>
      </c>
      <c r="L123" s="554" t="str">
        <f>L101</f>
        <v>CAM3</v>
      </c>
      <c r="M123" s="156" t="str">
        <f>M101</f>
        <v>LLO - Heavy</v>
      </c>
      <c r="N123" s="386">
        <f>+(T135+$T$133)/1000</f>
        <v>1.4998000000000001E-2</v>
      </c>
      <c r="O123" s="386" t="s">
        <v>958</v>
      </c>
      <c r="S123">
        <v>726.7</v>
      </c>
      <c r="U123">
        <f t="shared" si="206"/>
        <v>10.899046600000002</v>
      </c>
      <c r="X123" s="156" t="s">
        <v>996</v>
      </c>
      <c r="Y123" s="819">
        <v>2.8224919834781799E-3</v>
      </c>
      <c r="Z123" s="820">
        <v>0.23786180586758954</v>
      </c>
      <c r="AA123" t="s">
        <v>1152</v>
      </c>
      <c r="AB123" t="s">
        <v>511</v>
      </c>
      <c r="AC123" t="s">
        <v>1152</v>
      </c>
    </row>
    <row r="124" spans="10:76" ht="15.75" x14ac:dyDescent="0.25">
      <c r="J124" s="155" t="str">
        <f>J102</f>
        <v>Putumayo</v>
      </c>
      <c r="K124" s="155" t="str">
        <f>K102</f>
        <v>Light Oil</v>
      </c>
      <c r="L124" s="554" t="str">
        <f>L102</f>
        <v>CAM4</v>
      </c>
      <c r="M124" s="156" t="str">
        <f>M102</f>
        <v>PU - Ligth</v>
      </c>
      <c r="N124" s="386">
        <f t="shared" si="205"/>
        <v>1.0582000000000001E-2</v>
      </c>
      <c r="O124" s="386" t="s">
        <v>958</v>
      </c>
      <c r="P124" s="1"/>
      <c r="S124">
        <v>5.64</v>
      </c>
      <c r="U124">
        <f t="shared" si="206"/>
        <v>5.9682480000000003E-2</v>
      </c>
      <c r="X124" s="156" t="s">
        <v>997</v>
      </c>
      <c r="Y124" s="819">
        <v>0.2264193930205074</v>
      </c>
      <c r="Z124" s="820">
        <v>0</v>
      </c>
      <c r="AA124" t="s">
        <v>1152</v>
      </c>
      <c r="AB124" t="s">
        <v>511</v>
      </c>
      <c r="AC124" t="s">
        <v>1152</v>
      </c>
    </row>
    <row r="125" spans="10:76" ht="15.75" x14ac:dyDescent="0.25">
      <c r="J125" s="155" t="str">
        <f>J103</f>
        <v>VMM</v>
      </c>
      <c r="K125" s="155" t="str">
        <f>K103</f>
        <v>Medium Oil</v>
      </c>
      <c r="L125" s="554" t="str">
        <f>L103</f>
        <v>CAM5</v>
      </c>
      <c r="M125" s="156" t="str">
        <f>M103</f>
        <v>VMM - Medium</v>
      </c>
      <c r="N125" s="386">
        <f t="shared" si="205"/>
        <v>1.0582000000000001E-2</v>
      </c>
      <c r="O125" s="386" t="s">
        <v>958</v>
      </c>
      <c r="P125" s="1"/>
      <c r="S125">
        <v>165.44</v>
      </c>
      <c r="U125">
        <f t="shared" si="206"/>
        <v>1.7506860800000001</v>
      </c>
      <c r="X125" s="156" t="s">
        <v>998</v>
      </c>
      <c r="Y125" s="819">
        <v>2.9005932398423979E-2</v>
      </c>
      <c r="Z125" s="820">
        <v>2.2768748695271519</v>
      </c>
      <c r="AA125" t="s">
        <v>1152</v>
      </c>
      <c r="AB125" t="s">
        <v>511</v>
      </c>
      <c r="AC125" t="s">
        <v>1152</v>
      </c>
    </row>
    <row r="126" spans="10:76" ht="15.75" x14ac:dyDescent="0.25">
      <c r="J126" s="155" t="str">
        <f>J104</f>
        <v>VSM</v>
      </c>
      <c r="K126" s="155" t="str">
        <f>K104</f>
        <v>Medium Oil</v>
      </c>
      <c r="L126" s="554" t="str">
        <f>L104</f>
        <v>CAM6</v>
      </c>
      <c r="M126" s="559" t="str">
        <f>M104</f>
        <v>VSM - Medium</v>
      </c>
      <c r="N126" s="386">
        <f t="shared" si="205"/>
        <v>1.0582000000000001E-2</v>
      </c>
      <c r="O126" s="386" t="s">
        <v>958</v>
      </c>
      <c r="P126" s="1"/>
      <c r="S126">
        <v>29.86</v>
      </c>
      <c r="U126">
        <f t="shared" si="206"/>
        <v>0.31597852000000004</v>
      </c>
      <c r="X126" s="559" t="s">
        <v>999</v>
      </c>
      <c r="Y126" s="819">
        <v>4.9174002504380532E-2</v>
      </c>
      <c r="Z126" s="820">
        <v>0.61987830491387741</v>
      </c>
      <c r="AA126" t="s">
        <v>1152</v>
      </c>
      <c r="AB126" t="s">
        <v>511</v>
      </c>
      <c r="AC126" t="s">
        <v>1152</v>
      </c>
    </row>
    <row r="127" spans="10:76" ht="15.75" x14ac:dyDescent="0.25">
      <c r="J127" s="155" t="s">
        <v>1111</v>
      </c>
      <c r="K127" s="155" t="str">
        <f>+K105</f>
        <v>Doesn't Apply</v>
      </c>
      <c r="L127" s="554" t="str">
        <f>+L105</f>
        <v>CAM7</v>
      </c>
      <c r="M127" s="559" t="str">
        <f>+M105</f>
        <v>VIM - GAS</v>
      </c>
      <c r="N127" s="386">
        <f t="shared" si="205"/>
        <v>1.0582000000000001E-2</v>
      </c>
      <c r="O127" s="386" t="s">
        <v>958</v>
      </c>
      <c r="P127" s="1"/>
      <c r="S127">
        <v>11.13</v>
      </c>
      <c r="U127">
        <f t="shared" si="206"/>
        <v>0.11777766000000002</v>
      </c>
      <c r="X127" s="559" t="s">
        <v>1161</v>
      </c>
      <c r="Y127" s="819">
        <v>0.99457310605335914</v>
      </c>
      <c r="Z127" s="820">
        <v>13.465657577297089</v>
      </c>
      <c r="AA127" t="s">
        <v>1152</v>
      </c>
      <c r="AB127" t="s">
        <v>1152</v>
      </c>
      <c r="AC127" t="s">
        <v>511</v>
      </c>
    </row>
    <row r="128" spans="10:76" x14ac:dyDescent="0.25">
      <c r="J128" s="155" t="str">
        <f>J106</f>
        <v>Llanos Orientales</v>
      </c>
      <c r="K128" s="155" t="str">
        <f>K106</f>
        <v>Medium Oil</v>
      </c>
      <c r="L128" s="554" t="str">
        <f>L106</f>
        <v>P</v>
      </c>
      <c r="M128" s="155">
        <f>M106</f>
        <v>0</v>
      </c>
      <c r="N128" s="658"/>
      <c r="O128" s="396"/>
      <c r="P128" s="1"/>
      <c r="U128">
        <f>+SUM(U121:U127)</f>
        <v>17.108881660000005</v>
      </c>
      <c r="V128" t="s">
        <v>9</v>
      </c>
    </row>
    <row r="129" spans="10:33" x14ac:dyDescent="0.25">
      <c r="J129" s="155" t="str">
        <f>J107</f>
        <v>Putumayo</v>
      </c>
      <c r="K129" s="155" t="str">
        <f>K107</f>
        <v>Medium Oil</v>
      </c>
      <c r="L129" s="554" t="str">
        <f>L107</f>
        <v>P</v>
      </c>
      <c r="M129" s="155">
        <f>M107</f>
        <v>0</v>
      </c>
      <c r="N129" s="658"/>
      <c r="O129" s="396"/>
      <c r="P129" s="1"/>
      <c r="U129">
        <f>+U128/0.0036</f>
        <v>4752.4671277777798</v>
      </c>
      <c r="V129" t="s">
        <v>559</v>
      </c>
    </row>
    <row r="130" spans="10:33" x14ac:dyDescent="0.25">
      <c r="J130" s="155" t="str">
        <f>J108</f>
        <v>Putumayo</v>
      </c>
      <c r="K130" s="155" t="str">
        <f>K108</f>
        <v>Heavy Oil</v>
      </c>
      <c r="L130" s="554" t="str">
        <f>L108</f>
        <v>P</v>
      </c>
      <c r="M130" s="155">
        <f>M108</f>
        <v>0</v>
      </c>
      <c r="N130" s="658"/>
      <c r="O130" s="396"/>
      <c r="P130" s="1"/>
    </row>
    <row r="131" spans="10:33" x14ac:dyDescent="0.25">
      <c r="J131" s="155" t="str">
        <f>J109</f>
        <v>VMM</v>
      </c>
      <c r="K131" s="155" t="str">
        <f>K109</f>
        <v>Light Oil</v>
      </c>
      <c r="L131" s="554" t="str">
        <f>L109</f>
        <v>P</v>
      </c>
      <c r="M131" s="155">
        <f>M109</f>
        <v>0</v>
      </c>
      <c r="N131" s="658"/>
      <c r="O131" s="396"/>
      <c r="P131" s="1"/>
      <c r="T131" t="str">
        <f>General_SEC_SGC!J7</f>
        <v>Electricity consumption</v>
      </c>
    </row>
    <row r="132" spans="10:33" x14ac:dyDescent="0.25">
      <c r="J132" s="155" t="str">
        <f>J110</f>
        <v>VMM</v>
      </c>
      <c r="K132" s="155" t="str">
        <f>K110</f>
        <v>Heavy Oil</v>
      </c>
      <c r="L132" s="554" t="str">
        <f>L110</f>
        <v>P</v>
      </c>
      <c r="M132" s="155">
        <f>M110</f>
        <v>0</v>
      </c>
      <c r="N132" s="658"/>
      <c r="O132" s="396"/>
      <c r="P132" s="1"/>
      <c r="S132" t="str">
        <f>General_SEC_SGC!I8</f>
        <v xml:space="preserve">Production </v>
      </c>
      <c r="T132">
        <f>General_SEC_SGC!J8</f>
        <v>16.216999999999999</v>
      </c>
      <c r="U132" t="s">
        <v>1220</v>
      </c>
    </row>
    <row r="133" spans="10:33" x14ac:dyDescent="0.25">
      <c r="J133" s="155" t="str">
        <f>J111</f>
        <v>VSM</v>
      </c>
      <c r="K133" s="155" t="str">
        <f>K111</f>
        <v>Light Oil</v>
      </c>
      <c r="L133" s="554" t="str">
        <f>L111</f>
        <v>P</v>
      </c>
      <c r="M133" s="155">
        <f>M111</f>
        <v>0</v>
      </c>
      <c r="N133" s="1"/>
      <c r="O133" s="1"/>
      <c r="P133" s="1"/>
      <c r="S133" t="str">
        <f>General_SEC_SGC!I9</f>
        <v>Wells</v>
      </c>
      <c r="T133">
        <f>General_SEC_SGC!J9</f>
        <v>10.582000000000001</v>
      </c>
      <c r="U133" t="s">
        <v>1220</v>
      </c>
    </row>
    <row r="134" spans="10:33" x14ac:dyDescent="0.25">
      <c r="J134" s="155" t="str">
        <f>J112</f>
        <v>VSM</v>
      </c>
      <c r="K134" s="155" t="str">
        <f>K112</f>
        <v>Heavy Oil</v>
      </c>
      <c r="L134" s="554" t="str">
        <f>L112</f>
        <v>P</v>
      </c>
      <c r="M134" s="155">
        <f>M112</f>
        <v>0</v>
      </c>
      <c r="N134" s="1"/>
      <c r="O134" s="1"/>
      <c r="P134" s="1"/>
      <c r="S134" t="str">
        <f>General_SEC_SGC!I10</f>
        <v>Gras treatment</v>
      </c>
      <c r="T134">
        <f>General_SEC_SGC!J10</f>
        <v>1.2190000000000001</v>
      </c>
      <c r="U134" t="s">
        <v>1220</v>
      </c>
    </row>
    <row r="135" spans="10:33" s="1" customFormat="1" x14ac:dyDescent="0.25">
      <c r="L135" s="320"/>
      <c r="S135" t="str">
        <f>General_SEC_SGC!I11</f>
        <v>Crude Treatment</v>
      </c>
      <c r="T135">
        <f>General_SEC_SGC!J11</f>
        <v>4.4160000000000004</v>
      </c>
      <c r="U135" t="s">
        <v>1220</v>
      </c>
    </row>
    <row r="136" spans="10:33" s="1" customFormat="1" x14ac:dyDescent="0.25">
      <c r="L136" s="320"/>
      <c r="S136" t="str">
        <f>General_SEC_SGC!I12</f>
        <v>PowerPlant</v>
      </c>
      <c r="T136">
        <f>General_SEC_SGC!J12</f>
        <v>16.216999999999999</v>
      </c>
      <c r="U136" t="s">
        <v>1220</v>
      </c>
    </row>
    <row r="137" spans="10:33" s="1" customFormat="1" ht="15.75" thickBot="1" x14ac:dyDescent="0.3">
      <c r="L137" s="320"/>
    </row>
    <row r="138" spans="10:33" s="1" customFormat="1" ht="19.5" thickBot="1" x14ac:dyDescent="0.35">
      <c r="J138" s="921" t="s">
        <v>1418</v>
      </c>
      <c r="K138" s="922"/>
      <c r="L138" s="922"/>
      <c r="M138" s="922"/>
      <c r="N138" s="922"/>
      <c r="O138" s="922"/>
      <c r="P138" s="922"/>
      <c r="Q138" s="922"/>
      <c r="R138" s="922"/>
      <c r="S138" s="922"/>
      <c r="T138" s="922"/>
      <c r="U138" s="922"/>
      <c r="V138" s="922"/>
      <c r="W138" s="922"/>
      <c r="X138" s="922"/>
      <c r="Y138" s="922"/>
      <c r="Z138" s="922"/>
      <c r="AA138" s="922"/>
      <c r="AB138" s="922"/>
      <c r="AC138" s="922"/>
      <c r="AD138" s="922"/>
      <c r="AE138" s="922"/>
      <c r="AF138" s="922"/>
      <c r="AG138" s="923"/>
    </row>
    <row r="139" spans="10:33" s="1" customFormat="1" x14ac:dyDescent="0.25">
      <c r="L139" s="320"/>
    </row>
    <row r="140" spans="10:33" s="1" customFormat="1" ht="31.5" x14ac:dyDescent="0.25">
      <c r="J140" s="549" t="str">
        <f t="shared" ref="J140:M147" si="207">J120</f>
        <v>Basin</v>
      </c>
      <c r="K140" s="549" t="str">
        <f t="shared" si="207"/>
        <v>Type Fluid</v>
      </c>
      <c r="L140" s="549" t="str">
        <f t="shared" si="207"/>
        <v>CAM</v>
      </c>
      <c r="M140" s="549" t="str">
        <f t="shared" si="207"/>
        <v>Type of Oil producing</v>
      </c>
      <c r="N140" s="468" t="s">
        <v>1416</v>
      </c>
    </row>
    <row r="141" spans="10:33" s="1" customFormat="1" ht="15.75" x14ac:dyDescent="0.25">
      <c r="J141" s="155" t="str">
        <f t="shared" si="207"/>
        <v>Guajira</v>
      </c>
      <c r="K141" s="155" t="str">
        <f t="shared" si="207"/>
        <v>Doesn't Apply</v>
      </c>
      <c r="L141" s="554" t="str">
        <f t="shared" si="207"/>
        <v>CAM1</v>
      </c>
      <c r="M141" s="555" t="str">
        <f t="shared" si="207"/>
        <v>GU - Gas</v>
      </c>
      <c r="N141" s="1">
        <f>+T144</f>
        <v>0.4</v>
      </c>
      <c r="S141"/>
      <c r="T141" t="s">
        <v>1193</v>
      </c>
    </row>
    <row r="142" spans="10:33" s="1" customFormat="1" ht="15.75" x14ac:dyDescent="0.25">
      <c r="J142" s="155" t="str">
        <f t="shared" si="207"/>
        <v>Llanos Orientales</v>
      </c>
      <c r="K142" s="155" t="str">
        <f t="shared" si="207"/>
        <v>Light Oil</v>
      </c>
      <c r="L142" s="554" t="str">
        <f t="shared" si="207"/>
        <v>CAM2</v>
      </c>
      <c r="M142" s="559" t="str">
        <f t="shared" si="207"/>
        <v>LLO - Ligth</v>
      </c>
      <c r="N142" s="1">
        <f>+T144+0.5</f>
        <v>0.9</v>
      </c>
      <c r="S142" t="s">
        <v>1196</v>
      </c>
      <c r="T142">
        <v>1.8</v>
      </c>
    </row>
    <row r="143" spans="10:33" s="1" customFormat="1" x14ac:dyDescent="0.25">
      <c r="J143" s="155" t="str">
        <f t="shared" si="207"/>
        <v>Llanos Orientales</v>
      </c>
      <c r="K143" s="155" t="str">
        <f t="shared" si="207"/>
        <v>Heavy Oil</v>
      </c>
      <c r="L143" s="554" t="str">
        <f t="shared" si="207"/>
        <v>CAM3</v>
      </c>
      <c r="M143" s="156" t="str">
        <f t="shared" si="207"/>
        <v>LLO - Heavy</v>
      </c>
      <c r="N143" s="1">
        <f>+T145</f>
        <v>0.5</v>
      </c>
      <c r="S143" t="s">
        <v>1197</v>
      </c>
      <c r="T143">
        <v>0.3</v>
      </c>
    </row>
    <row r="144" spans="10:33" s="1" customFormat="1" x14ac:dyDescent="0.25">
      <c r="J144" s="155" t="str">
        <f t="shared" si="207"/>
        <v>Putumayo</v>
      </c>
      <c r="K144" s="155" t="str">
        <f t="shared" si="207"/>
        <v>Light Oil</v>
      </c>
      <c r="L144" s="554" t="str">
        <f t="shared" si="207"/>
        <v>CAM4</v>
      </c>
      <c r="M144" s="156" t="str">
        <f t="shared" si="207"/>
        <v>PU - Ligth</v>
      </c>
      <c r="N144" s="1">
        <f>+T145</f>
        <v>0.5</v>
      </c>
      <c r="S144" t="s">
        <v>1199</v>
      </c>
      <c r="T144">
        <v>0.4</v>
      </c>
    </row>
    <row r="145" spans="10:57" s="1" customFormat="1" x14ac:dyDescent="0.25">
      <c r="J145" s="155" t="str">
        <f t="shared" si="207"/>
        <v>VMM</v>
      </c>
      <c r="K145" s="155" t="str">
        <f t="shared" si="207"/>
        <v>Medium Oil</v>
      </c>
      <c r="L145" s="554" t="str">
        <f t="shared" si="207"/>
        <v>CAM5</v>
      </c>
      <c r="M145" s="156" t="str">
        <f t="shared" si="207"/>
        <v>VMM - Medium</v>
      </c>
      <c r="N145" s="1">
        <f>+T145</f>
        <v>0.5</v>
      </c>
      <c r="S145" t="s">
        <v>1200</v>
      </c>
      <c r="T145">
        <v>0.5</v>
      </c>
    </row>
    <row r="146" spans="10:57" s="1" customFormat="1" ht="15.75" x14ac:dyDescent="0.25">
      <c r="J146" s="155" t="str">
        <f t="shared" si="207"/>
        <v>VSM</v>
      </c>
      <c r="K146" s="155" t="str">
        <f t="shared" si="207"/>
        <v>Medium Oil</v>
      </c>
      <c r="L146" s="554" t="str">
        <f t="shared" si="207"/>
        <v>CAM6</v>
      </c>
      <c r="M146" s="559" t="str">
        <f t="shared" si="207"/>
        <v>VSM - Medium</v>
      </c>
      <c r="N146" s="1">
        <f>+T145</f>
        <v>0.5</v>
      </c>
      <c r="S146" t="s">
        <v>1202</v>
      </c>
      <c r="T146">
        <v>0.7</v>
      </c>
    </row>
    <row r="147" spans="10:57" s="1" customFormat="1" ht="15.75" x14ac:dyDescent="0.25">
      <c r="J147" s="155" t="str">
        <f t="shared" si="207"/>
        <v>VIM</v>
      </c>
      <c r="K147" s="155" t="str">
        <f t="shared" si="207"/>
        <v>Doesn't Apply</v>
      </c>
      <c r="L147" s="554" t="str">
        <f t="shared" si="207"/>
        <v>CAM7</v>
      </c>
      <c r="M147" s="559" t="str">
        <f t="shared" si="207"/>
        <v>VIM - GAS</v>
      </c>
      <c r="N147" s="1">
        <f>+T144</f>
        <v>0.4</v>
      </c>
    </row>
    <row r="148" spans="10:57" s="1" customFormat="1" x14ac:dyDescent="0.25">
      <c r="L148" s="320"/>
    </row>
    <row r="149" spans="10:57" s="1" customFormat="1" x14ac:dyDescent="0.25">
      <c r="L149" s="320"/>
    </row>
    <row r="150" spans="10:57" s="1" customFormat="1" x14ac:dyDescent="0.25"/>
    <row r="151" spans="10:57" s="1" customFormat="1" ht="15.75" thickBot="1" x14ac:dyDescent="0.3"/>
    <row r="152" spans="10:57" ht="19.5" thickBot="1" x14ac:dyDescent="0.35">
      <c r="J152" s="921" t="s">
        <v>1419</v>
      </c>
      <c r="K152" s="922"/>
      <c r="L152" s="922"/>
      <c r="M152" s="922"/>
      <c r="N152" s="922"/>
      <c r="O152" s="922"/>
      <c r="P152" s="922"/>
      <c r="Q152" s="922"/>
      <c r="R152" s="922"/>
      <c r="S152" s="922"/>
      <c r="T152" s="922"/>
      <c r="U152" s="922"/>
      <c r="V152" s="922"/>
      <c r="W152" s="922"/>
      <c r="X152" s="922"/>
      <c r="Y152" s="922"/>
      <c r="Z152" s="922"/>
      <c r="AA152" s="922"/>
      <c r="AB152" s="922"/>
      <c r="AC152" s="922"/>
      <c r="AD152" s="922"/>
      <c r="AE152" s="922"/>
      <c r="AF152" s="922"/>
      <c r="AG152" s="923"/>
    </row>
    <row r="154" spans="10:57" ht="18.75" x14ac:dyDescent="0.3">
      <c r="J154" t="s">
        <v>1050</v>
      </c>
      <c r="W154" s="454" t="s">
        <v>1058</v>
      </c>
      <c r="X154" s="454"/>
      <c r="Y154" s="454"/>
      <c r="Z154" s="454"/>
      <c r="AA154" s="454"/>
      <c r="AB154" s="454"/>
      <c r="AC154" s="454"/>
      <c r="AF154" s="454" t="s">
        <v>1059</v>
      </c>
      <c r="AG154" s="454"/>
      <c r="AH154" s="454"/>
      <c r="AI154" s="454"/>
      <c r="AJ154" s="454"/>
      <c r="AK154" s="454"/>
      <c r="AL154" s="454"/>
      <c r="AY154" s="454" t="s">
        <v>1060</v>
      </c>
      <c r="AZ154" s="454"/>
      <c r="BA154" s="454"/>
      <c r="BB154" s="454"/>
      <c r="BC154" s="454"/>
      <c r="BD154" s="454"/>
      <c r="BE154" s="454"/>
    </row>
    <row r="155" spans="10:57" ht="31.5" x14ac:dyDescent="0.25">
      <c r="J155" s="549" t="str">
        <f>J120</f>
        <v>Basin</v>
      </c>
      <c r="K155" s="549" t="str">
        <f>K120</f>
        <v>Type Fluid</v>
      </c>
      <c r="L155" s="549" t="str">
        <f>L120</f>
        <v>CAM</v>
      </c>
      <c r="M155" s="549" t="str">
        <f>M120</f>
        <v>Type of Oil producing</v>
      </c>
      <c r="N155" s="486" t="s">
        <v>1051</v>
      </c>
      <c r="W155" t="s">
        <v>1054</v>
      </c>
      <c r="X155" t="s">
        <v>1055</v>
      </c>
      <c r="Y155" t="s">
        <v>848</v>
      </c>
      <c r="Z155" t="s">
        <v>886</v>
      </c>
      <c r="AA155" t="s">
        <v>890</v>
      </c>
      <c r="AB155" t="s">
        <v>831</v>
      </c>
      <c r="AC155" t="s">
        <v>1056</v>
      </c>
      <c r="AF155" t="s">
        <v>1054</v>
      </c>
      <c r="AG155" t="s">
        <v>1055</v>
      </c>
      <c r="AH155" t="s">
        <v>848</v>
      </c>
      <c r="AI155" t="s">
        <v>886</v>
      </c>
      <c r="AJ155" t="s">
        <v>890</v>
      </c>
      <c r="AK155" t="s">
        <v>831</v>
      </c>
      <c r="AL155" t="s">
        <v>1056</v>
      </c>
      <c r="AO155" t="s">
        <v>1054</v>
      </c>
      <c r="AP155" t="s">
        <v>1055</v>
      </c>
      <c r="AQ155" t="s">
        <v>848</v>
      </c>
      <c r="AR155" t="s">
        <v>886</v>
      </c>
      <c r="AS155" t="s">
        <v>890</v>
      </c>
      <c r="AT155" t="s">
        <v>831</v>
      </c>
      <c r="AU155" t="s">
        <v>1056</v>
      </c>
      <c r="AY155" t="s">
        <v>1054</v>
      </c>
      <c r="AZ155" t="s">
        <v>1055</v>
      </c>
      <c r="BA155" t="s">
        <v>848</v>
      </c>
      <c r="BB155" t="s">
        <v>886</v>
      </c>
      <c r="BC155" t="s">
        <v>890</v>
      </c>
      <c r="BD155" t="s">
        <v>831</v>
      </c>
      <c r="BE155" t="s">
        <v>1056</v>
      </c>
    </row>
    <row r="156" spans="10:57" ht="15.75" x14ac:dyDescent="0.25">
      <c r="J156" s="155" t="str">
        <f>J121</f>
        <v>Guajira</v>
      </c>
      <c r="K156" s="155" t="str">
        <f>K121</f>
        <v>Doesn't Apply</v>
      </c>
      <c r="L156" s="554" t="str">
        <f>L121</f>
        <v>CAM1</v>
      </c>
      <c r="M156" s="555" t="str">
        <f>M121</f>
        <v>GU - Gas</v>
      </c>
      <c r="N156" s="666">
        <v>0</v>
      </c>
      <c r="O156" s="667" t="s">
        <v>556</v>
      </c>
      <c r="P156" s="371">
        <f>+N156*(365/1000)*$D$14/1000</f>
        <v>0</v>
      </c>
      <c r="Q156" t="s">
        <v>9</v>
      </c>
      <c r="V156">
        <v>2019</v>
      </c>
      <c r="W156" s="57">
        <v>2253.928870417391</v>
      </c>
      <c r="X156" s="57">
        <v>3992.1013839447819</v>
      </c>
      <c r="Y156" s="57">
        <v>469.74801054894476</v>
      </c>
      <c r="Z156" s="57">
        <v>1938.6301241137664</v>
      </c>
      <c r="AA156" s="57">
        <v>7348.5205434398176</v>
      </c>
      <c r="AB156" s="57">
        <v>162.27952651346473</v>
      </c>
      <c r="AC156" s="57">
        <v>0</v>
      </c>
      <c r="AE156">
        <v>2019</v>
      </c>
      <c r="AF156" s="57">
        <v>347.22849429808105</v>
      </c>
      <c r="AG156" s="57">
        <v>651.23296939487716</v>
      </c>
      <c r="AH156" s="57">
        <v>0</v>
      </c>
      <c r="AI156" s="57">
        <v>0</v>
      </c>
      <c r="AJ156" s="57">
        <v>1470.6685125882132</v>
      </c>
      <c r="AK156" s="57">
        <v>0</v>
      </c>
      <c r="AL156" s="57">
        <v>0</v>
      </c>
      <c r="AN156">
        <v>2019</v>
      </c>
      <c r="AO156" s="63">
        <f>+AF156/W156</f>
        <v>0.15405477025270101</v>
      </c>
      <c r="AP156" s="63">
        <f t="shared" ref="AP156:AT156" si="208">+AG156/X156</f>
        <v>0.16313036838542497</v>
      </c>
      <c r="AQ156" s="63">
        <f t="shared" si="208"/>
        <v>0</v>
      </c>
      <c r="AR156" s="63">
        <f t="shared" si="208"/>
        <v>0</v>
      </c>
      <c r="AS156" s="63">
        <f t="shared" si="208"/>
        <v>0.20013123783141773</v>
      </c>
      <c r="AT156" s="63">
        <f t="shared" si="208"/>
        <v>0</v>
      </c>
      <c r="AU156" s="63"/>
      <c r="AX156">
        <v>2019</v>
      </c>
      <c r="AY156" s="57">
        <f t="shared" ref="AY156:BE161" si="209">+W156-AF156</f>
        <v>1906.70037611931</v>
      </c>
      <c r="AZ156" s="57">
        <f t="shared" si="209"/>
        <v>3340.8684145499046</v>
      </c>
      <c r="BA156" s="57">
        <f t="shared" si="209"/>
        <v>469.74801054894476</v>
      </c>
      <c r="BB156" s="57">
        <f t="shared" si="209"/>
        <v>1938.6301241137664</v>
      </c>
      <c r="BC156" s="57">
        <f t="shared" si="209"/>
        <v>5877.8520308516045</v>
      </c>
      <c r="BD156" s="57">
        <f t="shared" si="209"/>
        <v>162.27952651346473</v>
      </c>
      <c r="BE156" s="57">
        <f t="shared" si="209"/>
        <v>0</v>
      </c>
    </row>
    <row r="157" spans="10:57" ht="15.75" x14ac:dyDescent="0.25">
      <c r="J157" s="155" t="str">
        <f>J122</f>
        <v>Llanos Orientales</v>
      </c>
      <c r="K157" s="155" t="str">
        <f>K122</f>
        <v>Light Oil</v>
      </c>
      <c r="L157" s="554" t="str">
        <f>L122</f>
        <v>CAM2</v>
      </c>
      <c r="M157" s="559" t="str">
        <f>M122</f>
        <v>LLO - Ligth</v>
      </c>
      <c r="N157" s="666">
        <f>+Z164+AA164</f>
        <v>14800</v>
      </c>
      <c r="O157" s="667" t="s">
        <v>556</v>
      </c>
      <c r="P157" s="122">
        <f>+N157*(365/1000)*$D$14/1000</f>
        <v>21.91194918242925</v>
      </c>
      <c r="Q157" t="s">
        <v>9</v>
      </c>
      <c r="V157">
        <v>2020</v>
      </c>
      <c r="W157" s="57">
        <v>3027.9177591474381</v>
      </c>
      <c r="X157" s="57">
        <v>3316.6466078710505</v>
      </c>
      <c r="Y157" s="57">
        <v>347.53424063269131</v>
      </c>
      <c r="Z157" s="57">
        <v>7140.2739468576701</v>
      </c>
      <c r="AA157" s="57">
        <v>7420.2740498379508</v>
      </c>
      <c r="AB157" s="57">
        <v>176.72627372066282</v>
      </c>
      <c r="AC157" s="57">
        <v>1571.0794682741891</v>
      </c>
      <c r="AD157" s="57"/>
      <c r="AE157">
        <v>2020</v>
      </c>
      <c r="AF157" s="57">
        <v>350.95902255861745</v>
      </c>
      <c r="AG157" s="57">
        <v>453.64932302125374</v>
      </c>
      <c r="AH157" s="57">
        <v>0</v>
      </c>
      <c r="AI157" s="57">
        <v>586.84388285864247</v>
      </c>
      <c r="AJ157" s="57">
        <v>6570.3589924795442</v>
      </c>
      <c r="AK157" s="57">
        <v>0</v>
      </c>
      <c r="AL157" s="57">
        <v>0</v>
      </c>
      <c r="AN157">
        <v>2020</v>
      </c>
      <c r="AO157" s="63">
        <f t="shared" ref="AO157:AO161" si="210">+AF157/W157</f>
        <v>0.1159077129814239</v>
      </c>
      <c r="AP157" s="63">
        <f t="shared" ref="AP157:AP161" si="211">+AG157/X157</f>
        <v>0.13677951758401249</v>
      </c>
      <c r="AQ157" s="63">
        <f t="shared" ref="AQ157:AQ161" si="212">+AH157/Y157</f>
        <v>0</v>
      </c>
      <c r="AR157" s="63">
        <f t="shared" ref="AR157:AR161" si="213">+AI157/Z157</f>
        <v>8.2187866631770315E-2</v>
      </c>
      <c r="AS157" s="63">
        <f t="shared" ref="AS157:AS161" si="214">+AJ157/AA157</f>
        <v>0.88546042212861831</v>
      </c>
      <c r="AT157" s="63">
        <f t="shared" ref="AT157:AT161" si="215">+AK157/AB157</f>
        <v>0</v>
      </c>
      <c r="AU157" s="63">
        <f t="shared" ref="AU157:AU158" si="216">+AL157/AC157</f>
        <v>0</v>
      </c>
      <c r="AX157">
        <v>2020</v>
      </c>
      <c r="AY157" s="57">
        <f t="shared" si="209"/>
        <v>2676.9587365888206</v>
      </c>
      <c r="AZ157" s="57">
        <f t="shared" si="209"/>
        <v>2862.9972848497969</v>
      </c>
      <c r="BA157" s="57">
        <f t="shared" si="209"/>
        <v>347.53424063269131</v>
      </c>
      <c r="BB157" s="57">
        <f t="shared" si="209"/>
        <v>6553.4300639990279</v>
      </c>
      <c r="BC157" s="57">
        <f t="shared" si="209"/>
        <v>849.91505735840656</v>
      </c>
      <c r="BD157" s="57">
        <f t="shared" si="209"/>
        <v>176.72627372066282</v>
      </c>
      <c r="BE157" s="57">
        <f t="shared" si="209"/>
        <v>1571.0794682741891</v>
      </c>
    </row>
    <row r="158" spans="10:57" x14ac:dyDescent="0.25">
      <c r="J158" s="155" t="str">
        <f>J123</f>
        <v>Llanos Orientales</v>
      </c>
      <c r="K158" s="155" t="str">
        <f>K123</f>
        <v>Heavy Oil</v>
      </c>
      <c r="L158" s="554" t="str">
        <f>L123</f>
        <v>CAM3</v>
      </c>
      <c r="M158" s="156" t="str">
        <f>M123</f>
        <v>LLO - Heavy</v>
      </c>
      <c r="N158" s="666">
        <f>+Y164</f>
        <v>800</v>
      </c>
      <c r="O158" s="667" t="s">
        <v>556</v>
      </c>
      <c r="P158" s="122">
        <f t="shared" ref="P158:P160" si="217">+N158*(365/1000)*$D$14/1000</f>
        <v>1.1844296855367162</v>
      </c>
      <c r="Q158" t="s">
        <v>9</v>
      </c>
      <c r="V158">
        <v>2021</v>
      </c>
      <c r="W158" s="57">
        <v>3280.7944883974951</v>
      </c>
      <c r="X158" s="57">
        <v>3020.6328992252193</v>
      </c>
      <c r="Y158" s="57">
        <v>267.12599398671159</v>
      </c>
      <c r="Z158" s="57">
        <v>7049.5889960420182</v>
      </c>
      <c r="AA158" s="57">
        <v>7400.0000965440149</v>
      </c>
      <c r="AB158" s="57">
        <v>169.26612475518095</v>
      </c>
      <c r="AC158" s="57">
        <v>1874.0000212396833</v>
      </c>
      <c r="AD158" s="57"/>
      <c r="AE158">
        <v>2021</v>
      </c>
      <c r="AF158" s="57">
        <v>461.78091498490204</v>
      </c>
      <c r="AG158" s="57">
        <v>400.00002989759628</v>
      </c>
      <c r="AH158" s="57">
        <v>0</v>
      </c>
      <c r="AI158" s="57">
        <v>789.50138556750676</v>
      </c>
      <c r="AJ158" s="57">
        <v>7400.0000965440149</v>
      </c>
      <c r="AK158" s="57">
        <v>0</v>
      </c>
      <c r="AL158" s="57">
        <v>0</v>
      </c>
      <c r="AN158">
        <v>2021</v>
      </c>
      <c r="AO158" s="63">
        <f t="shared" si="210"/>
        <v>0.1407527708968016</v>
      </c>
      <c r="AP158" s="63">
        <f t="shared" si="211"/>
        <v>0.13242258931901152</v>
      </c>
      <c r="AQ158" s="63">
        <f t="shared" si="212"/>
        <v>0</v>
      </c>
      <c r="AR158" s="63">
        <f t="shared" si="213"/>
        <v>0.11199254112697508</v>
      </c>
      <c r="AS158" s="63">
        <f t="shared" si="214"/>
        <v>1</v>
      </c>
      <c r="AT158" s="63">
        <f t="shared" si="215"/>
        <v>0</v>
      </c>
      <c r="AU158" s="63">
        <f t="shared" si="216"/>
        <v>0</v>
      </c>
      <c r="AX158">
        <v>2021</v>
      </c>
      <c r="AY158" s="57">
        <f t="shared" si="209"/>
        <v>2819.0135734125929</v>
      </c>
      <c r="AZ158" s="57">
        <f t="shared" si="209"/>
        <v>2620.6328693276228</v>
      </c>
      <c r="BA158" s="57">
        <f t="shared" si="209"/>
        <v>267.12599398671159</v>
      </c>
      <c r="BB158" s="57">
        <f t="shared" si="209"/>
        <v>6260.0876104745112</v>
      </c>
      <c r="BC158" s="57">
        <f t="shared" si="209"/>
        <v>0</v>
      </c>
      <c r="BD158" s="57">
        <f t="shared" si="209"/>
        <v>169.26612475518095</v>
      </c>
      <c r="BE158" s="57">
        <f t="shared" si="209"/>
        <v>1874.0000212396833</v>
      </c>
    </row>
    <row r="159" spans="10:57" x14ac:dyDescent="0.25">
      <c r="J159" s="155" t="str">
        <f>J124</f>
        <v>Putumayo</v>
      </c>
      <c r="K159" s="155" t="str">
        <f>K124</f>
        <v>Light Oil</v>
      </c>
      <c r="L159" s="554" t="str">
        <f>L124</f>
        <v>CAM4</v>
      </c>
      <c r="M159" s="156" t="str">
        <f>M124</f>
        <v>PU - Ligth</v>
      </c>
      <c r="N159" s="666">
        <f>+T102</f>
        <v>0</v>
      </c>
      <c r="O159" s="667" t="s">
        <v>556</v>
      </c>
      <c r="P159" s="371">
        <f t="shared" si="217"/>
        <v>0</v>
      </c>
      <c r="Q159" t="s">
        <v>9</v>
      </c>
      <c r="V159">
        <v>2022</v>
      </c>
      <c r="W159" s="57">
        <v>2986.0297811673495</v>
      </c>
      <c r="X159" s="57">
        <v>4543.9452015278557</v>
      </c>
      <c r="Y159" s="57">
        <v>398.74520547945207</v>
      </c>
      <c r="Z159" s="57">
        <v>7989.0794520547943</v>
      </c>
      <c r="AA159" s="57">
        <v>7600.0000000000009</v>
      </c>
      <c r="AB159" s="57">
        <v>162.77808219178081</v>
      </c>
      <c r="AC159" s="57">
        <v>0</v>
      </c>
      <c r="AD159" s="57"/>
      <c r="AE159">
        <v>2022</v>
      </c>
      <c r="AF159" s="57">
        <v>362.8767123287671</v>
      </c>
      <c r="AG159" s="57">
        <v>1425.3524614333717</v>
      </c>
      <c r="AH159" s="57">
        <v>398.74520547945207</v>
      </c>
      <c r="AI159" s="57">
        <v>582.7534246575342</v>
      </c>
      <c r="AJ159" s="57">
        <v>2194.0107410722189</v>
      </c>
      <c r="AK159" s="57">
        <v>0</v>
      </c>
      <c r="AL159" s="57">
        <v>4.3052837573385521E-3</v>
      </c>
      <c r="AN159">
        <v>2022</v>
      </c>
      <c r="AO159" s="63">
        <f t="shared" si="210"/>
        <v>0.12152481352242414</v>
      </c>
      <c r="AP159" s="63">
        <f t="shared" si="211"/>
        <v>0.31368170130091166</v>
      </c>
      <c r="AQ159" s="63">
        <f t="shared" si="212"/>
        <v>1</v>
      </c>
      <c r="AR159" s="63">
        <f t="shared" si="213"/>
        <v>7.2943751298862075E-2</v>
      </c>
      <c r="AS159" s="63">
        <f t="shared" si="214"/>
        <v>0.28868562382529195</v>
      </c>
      <c r="AT159" s="63">
        <f t="shared" si="215"/>
        <v>0</v>
      </c>
      <c r="AU159" s="63"/>
      <c r="AX159">
        <v>2022</v>
      </c>
      <c r="AY159" s="57">
        <f t="shared" si="209"/>
        <v>2623.1530688385824</v>
      </c>
      <c r="AZ159" s="57">
        <f t="shared" si="209"/>
        <v>3118.5927400944838</v>
      </c>
      <c r="BA159" s="57">
        <f t="shared" si="209"/>
        <v>0</v>
      </c>
      <c r="BB159" s="57">
        <f t="shared" si="209"/>
        <v>7406.3260273972601</v>
      </c>
      <c r="BC159" s="57">
        <f t="shared" si="209"/>
        <v>5405.9892589277824</v>
      </c>
      <c r="BD159" s="57">
        <f t="shared" si="209"/>
        <v>162.77808219178081</v>
      </c>
      <c r="BE159" s="57">
        <f t="shared" si="209"/>
        <v>-4.3052837573385521E-3</v>
      </c>
    </row>
    <row r="160" spans="10:57" x14ac:dyDescent="0.25">
      <c r="J160" s="155" t="str">
        <f>J125</f>
        <v>VMM</v>
      </c>
      <c r="K160" s="155" t="str">
        <f>K125</f>
        <v>Medium Oil</v>
      </c>
      <c r="L160" s="554" t="str">
        <f>L125</f>
        <v>CAM5</v>
      </c>
      <c r="M160" s="156" t="str">
        <f>M125</f>
        <v>VMM - Medium</v>
      </c>
      <c r="N160" s="666">
        <v>0</v>
      </c>
      <c r="O160" s="667" t="s">
        <v>556</v>
      </c>
      <c r="P160" s="371">
        <f t="shared" si="217"/>
        <v>0</v>
      </c>
      <c r="Q160" t="s">
        <v>9</v>
      </c>
      <c r="V160">
        <v>2023</v>
      </c>
      <c r="W160" s="57">
        <v>3150</v>
      </c>
      <c r="X160" s="57">
        <v>4240.2564945621634</v>
      </c>
      <c r="Y160" s="57">
        <v>308.45753424657534</v>
      </c>
      <c r="Z160" s="57">
        <v>8100</v>
      </c>
      <c r="AA160" s="57">
        <v>7277.791780821919</v>
      </c>
      <c r="AB160" s="57">
        <v>151.73424657534247</v>
      </c>
      <c r="AC160" s="57">
        <v>0</v>
      </c>
      <c r="AD160" s="57"/>
      <c r="AE160">
        <v>2023</v>
      </c>
      <c r="AF160" s="57">
        <v>400</v>
      </c>
      <c r="AG160" s="57">
        <v>1500.0000000000002</v>
      </c>
      <c r="AH160" s="57">
        <v>308.45753424657534</v>
      </c>
      <c r="AI160" s="57">
        <v>0</v>
      </c>
      <c r="AJ160" s="57">
        <v>3079.8883113247662</v>
      </c>
      <c r="AK160" s="57">
        <v>0</v>
      </c>
      <c r="AL160" s="57">
        <v>1.3698630136986301E-2</v>
      </c>
      <c r="AN160">
        <v>2023</v>
      </c>
      <c r="AO160" s="63">
        <f t="shared" si="210"/>
        <v>0.12698412698412698</v>
      </c>
      <c r="AP160" s="63">
        <f t="shared" si="211"/>
        <v>0.3537521850207993</v>
      </c>
      <c r="AQ160" s="63">
        <f t="shared" si="212"/>
        <v>1</v>
      </c>
      <c r="AR160" s="63">
        <f t="shared" si="213"/>
        <v>0</v>
      </c>
      <c r="AS160" s="63">
        <f t="shared" si="214"/>
        <v>0.42318994608237315</v>
      </c>
      <c r="AT160" s="63">
        <f t="shared" si="215"/>
        <v>0</v>
      </c>
      <c r="AU160" s="63"/>
      <c r="AX160">
        <v>2023</v>
      </c>
      <c r="AY160" s="57">
        <f t="shared" si="209"/>
        <v>2750</v>
      </c>
      <c r="AZ160" s="57">
        <f t="shared" si="209"/>
        <v>2740.2564945621634</v>
      </c>
      <c r="BA160" s="57">
        <f t="shared" si="209"/>
        <v>0</v>
      </c>
      <c r="BB160" s="57">
        <f t="shared" si="209"/>
        <v>8100</v>
      </c>
      <c r="BC160" s="57">
        <f t="shared" si="209"/>
        <v>4197.9034694971524</v>
      </c>
      <c r="BD160" s="57">
        <f t="shared" si="209"/>
        <v>151.73424657534247</v>
      </c>
      <c r="BE160" s="57">
        <f t="shared" si="209"/>
        <v>-1.3698630136986301E-2</v>
      </c>
    </row>
    <row r="161" spans="10:57" ht="15.75" x14ac:dyDescent="0.25">
      <c r="J161" s="155" t="str">
        <f>J126</f>
        <v>VSM</v>
      </c>
      <c r="K161" s="155" t="str">
        <f>K126</f>
        <v>Medium Oil</v>
      </c>
      <c r="L161" s="554" t="str">
        <f>L126</f>
        <v>CAM6</v>
      </c>
      <c r="M161" s="559" t="str">
        <f>M126</f>
        <v>VSM - Medium</v>
      </c>
      <c r="N161" s="666">
        <f>+AB164</f>
        <v>176.72627372066282</v>
      </c>
      <c r="O161" s="667" t="s">
        <v>556</v>
      </c>
      <c r="P161" s="122">
        <f>+N161*(365/1000)*$D$14/1000</f>
        <v>0.26164980601130039</v>
      </c>
      <c r="Q161" t="s">
        <v>9</v>
      </c>
      <c r="V161">
        <v>2024</v>
      </c>
      <c r="W161" s="57">
        <v>3158.6301369863013</v>
      </c>
      <c r="X161" s="57">
        <v>4354.2101192686277</v>
      </c>
      <c r="Y161" s="57">
        <v>260.40547945205481</v>
      </c>
      <c r="Z161" s="57">
        <v>7666.2742499653305</v>
      </c>
      <c r="AA161" s="57">
        <v>5796.1835616438366</v>
      </c>
      <c r="AB161" s="57">
        <v>137.61095890410959</v>
      </c>
      <c r="AC161" s="57">
        <v>0</v>
      </c>
      <c r="AD161" s="57"/>
      <c r="AE161">
        <v>2024</v>
      </c>
      <c r="AF161" s="57">
        <v>401.09589041095893</v>
      </c>
      <c r="AG161" s="57">
        <v>1504.1095890410961</v>
      </c>
      <c r="AH161" s="57">
        <v>260.40547945205481</v>
      </c>
      <c r="AI161" s="57">
        <v>0</v>
      </c>
      <c r="AJ161" s="57">
        <v>3124.2158880286934</v>
      </c>
      <c r="AK161" s="57">
        <v>0</v>
      </c>
      <c r="AL161" s="57">
        <v>2.3091976516634052E-2</v>
      </c>
      <c r="AN161">
        <v>2024</v>
      </c>
      <c r="AO161" s="63">
        <f t="shared" si="210"/>
        <v>0.126984126984127</v>
      </c>
      <c r="AP161" s="63">
        <f t="shared" si="211"/>
        <v>0.3454379894036303</v>
      </c>
      <c r="AQ161" s="63">
        <f t="shared" si="212"/>
        <v>1</v>
      </c>
      <c r="AR161" s="63">
        <f t="shared" si="213"/>
        <v>0</v>
      </c>
      <c r="AS161" s="63">
        <f t="shared" si="214"/>
        <v>0.53901258557495457</v>
      </c>
      <c r="AT161" s="63">
        <f t="shared" si="215"/>
        <v>0</v>
      </c>
      <c r="AU161" s="63"/>
      <c r="AX161">
        <v>2024</v>
      </c>
      <c r="AY161" s="57">
        <f t="shared" si="209"/>
        <v>2757.5342465753424</v>
      </c>
      <c r="AZ161" s="57">
        <f t="shared" si="209"/>
        <v>2850.1005302275316</v>
      </c>
      <c r="BA161" s="57">
        <f t="shared" si="209"/>
        <v>0</v>
      </c>
      <c r="BB161" s="57">
        <f t="shared" si="209"/>
        <v>7666.2742499653305</v>
      </c>
      <c r="BC161" s="57">
        <f t="shared" si="209"/>
        <v>2671.9676736151432</v>
      </c>
      <c r="BD161" s="57">
        <f t="shared" si="209"/>
        <v>137.61095890410959</v>
      </c>
      <c r="BE161" s="57">
        <f t="shared" si="209"/>
        <v>-2.3091976516634052E-2</v>
      </c>
    </row>
    <row r="162" spans="10:57" ht="15.75" x14ac:dyDescent="0.25">
      <c r="J162" s="144" t="str">
        <f>J127</f>
        <v>VIM</v>
      </c>
      <c r="K162" s="144" t="str">
        <f>K127</f>
        <v>Doesn't Apply</v>
      </c>
      <c r="L162" s="924" t="str">
        <f>L127</f>
        <v>CAM7</v>
      </c>
      <c r="M162" s="925" t="str">
        <f>M127</f>
        <v>VIM - GAS</v>
      </c>
      <c r="N162" s="666">
        <v>0</v>
      </c>
      <c r="O162" s="667" t="s">
        <v>556</v>
      </c>
      <c r="P162" s="371">
        <f>+N162*(365/1000)*$D$14/1000</f>
        <v>0</v>
      </c>
      <c r="Q162" t="s">
        <v>9</v>
      </c>
      <c r="V162">
        <v>2025</v>
      </c>
      <c r="W162" s="57">
        <v>3105.1978345369666</v>
      </c>
      <c r="X162" s="57">
        <v>4343.2290522179519</v>
      </c>
      <c r="Y162" s="57">
        <v>0</v>
      </c>
      <c r="Z162" s="57">
        <v>6475.9477325608286</v>
      </c>
      <c r="AA162" s="57">
        <v>4784.0799448326134</v>
      </c>
      <c r="AB162" s="57">
        <v>122.13972602739726</v>
      </c>
      <c r="AC162" s="57">
        <v>0</v>
      </c>
      <c r="AD162" s="57"/>
      <c r="AE162">
        <v>2025</v>
      </c>
      <c r="AF162" s="57">
        <v>400</v>
      </c>
      <c r="AG162" s="57">
        <v>1500.0000000000002</v>
      </c>
      <c r="AH162" s="57">
        <v>0</v>
      </c>
      <c r="AI162" s="57">
        <v>0</v>
      </c>
      <c r="AJ162" s="57">
        <v>3158.6000000000008</v>
      </c>
      <c r="AK162" s="57">
        <v>0</v>
      </c>
      <c r="AL162" s="57">
        <v>3.2485322896281803E-2</v>
      </c>
      <c r="AN162">
        <v>2025</v>
      </c>
      <c r="AO162" s="63">
        <f>+AF162/W162</f>
        <v>0.12881626914429631</v>
      </c>
      <c r="AP162" s="63">
        <f>+AG162/X162</f>
        <v>0.34536516079758606</v>
      </c>
      <c r="AQ162" s="63"/>
      <c r="AR162" s="63">
        <f t="shared" ref="AR162:AT163" si="218">+AI162/Z162</f>
        <v>0</v>
      </c>
      <c r="AS162" s="63">
        <f t="shared" si="218"/>
        <v>0.6602314418703793</v>
      </c>
      <c r="AT162" s="63">
        <f t="shared" si="218"/>
        <v>0</v>
      </c>
      <c r="AU162" s="63"/>
      <c r="AX162">
        <v>2025</v>
      </c>
      <c r="AY162" s="57">
        <f>+W162-AF162</f>
        <v>2705.1978345369666</v>
      </c>
      <c r="AZ162" s="57">
        <f t="shared" ref="AZ162:BE163" si="219">+X162-AG162</f>
        <v>2843.2290522179519</v>
      </c>
      <c r="BA162" s="57">
        <f t="shared" si="219"/>
        <v>0</v>
      </c>
      <c r="BB162" s="57">
        <f t="shared" si="219"/>
        <v>6475.9477325608286</v>
      </c>
      <c r="BC162" s="57">
        <f t="shared" si="219"/>
        <v>1625.4799448326125</v>
      </c>
      <c r="BD162" s="57">
        <f t="shared" si="219"/>
        <v>122.13972602739726</v>
      </c>
      <c r="BE162" s="57">
        <f t="shared" si="219"/>
        <v>-3.2485322896281803E-2</v>
      </c>
    </row>
    <row r="163" spans="10:57" x14ac:dyDescent="0.25">
      <c r="J163" s="926"/>
      <c r="K163" s="926"/>
      <c r="L163" s="927"/>
      <c r="M163" s="926"/>
      <c r="V163">
        <v>2026</v>
      </c>
      <c r="W163" s="57">
        <v>3150</v>
      </c>
      <c r="X163" s="57">
        <v>4428.3000021182488</v>
      </c>
      <c r="Y163" s="57">
        <v>0</v>
      </c>
      <c r="Z163" s="57">
        <v>5586.0490445797504</v>
      </c>
      <c r="AA163" s="57">
        <v>4306.4040682829564</v>
      </c>
      <c r="AB163" s="57">
        <v>109.89315068493151</v>
      </c>
      <c r="AC163" s="57">
        <v>0</v>
      </c>
      <c r="AD163" s="57"/>
      <c r="AE163">
        <v>2026</v>
      </c>
      <c r="AF163" s="57">
        <v>400</v>
      </c>
      <c r="AG163" s="57">
        <v>1500.0000000000002</v>
      </c>
      <c r="AH163" s="57">
        <v>0</v>
      </c>
      <c r="AI163" s="57">
        <v>0</v>
      </c>
      <c r="AJ163" s="57">
        <v>3158.6000000000008</v>
      </c>
      <c r="AK163" s="57">
        <v>0</v>
      </c>
      <c r="AL163" s="57">
        <v>4.187866927592955E-2</v>
      </c>
      <c r="AN163">
        <v>2026</v>
      </c>
      <c r="AO163" s="63">
        <f>+AF163/W163</f>
        <v>0.12698412698412698</v>
      </c>
      <c r="AP163" s="63">
        <f>+AG163/X163</f>
        <v>0.33873043815515769</v>
      </c>
      <c r="AQ163" s="63"/>
      <c r="AR163" s="63">
        <f t="shared" si="218"/>
        <v>0</v>
      </c>
      <c r="AS163" s="63">
        <f t="shared" si="218"/>
        <v>0.73346577560228654</v>
      </c>
      <c r="AT163" s="63">
        <f t="shared" si="218"/>
        <v>0</v>
      </c>
      <c r="AU163" s="63"/>
      <c r="AX163">
        <v>2026</v>
      </c>
      <c r="AY163" s="57">
        <f>+W163-AF163</f>
        <v>2750</v>
      </c>
      <c r="AZ163" s="57">
        <f t="shared" si="219"/>
        <v>2928.3000021182488</v>
      </c>
      <c r="BA163" s="57">
        <f t="shared" si="219"/>
        <v>0</v>
      </c>
      <c r="BB163" s="57">
        <f t="shared" si="219"/>
        <v>5586.0490445797504</v>
      </c>
      <c r="BC163" s="57">
        <f t="shared" si="219"/>
        <v>1147.8040682829555</v>
      </c>
      <c r="BD163" s="57">
        <f t="shared" si="219"/>
        <v>109.89315068493151</v>
      </c>
      <c r="BE163" s="57">
        <f t="shared" si="219"/>
        <v>-4.187866927592955E-2</v>
      </c>
    </row>
    <row r="164" spans="10:57" x14ac:dyDescent="0.25">
      <c r="J164" s="926"/>
      <c r="K164" s="926"/>
      <c r="L164" s="927"/>
      <c r="M164" s="926"/>
      <c r="V164" s="323" t="s">
        <v>1057</v>
      </c>
      <c r="Y164" s="357">
        <v>800</v>
      </c>
      <c r="Z164" s="357">
        <v>8000</v>
      </c>
      <c r="AA164" s="357">
        <v>6800</v>
      </c>
      <c r="AB164" s="669">
        <f>+MAX(AB156:AB163)</f>
        <v>176.72627372066282</v>
      </c>
      <c r="AC164" s="357">
        <v>2026</v>
      </c>
      <c r="AD164" s="57"/>
      <c r="AU164" s="63"/>
    </row>
    <row r="165" spans="10:57" x14ac:dyDescent="0.25">
      <c r="J165" s="926"/>
      <c r="K165" s="926"/>
      <c r="L165" s="927"/>
      <c r="M165" s="926"/>
    </row>
    <row r="166" spans="10:57" x14ac:dyDescent="0.25">
      <c r="J166" s="926"/>
      <c r="K166" s="926"/>
      <c r="L166" s="927"/>
      <c r="M166" s="926"/>
      <c r="S166" s="72"/>
    </row>
    <row r="167" spans="10:57" x14ac:dyDescent="0.25">
      <c r="J167" s="926"/>
      <c r="K167" s="926"/>
      <c r="L167" s="927"/>
      <c r="M167" s="926"/>
    </row>
    <row r="168" spans="10:57" ht="15" customHeight="1" thickBot="1" x14ac:dyDescent="0.3">
      <c r="J168" s="926"/>
      <c r="K168" s="926"/>
      <c r="L168" s="927"/>
      <c r="M168" s="926"/>
      <c r="T168" s="122"/>
      <c r="U168" s="122"/>
      <c r="V168" s="122"/>
      <c r="W168" s="122"/>
      <c r="X168" s="122"/>
      <c r="Y168" s="122"/>
      <c r="Z168" s="122"/>
      <c r="AA168" s="122"/>
      <c r="AB168" s="122"/>
    </row>
    <row r="169" spans="10:57" ht="22.5" customHeight="1" thickBot="1" x14ac:dyDescent="0.35">
      <c r="J169" s="918" t="s">
        <v>1420</v>
      </c>
      <c r="K169" s="919"/>
      <c r="L169" s="919"/>
      <c r="M169" s="919"/>
      <c r="N169" s="919"/>
      <c r="O169" s="919"/>
      <c r="P169" s="919"/>
      <c r="Q169" s="919"/>
      <c r="R169" s="919"/>
      <c r="S169" s="919"/>
      <c r="T169" s="919"/>
      <c r="U169" s="919"/>
      <c r="V169" s="919"/>
      <c r="W169" s="919"/>
      <c r="X169" s="919"/>
      <c r="Y169" s="919"/>
      <c r="Z169" s="919"/>
      <c r="AA169" s="919"/>
      <c r="AB169" s="919"/>
      <c r="AC169" s="919"/>
      <c r="AD169" s="919"/>
      <c r="AE169" s="919"/>
      <c r="AF169" s="919"/>
      <c r="AG169" s="920"/>
    </row>
    <row r="170" spans="10:57" ht="15" customHeight="1" x14ac:dyDescent="0.25">
      <c r="T170" s="122"/>
      <c r="U170" s="122"/>
      <c r="V170" s="122"/>
      <c r="W170" s="122"/>
      <c r="X170" s="122"/>
      <c r="Y170" s="122"/>
      <c r="Z170" s="122"/>
      <c r="AA170" s="122"/>
      <c r="AB170" s="122"/>
    </row>
    <row r="171" spans="10:57" ht="15" customHeight="1" x14ac:dyDescent="0.25">
      <c r="T171" s="122"/>
      <c r="U171" s="122"/>
      <c r="V171" s="122"/>
      <c r="W171" s="122"/>
      <c r="X171" s="122"/>
      <c r="Y171" s="122"/>
      <c r="Z171" s="122"/>
      <c r="AA171" s="122"/>
      <c r="AB171" s="122"/>
    </row>
    <row r="172" spans="10:57" ht="15" customHeight="1" x14ac:dyDescent="0.25">
      <c r="T172" s="122"/>
      <c r="U172" s="122"/>
      <c r="V172" s="122"/>
      <c r="W172" s="122"/>
      <c r="X172" s="122"/>
      <c r="Y172" s="122"/>
      <c r="Z172" s="122"/>
      <c r="AA172" s="122"/>
      <c r="AB172" s="122"/>
    </row>
    <row r="173" spans="10:57" ht="15" customHeight="1" x14ac:dyDescent="0.25">
      <c r="T173" s="122"/>
      <c r="U173" s="122"/>
      <c r="V173" s="122"/>
      <c r="W173" s="122"/>
      <c r="X173" s="122"/>
      <c r="Y173" s="122"/>
      <c r="Z173" s="122"/>
      <c r="AA173" s="122"/>
      <c r="AB173" s="122"/>
    </row>
    <row r="174" spans="10:57" ht="15" customHeight="1" x14ac:dyDescent="0.25">
      <c r="J174" s="892" t="s">
        <v>1061</v>
      </c>
      <c r="K174" s="892"/>
      <c r="L174" s="892"/>
      <c r="M174" s="892"/>
      <c r="N174" s="892"/>
      <c r="O174" s="892"/>
      <c r="T174" s="122"/>
      <c r="U174" s="122"/>
      <c r="V174" s="122"/>
      <c r="W174" s="122"/>
      <c r="X174" s="122"/>
      <c r="Y174" s="122"/>
      <c r="Z174" s="122"/>
      <c r="AA174" s="122"/>
      <c r="AB174" s="122"/>
    </row>
    <row r="176" spans="10:57" x14ac:dyDescent="0.25">
      <c r="J176" t="s">
        <v>1062</v>
      </c>
      <c r="K176">
        <v>4.9000000000000004</v>
      </c>
      <c r="L176" t="s">
        <v>1064</v>
      </c>
      <c r="M176">
        <f>+K176/1000</f>
        <v>4.9000000000000007E-3</v>
      </c>
      <c r="N176" t="s">
        <v>1065</v>
      </c>
      <c r="P176" t="s">
        <v>1071</v>
      </c>
      <c r="Q176">
        <v>4.5999999999999996</v>
      </c>
      <c r="R176" s="122"/>
    </row>
    <row r="177" spans="7:27" x14ac:dyDescent="0.25">
      <c r="J177" t="s">
        <v>566</v>
      </c>
      <c r="K177">
        <v>0.32500000000000001</v>
      </c>
      <c r="L177" t="s">
        <v>1063</v>
      </c>
      <c r="P177" t="s">
        <v>1072</v>
      </c>
      <c r="Q177">
        <v>3.9</v>
      </c>
      <c r="R177" s="122"/>
    </row>
    <row r="178" spans="7:27" x14ac:dyDescent="0.25">
      <c r="K178">
        <f>+K177*1000000</f>
        <v>325000</v>
      </c>
      <c r="L178" t="s">
        <v>1066</v>
      </c>
      <c r="P178" t="s">
        <v>1073</v>
      </c>
      <c r="Q178">
        <v>1.1000000000000001</v>
      </c>
      <c r="T178" s="72"/>
      <c r="U178" s="72"/>
      <c r="V178" s="72"/>
      <c r="W178" s="72"/>
      <c r="X178" s="72"/>
      <c r="Y178" s="72"/>
      <c r="Z178" s="72"/>
      <c r="AA178" s="72"/>
    </row>
    <row r="179" spans="7:27" x14ac:dyDescent="0.25">
      <c r="K179">
        <f>+K178/1000000</f>
        <v>0.32500000000000001</v>
      </c>
      <c r="L179" t="s">
        <v>1067</v>
      </c>
      <c r="P179" t="s">
        <v>575</v>
      </c>
      <c r="Q179">
        <v>0.4</v>
      </c>
      <c r="T179" s="72"/>
      <c r="U179" s="72"/>
      <c r="V179" s="72"/>
      <c r="W179" s="72"/>
      <c r="X179" s="72"/>
      <c r="Y179" s="72"/>
      <c r="Z179" s="72"/>
      <c r="AA179" s="72"/>
    </row>
    <row r="180" spans="7:27" x14ac:dyDescent="0.25">
      <c r="T180" s="72"/>
      <c r="U180" s="72"/>
      <c r="V180" s="72"/>
      <c r="W180" s="72"/>
      <c r="X180" s="72"/>
      <c r="Y180" s="72"/>
      <c r="Z180" s="72"/>
      <c r="AA180" s="72"/>
    </row>
    <row r="181" spans="7:27" x14ac:dyDescent="0.25">
      <c r="N181" s="19" t="s">
        <v>51</v>
      </c>
      <c r="O181" s="19" t="s">
        <v>1178</v>
      </c>
      <c r="U181" s="19" t="s">
        <v>1177</v>
      </c>
      <c r="V181" t="s">
        <v>1068</v>
      </c>
      <c r="Y181" s="72" t="s">
        <v>1363</v>
      </c>
      <c r="Z181" s="72"/>
      <c r="AA181" s="72"/>
    </row>
    <row r="182" spans="7:27" ht="31.5" x14ac:dyDescent="0.25">
      <c r="J182" s="549" t="str">
        <f t="shared" ref="J182:M189" si="220">J155</f>
        <v>Basin</v>
      </c>
      <c r="K182" s="549" t="str">
        <f t="shared" si="220"/>
        <v>Type Fluid</v>
      </c>
      <c r="L182" s="549" t="str">
        <f t="shared" si="220"/>
        <v>CAM</v>
      </c>
      <c r="M182" s="549" t="str">
        <f t="shared" si="220"/>
        <v>Type of Oil producing</v>
      </c>
      <c r="N182" s="487" t="s">
        <v>1070</v>
      </c>
      <c r="U182" s="486" t="s">
        <v>1362</v>
      </c>
      <c r="V182" t="s">
        <v>86</v>
      </c>
      <c r="W182" t="s">
        <v>1069</v>
      </c>
      <c r="X182" t="s">
        <v>978</v>
      </c>
      <c r="Y182" s="72" t="s">
        <v>1361</v>
      </c>
      <c r="Z182" s="72"/>
      <c r="AA182" s="72"/>
    </row>
    <row r="183" spans="7:27" ht="15.75" x14ac:dyDescent="0.25">
      <c r="G183">
        <v>1.17</v>
      </c>
      <c r="H183" t="s">
        <v>1230</v>
      </c>
      <c r="J183" s="155" t="str">
        <f t="shared" si="220"/>
        <v>Guajira</v>
      </c>
      <c r="K183" s="155" t="str">
        <f t="shared" si="220"/>
        <v>Doesn't Apply</v>
      </c>
      <c r="L183" s="554" t="str">
        <f t="shared" si="220"/>
        <v>CAM1</v>
      </c>
      <c r="M183" s="555" t="str">
        <f t="shared" si="220"/>
        <v>GU - Gas</v>
      </c>
      <c r="N183" s="834">
        <v>1.1396749456833071E-2</v>
      </c>
      <c r="O183" t="s">
        <v>51</v>
      </c>
      <c r="P183">
        <f>+N183*100</f>
        <v>1.1396749456833071</v>
      </c>
      <c r="U183" s="342">
        <f>(1.8+((2.7-1.8)/2))/1000</f>
        <v>2.2499999999999998E-3</v>
      </c>
      <c r="X183" s="289">
        <v>1</v>
      </c>
      <c r="Y183" s="72"/>
      <c r="Z183" s="72"/>
      <c r="AA183" s="72"/>
    </row>
    <row r="184" spans="7:27" ht="15.75" x14ac:dyDescent="0.25">
      <c r="G184">
        <f>+G183*6.1/1000</f>
        <v>7.1369999999999992E-3</v>
      </c>
      <c r="J184" s="155" t="str">
        <f t="shared" si="220"/>
        <v>Llanos Orientales</v>
      </c>
      <c r="K184" s="155" t="str">
        <f t="shared" si="220"/>
        <v>Light Oil</v>
      </c>
      <c r="L184" s="554" t="str">
        <f t="shared" si="220"/>
        <v>CAM2</v>
      </c>
      <c r="M184" s="559" t="str">
        <f t="shared" si="220"/>
        <v>LLO - Ligth</v>
      </c>
      <c r="N184" s="834">
        <v>1.13967494568331E-2</v>
      </c>
      <c r="O184" t="s">
        <v>51</v>
      </c>
      <c r="U184" s="51">
        <v>2.64E-3</v>
      </c>
      <c r="V184" s="670">
        <v>0.6</v>
      </c>
      <c r="W184" s="670">
        <v>0.32</v>
      </c>
      <c r="X184" s="670">
        <f>100%-V184-W184</f>
        <v>8.0000000000000016E-2</v>
      </c>
      <c r="Y184" s="342">
        <v>2.1099999999999999E-3</v>
      </c>
      <c r="Z184" s="72"/>
      <c r="AA184" s="72"/>
    </row>
    <row r="185" spans="7:27" x14ac:dyDescent="0.25">
      <c r="G185">
        <f>+G184/1000</f>
        <v>7.1369999999999996E-6</v>
      </c>
      <c r="J185" s="155" t="str">
        <f t="shared" si="220"/>
        <v>Llanos Orientales</v>
      </c>
      <c r="K185" s="155" t="str">
        <f t="shared" si="220"/>
        <v>Heavy Oil</v>
      </c>
      <c r="L185" s="554" t="str">
        <f t="shared" si="220"/>
        <v>CAM3</v>
      </c>
      <c r="M185" s="156" t="str">
        <f t="shared" si="220"/>
        <v>LLO - Heavy</v>
      </c>
      <c r="N185" s="834">
        <v>1.1396749456833071E-2</v>
      </c>
      <c r="O185" t="s">
        <v>51</v>
      </c>
      <c r="U185" s="51">
        <v>2.64E-3</v>
      </c>
      <c r="V185" s="670">
        <v>0.6</v>
      </c>
      <c r="W185" s="670">
        <v>0.32</v>
      </c>
      <c r="X185" s="670">
        <f t="shared" ref="X185:X188" si="221">100%-V185-W185</f>
        <v>8.0000000000000016E-2</v>
      </c>
      <c r="Y185" s="342">
        <v>2.1099999999999999E-3</v>
      </c>
    </row>
    <row r="186" spans="7:27" x14ac:dyDescent="0.25">
      <c r="G186" s="342">
        <f>+G185/0.0036</f>
        <v>1.9824999999999999E-3</v>
      </c>
      <c r="H186" t="s">
        <v>562</v>
      </c>
      <c r="J186" s="155" t="str">
        <f t="shared" si="220"/>
        <v>Putumayo</v>
      </c>
      <c r="K186" s="155" t="str">
        <f t="shared" si="220"/>
        <v>Light Oil</v>
      </c>
      <c r="L186" s="554" t="str">
        <f t="shared" si="220"/>
        <v>CAM4</v>
      </c>
      <c r="M186" s="156" t="str">
        <f t="shared" si="220"/>
        <v>PU - Ligth</v>
      </c>
      <c r="N186" s="834">
        <v>1.1396749456833071E-2</v>
      </c>
      <c r="O186" t="s">
        <v>51</v>
      </c>
      <c r="U186" s="51">
        <v>2.64E-3</v>
      </c>
      <c r="V186" s="670">
        <v>0.6</v>
      </c>
      <c r="W186" s="670">
        <v>0.32</v>
      </c>
      <c r="X186" s="670">
        <f t="shared" si="221"/>
        <v>8.0000000000000016E-2</v>
      </c>
      <c r="Y186" s="342">
        <v>2.1099999999999999E-3</v>
      </c>
    </row>
    <row r="187" spans="7:27" x14ac:dyDescent="0.25">
      <c r="J187" s="155" t="str">
        <f t="shared" si="220"/>
        <v>VMM</v>
      </c>
      <c r="K187" s="155" t="str">
        <f t="shared" si="220"/>
        <v>Medium Oil</v>
      </c>
      <c r="L187" s="554" t="str">
        <f t="shared" si="220"/>
        <v>CAM5</v>
      </c>
      <c r="M187" s="156" t="str">
        <f t="shared" si="220"/>
        <v>VMM - Medium</v>
      </c>
      <c r="N187" s="834">
        <v>1.1396749456833071E-2</v>
      </c>
      <c r="O187" t="s">
        <v>51</v>
      </c>
      <c r="U187" s="51">
        <v>2.64E-3</v>
      </c>
      <c r="V187" s="670">
        <v>0.6</v>
      </c>
      <c r="W187" s="670">
        <v>0.32</v>
      </c>
      <c r="X187" s="670">
        <f t="shared" si="221"/>
        <v>8.0000000000000016E-2</v>
      </c>
      <c r="Y187" s="342">
        <v>2.1099999999999999E-3</v>
      </c>
    </row>
    <row r="188" spans="7:27" ht="15.75" x14ac:dyDescent="0.25">
      <c r="J188" s="155" t="str">
        <f t="shared" si="220"/>
        <v>VSM</v>
      </c>
      <c r="K188" s="155" t="str">
        <f t="shared" si="220"/>
        <v>Medium Oil</v>
      </c>
      <c r="L188" s="554" t="str">
        <f t="shared" si="220"/>
        <v>CAM6</v>
      </c>
      <c r="M188" s="559" t="str">
        <f t="shared" si="220"/>
        <v>VSM - Medium</v>
      </c>
      <c r="N188" s="834">
        <v>1.1396749456833071E-2</v>
      </c>
      <c r="O188" t="s">
        <v>51</v>
      </c>
      <c r="U188" s="51">
        <v>2.64E-3</v>
      </c>
      <c r="V188" s="670">
        <v>0.6</v>
      </c>
      <c r="W188" s="670">
        <v>0.32</v>
      </c>
      <c r="X188" s="670">
        <f t="shared" si="221"/>
        <v>8.0000000000000016E-2</v>
      </c>
      <c r="Y188" s="342">
        <v>2.1099999999999999E-3</v>
      </c>
    </row>
    <row r="189" spans="7:27" ht="15.75" x14ac:dyDescent="0.25">
      <c r="J189" s="155" t="str">
        <f t="shared" si="220"/>
        <v>VIM</v>
      </c>
      <c r="K189" s="155" t="str">
        <f t="shared" si="220"/>
        <v>Doesn't Apply</v>
      </c>
      <c r="L189" s="554" t="str">
        <f t="shared" si="220"/>
        <v>CAM7</v>
      </c>
      <c r="M189" s="559" t="str">
        <f t="shared" si="220"/>
        <v>VIM - GAS</v>
      </c>
      <c r="N189" s="834">
        <v>1.1396749456833071E-2</v>
      </c>
      <c r="O189" t="s">
        <v>51</v>
      </c>
      <c r="U189" s="342">
        <f>(1.8+((2.7-1.8)/2))/1000</f>
        <v>2.2499999999999998E-3</v>
      </c>
      <c r="V189" s="670"/>
      <c r="W189" s="670"/>
      <c r="X189" s="289">
        <v>0.08</v>
      </c>
    </row>
    <row r="192" spans="7:27" ht="31.5" x14ac:dyDescent="0.25">
      <c r="J192" s="549" t="str">
        <f t="shared" ref="J192:M199" si="222">J182</f>
        <v>Basin</v>
      </c>
      <c r="K192" s="549" t="str">
        <f t="shared" si="222"/>
        <v>Type Fluid</v>
      </c>
      <c r="L192" s="549" t="str">
        <f t="shared" si="222"/>
        <v>CAM</v>
      </c>
      <c r="M192" s="549" t="str">
        <f t="shared" si="222"/>
        <v>Type of Oil producing</v>
      </c>
      <c r="N192" s="845" t="s">
        <v>1358</v>
      </c>
    </row>
    <row r="193" spans="10:33" ht="15.75" x14ac:dyDescent="0.25">
      <c r="J193" s="155" t="str">
        <f t="shared" si="222"/>
        <v>Guajira</v>
      </c>
      <c r="K193" s="155" t="str">
        <f t="shared" si="222"/>
        <v>Doesn't Apply</v>
      </c>
      <c r="L193" s="554" t="str">
        <f t="shared" si="222"/>
        <v>CAM1</v>
      </c>
      <c r="M193" s="555" t="str">
        <f t="shared" si="222"/>
        <v>GU - Gas</v>
      </c>
      <c r="N193" t="s">
        <v>1359</v>
      </c>
      <c r="Q193" s="323" t="s">
        <v>1355</v>
      </c>
      <c r="R193">
        <v>3.33</v>
      </c>
      <c r="S193" t="s">
        <v>1357</v>
      </c>
      <c r="T193">
        <f>+R193/T197</f>
        <v>0.4052236060193658</v>
      </c>
      <c r="U193" t="s">
        <v>131</v>
      </c>
    </row>
    <row r="194" spans="10:33" ht="15.75" x14ac:dyDescent="0.25">
      <c r="J194" s="155" t="str">
        <f t="shared" si="222"/>
        <v>Llanos Orientales</v>
      </c>
      <c r="K194" s="155" t="str">
        <f t="shared" si="222"/>
        <v>Light Oil</v>
      </c>
      <c r="L194" s="554" t="str">
        <f t="shared" si="222"/>
        <v>CAM2</v>
      </c>
      <c r="M194" s="559" t="str">
        <f t="shared" si="222"/>
        <v>LLO - Ligth</v>
      </c>
      <c r="N194" s="261">
        <f>+T193</f>
        <v>0.4052236060193658</v>
      </c>
      <c r="Q194" s="323" t="s">
        <v>1356</v>
      </c>
      <c r="R194">
        <v>4.5</v>
      </c>
      <c r="S194" t="s">
        <v>1357</v>
      </c>
      <c r="T194">
        <f>+R194/T197</f>
        <v>0.54759946759373757</v>
      </c>
      <c r="U194" t="s">
        <v>131</v>
      </c>
    </row>
    <row r="195" spans="10:33" x14ac:dyDescent="0.25">
      <c r="J195" s="155" t="str">
        <f t="shared" si="222"/>
        <v>Llanos Orientales</v>
      </c>
      <c r="K195" s="155" t="str">
        <f t="shared" si="222"/>
        <v>Heavy Oil</v>
      </c>
      <c r="L195" s="554" t="str">
        <f t="shared" si="222"/>
        <v>CAM3</v>
      </c>
      <c r="M195" s="156" t="str">
        <f t="shared" si="222"/>
        <v>LLO - Heavy</v>
      </c>
      <c r="N195" s="261">
        <f>+T193+T194</f>
        <v>0.95282307361310337</v>
      </c>
    </row>
    <row r="196" spans="10:33" x14ac:dyDescent="0.25">
      <c r="J196" s="155" t="str">
        <f t="shared" si="222"/>
        <v>Putumayo</v>
      </c>
      <c r="K196" s="155" t="str">
        <f t="shared" si="222"/>
        <v>Light Oil</v>
      </c>
      <c r="L196" s="554" t="str">
        <f t="shared" si="222"/>
        <v>CAM4</v>
      </c>
      <c r="M196" s="156" t="str">
        <f t="shared" si="222"/>
        <v>PU - Ligth</v>
      </c>
      <c r="N196" s="261">
        <f>+T193</f>
        <v>0.4052236060193658</v>
      </c>
    </row>
    <row r="197" spans="10:33" x14ac:dyDescent="0.25">
      <c r="J197" s="155" t="str">
        <f t="shared" si="222"/>
        <v>VMM</v>
      </c>
      <c r="K197" s="155" t="str">
        <f t="shared" si="222"/>
        <v>Medium Oil</v>
      </c>
      <c r="L197" s="554" t="str">
        <f t="shared" si="222"/>
        <v>CAM5</v>
      </c>
      <c r="M197" s="156" t="str">
        <f t="shared" si="222"/>
        <v>VMM - Medium</v>
      </c>
      <c r="N197" s="261">
        <f>+T193</f>
        <v>0.4052236060193658</v>
      </c>
      <c r="S197" t="s">
        <v>1360</v>
      </c>
      <c r="T197">
        <v>8.2176851262728707</v>
      </c>
      <c r="U197" t="s">
        <v>1357</v>
      </c>
    </row>
    <row r="198" spans="10:33" ht="15.75" x14ac:dyDescent="0.25">
      <c r="J198" s="155" t="str">
        <f t="shared" si="222"/>
        <v>VSM</v>
      </c>
      <c r="K198" s="155" t="str">
        <f t="shared" si="222"/>
        <v>Medium Oil</v>
      </c>
      <c r="L198" s="554" t="str">
        <f t="shared" si="222"/>
        <v>CAM6</v>
      </c>
      <c r="M198" s="559" t="str">
        <f t="shared" si="222"/>
        <v>VSM - Medium</v>
      </c>
      <c r="N198" s="261">
        <f>+T193</f>
        <v>0.4052236060193658</v>
      </c>
      <c r="U198" t="s">
        <v>131</v>
      </c>
    </row>
    <row r="199" spans="10:33" ht="15.75" x14ac:dyDescent="0.25">
      <c r="J199" s="155" t="str">
        <f t="shared" si="222"/>
        <v>VIM</v>
      </c>
      <c r="K199" s="155" t="str">
        <f t="shared" si="222"/>
        <v>Doesn't Apply</v>
      </c>
      <c r="L199" s="554" t="str">
        <f t="shared" si="222"/>
        <v>CAM7</v>
      </c>
      <c r="M199" s="559" t="str">
        <f t="shared" si="222"/>
        <v>VIM - GAS</v>
      </c>
      <c r="N199" t="s">
        <v>1359</v>
      </c>
    </row>
    <row r="202" spans="10:33" ht="15.75" thickBot="1" x14ac:dyDescent="0.3"/>
    <row r="203" spans="10:33" ht="19.5" thickBot="1" x14ac:dyDescent="0.35">
      <c r="J203" s="918" t="s">
        <v>1421</v>
      </c>
      <c r="K203" s="919"/>
      <c r="L203" s="919"/>
      <c r="M203" s="919"/>
      <c r="N203" s="919"/>
      <c r="O203" s="919"/>
      <c r="P203" s="919"/>
      <c r="Q203" s="919"/>
      <c r="R203" s="919"/>
      <c r="S203" s="919"/>
      <c r="T203" s="919"/>
      <c r="U203" s="919"/>
      <c r="V203" s="919"/>
      <c r="W203" s="919"/>
      <c r="X203" s="919"/>
      <c r="Y203" s="919"/>
      <c r="Z203" s="919"/>
      <c r="AA203" s="919"/>
      <c r="AB203" s="919"/>
      <c r="AC203" s="919"/>
      <c r="AD203" s="919"/>
      <c r="AE203" s="919"/>
      <c r="AF203" s="919"/>
      <c r="AG203" s="920"/>
    </row>
  </sheetData>
  <autoFilter ref="J98:AA98" xr:uid="{BEFD9108-B7A7-4B47-A26B-A6F5A2B2A550}">
    <sortState xmlns:xlrd2="http://schemas.microsoft.com/office/spreadsheetml/2017/richdata2" ref="J99:AA111">
      <sortCondition ref="L98"/>
    </sortState>
  </autoFilter>
  <mergeCells count="18">
    <mergeCell ref="J203:AG203"/>
    <mergeCell ref="J174:O174"/>
    <mergeCell ref="R64:V64"/>
    <mergeCell ref="W64:Z64"/>
    <mergeCell ref="R96:V96"/>
    <mergeCell ref="W96:Z96"/>
    <mergeCell ref="J116:AG116"/>
    <mergeCell ref="J138:AG138"/>
    <mergeCell ref="J152:AG152"/>
    <mergeCell ref="J169:AG169"/>
    <mergeCell ref="BK65:BX65"/>
    <mergeCell ref="AW97:BJ97"/>
    <mergeCell ref="BK97:BX97"/>
    <mergeCell ref="AB3:AF3"/>
    <mergeCell ref="AA33:AM33"/>
    <mergeCell ref="AI65:AV65"/>
    <mergeCell ref="AW65:BJ65"/>
    <mergeCell ref="AI97:AV97"/>
  </mergeCells>
  <conditionalFormatting sqref="I5:I27">
    <cfRule type="containsBlanks" dxfId="66" priority="116">
      <formula>LEN(TRIM(I5))=0</formula>
    </cfRule>
  </conditionalFormatting>
  <conditionalFormatting sqref="K5:L16">
    <cfRule type="containsText" dxfId="65" priority="113" operator="containsText" text="Oil and Gas">
      <formula>NOT(ISERROR(SEARCH("Oil and Gas",K5)))</formula>
    </cfRule>
    <cfRule type="containsText" dxfId="64" priority="114" operator="containsText" text="Gas">
      <formula>NOT(ISERROR(SEARCH("Gas",K5)))</formula>
    </cfRule>
    <cfRule type="containsText" dxfId="63" priority="115" operator="containsText" text="Oil">
      <formula>NOT(ISERROR(SEARCH("Oil",K5)))</formula>
    </cfRule>
  </conditionalFormatting>
  <conditionalFormatting sqref="K17:L27">
    <cfRule type="containsText" dxfId="62" priority="106" operator="containsText" text="Oil and Gas">
      <formula>NOT(ISERROR(SEARCH("Oil and Gas",K17)))</formula>
    </cfRule>
    <cfRule type="containsText" dxfId="61" priority="107" operator="containsText" text="Gas">
      <formula>NOT(ISERROR(SEARCH("Gas",K17)))</formula>
    </cfRule>
    <cfRule type="containsText" dxfId="60" priority="108" operator="containsText" text="Oil">
      <formula>NOT(ISERROR(SEARCH("Oil",K17)))</formula>
    </cfRule>
  </conditionalFormatting>
  <conditionalFormatting sqref="Q5:Y27 W67:AA92">
    <cfRule type="cellIs" dxfId="59" priority="101" operator="equal">
      <formula>0</formula>
    </cfRule>
  </conditionalFormatting>
  <conditionalFormatting sqref="I35:I54">
    <cfRule type="containsBlanks" dxfId="58" priority="100">
      <formula>LEN(TRIM(I35))=0</formula>
    </cfRule>
  </conditionalFormatting>
  <conditionalFormatting sqref="K35:L46">
    <cfRule type="containsText" dxfId="57" priority="97" operator="containsText" text="Oil and Gas">
      <formula>NOT(ISERROR(SEARCH("Oil and Gas",K35)))</formula>
    </cfRule>
    <cfRule type="containsText" dxfId="56" priority="98" operator="containsText" text="Gas">
      <formula>NOT(ISERROR(SEARCH("Gas",K35)))</formula>
    </cfRule>
    <cfRule type="containsText" dxfId="55" priority="99" operator="containsText" text="Oil">
      <formula>NOT(ISERROR(SEARCH("Oil",K35)))</formula>
    </cfRule>
  </conditionalFormatting>
  <conditionalFormatting sqref="K47:L54 K58:L60">
    <cfRule type="containsText" dxfId="54" priority="94" operator="containsText" text="Oil and Gas">
      <formula>NOT(ISERROR(SEARCH("Oil and Gas",K47)))</formula>
    </cfRule>
    <cfRule type="containsText" dxfId="53" priority="95" operator="containsText" text="Gas">
      <formula>NOT(ISERROR(SEARCH("Gas",K47)))</formula>
    </cfRule>
    <cfRule type="containsText" dxfId="52" priority="96" operator="containsText" text="Oil">
      <formula>NOT(ISERROR(SEARCH("Oil",K47)))</formula>
    </cfRule>
  </conditionalFormatting>
  <conditionalFormatting sqref="Q35:Y60">
    <cfRule type="cellIs" dxfId="51" priority="89" operator="equal">
      <formula>0</formula>
    </cfRule>
  </conditionalFormatting>
  <conditionalFormatting sqref="I67:I86">
    <cfRule type="containsBlanks" dxfId="50" priority="88">
      <formula>LEN(TRIM(I67))=0</formula>
    </cfRule>
  </conditionalFormatting>
  <conditionalFormatting sqref="K67:L78">
    <cfRule type="containsText" dxfId="49" priority="85" operator="containsText" text="Oil and Gas">
      <formula>NOT(ISERROR(SEARCH("Oil and Gas",K67)))</formula>
    </cfRule>
    <cfRule type="containsText" dxfId="48" priority="86" operator="containsText" text="Gas">
      <formula>NOT(ISERROR(SEARCH("Gas",K67)))</formula>
    </cfRule>
    <cfRule type="containsText" dxfId="47" priority="87" operator="containsText" text="Oil">
      <formula>NOT(ISERROR(SEARCH("Oil",K67)))</formula>
    </cfRule>
  </conditionalFormatting>
  <conditionalFormatting sqref="K79:L86 K90:L92">
    <cfRule type="containsText" dxfId="46" priority="82" operator="containsText" text="Oil and Gas">
      <formula>NOT(ISERROR(SEARCH("Oil and Gas",K79)))</formula>
    </cfRule>
    <cfRule type="containsText" dxfId="45" priority="83" operator="containsText" text="Gas">
      <formula>NOT(ISERROR(SEARCH("Gas",K79)))</formula>
    </cfRule>
    <cfRule type="containsText" dxfId="44" priority="84" operator="containsText" text="Oil">
      <formula>NOT(ISERROR(SEARCH("Oil",K79)))</formula>
    </cfRule>
  </conditionalFormatting>
  <conditionalFormatting sqref="N67:N92">
    <cfRule type="cellIs" dxfId="43" priority="77" operator="equal">
      <formula>0</formula>
    </cfRule>
  </conditionalFormatting>
  <conditionalFormatting sqref="R67:V92">
    <cfRule type="cellIs" dxfId="42" priority="76" operator="equal">
      <formula>0</formula>
    </cfRule>
  </conditionalFormatting>
  <conditionalFormatting sqref="P67:P92">
    <cfRule type="cellIs" dxfId="41" priority="74" operator="equal">
      <formula>0</formula>
    </cfRule>
  </conditionalFormatting>
  <conditionalFormatting sqref="Q67:Q92">
    <cfRule type="cellIs" dxfId="40" priority="73" operator="equal">
      <formula>0</formula>
    </cfRule>
  </conditionalFormatting>
  <conditionalFormatting sqref="M99">
    <cfRule type="containsBlanks" dxfId="39" priority="72">
      <formula>LEN(TRIM(M99))=0</formula>
    </cfRule>
  </conditionalFormatting>
  <conditionalFormatting sqref="N99:V112">
    <cfRule type="cellIs" dxfId="38" priority="71" operator="equal">
      <formula>0</formula>
    </cfRule>
  </conditionalFormatting>
  <conditionalFormatting sqref="W99:Z112">
    <cfRule type="cellIs" dxfId="37" priority="70" operator="equal">
      <formula>0</formula>
    </cfRule>
  </conditionalFormatting>
  <conditionalFormatting sqref="AA99:AA112">
    <cfRule type="cellIs" dxfId="36" priority="69" operator="equal">
      <formula>0</formula>
    </cfRule>
  </conditionalFormatting>
  <conditionalFormatting sqref="AB99:AC112">
    <cfRule type="cellIs" dxfId="35" priority="36" operator="equal">
      <formula>0</formula>
    </cfRule>
  </conditionalFormatting>
  <conditionalFormatting sqref="AH99:BJ112">
    <cfRule type="cellIs" dxfId="34" priority="28" operator="equal">
      <formula>0</formula>
    </cfRule>
  </conditionalFormatting>
  <conditionalFormatting sqref="BK99:BX112">
    <cfRule type="cellIs" dxfId="33" priority="26" operator="equal">
      <formula>0</formula>
    </cfRule>
  </conditionalFormatting>
  <conditionalFormatting sqref="M121">
    <cfRule type="containsBlanks" dxfId="32" priority="25">
      <formula>LEN(TRIM(M121))=0</formula>
    </cfRule>
  </conditionalFormatting>
  <conditionalFormatting sqref="M156">
    <cfRule type="containsBlanks" dxfId="31" priority="24">
      <formula>LEN(TRIM(M156))=0</formula>
    </cfRule>
  </conditionalFormatting>
  <conditionalFormatting sqref="M183">
    <cfRule type="containsBlanks" dxfId="30" priority="23">
      <formula>LEN(TRIM(M183))=0</formula>
    </cfRule>
  </conditionalFormatting>
  <conditionalFormatting sqref="I55:I57">
    <cfRule type="containsBlanks" dxfId="29" priority="22">
      <formula>LEN(TRIM(I55))=0</formula>
    </cfRule>
  </conditionalFormatting>
  <conditionalFormatting sqref="K55:L57">
    <cfRule type="containsText" dxfId="28" priority="19" operator="containsText" text="Oil and Gas">
      <formula>NOT(ISERROR(SEARCH("Oil and Gas",K55)))</formula>
    </cfRule>
    <cfRule type="containsText" dxfId="27" priority="20" operator="containsText" text="Gas">
      <formula>NOT(ISERROR(SEARCH("Gas",K55)))</formula>
    </cfRule>
    <cfRule type="containsText" dxfId="26" priority="21" operator="containsText" text="Oil">
      <formula>NOT(ISERROR(SEARCH("Oil",K55)))</formula>
    </cfRule>
  </conditionalFormatting>
  <conditionalFormatting sqref="I87:I89">
    <cfRule type="containsBlanks" dxfId="25" priority="14">
      <formula>LEN(TRIM(I87))=0</formula>
    </cfRule>
  </conditionalFormatting>
  <conditionalFormatting sqref="K87:L89">
    <cfRule type="containsText" dxfId="24" priority="11" operator="containsText" text="Oil and Gas">
      <formula>NOT(ISERROR(SEARCH("Oil and Gas",K87)))</formula>
    </cfRule>
    <cfRule type="containsText" dxfId="23" priority="12" operator="containsText" text="Gas">
      <formula>NOT(ISERROR(SEARCH("Gas",K87)))</formula>
    </cfRule>
    <cfRule type="containsText" dxfId="22" priority="13" operator="containsText" text="Oil">
      <formula>NOT(ISERROR(SEARCH("Oil",K87)))</formula>
    </cfRule>
  </conditionalFormatting>
  <conditionalFormatting sqref="X121">
    <cfRule type="containsBlanks" dxfId="21" priority="6">
      <formula>LEN(TRIM(X121))=0</formula>
    </cfRule>
  </conditionalFormatting>
  <conditionalFormatting sqref="Z121:Z127">
    <cfRule type="cellIs" dxfId="20" priority="5" operator="equal">
      <formula>0</formula>
    </cfRule>
  </conditionalFormatting>
  <conditionalFormatting sqref="AA121:AC127">
    <cfRule type="containsText" dxfId="19" priority="3" operator="containsText" text="No">
      <formula>NOT(ISERROR(SEARCH("No",AA121)))</formula>
    </cfRule>
    <cfRule type="containsText" dxfId="18" priority="4" operator="containsText" text="Sí">
      <formula>NOT(ISERROR(SEARCH("Sí",AA121)))</formula>
    </cfRule>
  </conditionalFormatting>
  <conditionalFormatting sqref="M141">
    <cfRule type="containsBlanks" dxfId="17" priority="2">
      <formula>LEN(TRIM(M141))=0</formula>
    </cfRule>
  </conditionalFormatting>
  <conditionalFormatting sqref="M193">
    <cfRule type="containsBlanks" dxfId="16" priority="1">
      <formula>LEN(TRIM(M193))=0</formula>
    </cfRule>
  </conditionalFormatting>
  <pageMargins left="0.7" right="0.7" top="0.75" bottom="0.75" header="0.3" footer="0.3"/>
  <pageSetup paperSize="9" orientation="portrait" r:id="rId1"/>
  <ignoredErrors>
    <ignoredError sqref="P100:P103 AF106:AF112 AF99:AF104 K127:M127"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2" operator="containsText" id="{E426D479-C00D-4D12-87DA-A5CC5D2C967F}">
            <xm:f>NOT(ISERROR(SEARCH($I$8,J5)))</xm:f>
            <xm:f>$I$8</xm:f>
            <x14:dxf>
              <fill>
                <patternFill>
                  <bgColor theme="7" tint="0.79998168889431442"/>
                </patternFill>
              </fill>
            </x14:dxf>
          </x14:cfRule>
          <x14:cfRule type="containsText" priority="103" operator="containsText" id="{EFC91A7F-DF34-40D0-9009-60D5ED70E3E1}">
            <xm:f>NOT(ISERROR(SEARCH($I$7,J5)))</xm:f>
            <xm:f>$I$7</xm:f>
            <x14:dxf>
              <fill>
                <patternFill>
                  <bgColor theme="5" tint="0.79998168889431442"/>
                </patternFill>
              </fill>
            </x14:dxf>
          </x14:cfRule>
          <x14:cfRule type="containsText" priority="104" operator="containsText" id="{90D23800-7152-4BA1-ACEB-1A926D949FC1}">
            <xm:f>NOT(ISERROR(SEARCH($I$6,J5)))</xm:f>
            <xm:f>$I$6</xm:f>
            <x14:dxf>
              <fill>
                <patternFill>
                  <bgColor theme="0" tint="-0.24994659260841701"/>
                </patternFill>
              </fill>
            </x14:dxf>
          </x14:cfRule>
          <x14:cfRule type="containsText" priority="105"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90" operator="containsText" id="{1E6AAD92-B6E8-4AA7-8E0B-9D57CFDC9D19}">
            <xm:f>NOT(ISERROR(SEARCH($I$8,M35)))</xm:f>
            <xm:f>$I$8</xm:f>
            <x14:dxf>
              <fill>
                <patternFill>
                  <bgColor theme="7" tint="0.79998168889431442"/>
                </patternFill>
              </fill>
            </x14:dxf>
          </x14:cfRule>
          <x14:cfRule type="containsText" priority="91" operator="containsText" id="{95BACFEB-B2A0-443D-95E3-E05996ADD04C}">
            <xm:f>NOT(ISERROR(SEARCH($I$7,M35)))</xm:f>
            <xm:f>$I$7</xm:f>
            <x14:dxf>
              <fill>
                <patternFill>
                  <bgColor theme="5" tint="0.79998168889431442"/>
                </patternFill>
              </fill>
            </x14:dxf>
          </x14:cfRule>
          <x14:cfRule type="containsText" priority="92" operator="containsText" id="{572D0E88-D465-48B6-B56C-418B3A0A929D}">
            <xm:f>NOT(ISERROR(SEARCH($I$6,M35)))</xm:f>
            <xm:f>$I$6</xm:f>
            <x14:dxf>
              <fill>
                <patternFill>
                  <bgColor theme="0" tint="-0.24994659260841701"/>
                </patternFill>
              </fill>
            </x14:dxf>
          </x14:cfRule>
          <x14:cfRule type="containsText" priority="93"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15" operator="containsText" id="{4F708E58-4079-4449-A7E0-DCC52C551651}">
            <xm:f>NOT(ISERROR(SEARCH($I$8,M55)))</xm:f>
            <xm:f>$I$8</xm:f>
            <x14:dxf>
              <fill>
                <patternFill>
                  <bgColor theme="7" tint="0.79998168889431442"/>
                </patternFill>
              </fill>
            </x14:dxf>
          </x14:cfRule>
          <x14:cfRule type="containsText" priority="16" operator="containsText" id="{30EA74FE-1FFD-4199-A78B-D0534230CED4}">
            <xm:f>NOT(ISERROR(SEARCH($I$7,M55)))</xm:f>
            <xm:f>$I$7</xm:f>
            <x14:dxf>
              <fill>
                <patternFill>
                  <bgColor theme="5" tint="0.79998168889431442"/>
                </patternFill>
              </fill>
            </x14:dxf>
          </x14:cfRule>
          <x14:cfRule type="containsText" priority="17" operator="containsText" id="{CF3F57C9-F1D4-4641-B11D-157B2EAB2375}">
            <xm:f>NOT(ISERROR(SEARCH($I$6,M55)))</xm:f>
            <xm:f>$I$6</xm:f>
            <x14:dxf>
              <fill>
                <patternFill>
                  <bgColor theme="0" tint="-0.24994659260841701"/>
                </patternFill>
              </fill>
            </x14:dxf>
          </x14:cfRule>
          <x14:cfRule type="containsText" priority="18"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7" operator="containsText" id="{5DC5EC65-7810-497E-99BE-F801BA42FB5D}">
            <xm:f>NOT(ISERROR(SEARCH($I$8,M87)))</xm:f>
            <xm:f>$I$8</xm:f>
            <x14:dxf>
              <fill>
                <patternFill>
                  <bgColor theme="7" tint="0.79998168889431442"/>
                </patternFill>
              </fill>
            </x14:dxf>
          </x14:cfRule>
          <x14:cfRule type="containsText" priority="8" operator="containsText" id="{622CABAD-AE56-4799-BEB1-4CB4D4BE8CBA}">
            <xm:f>NOT(ISERROR(SEARCH($I$7,M87)))</xm:f>
            <xm:f>$I$7</xm:f>
            <x14:dxf>
              <fill>
                <patternFill>
                  <bgColor theme="5" tint="0.79998168889431442"/>
                </patternFill>
              </fill>
            </x14:dxf>
          </x14:cfRule>
          <x14:cfRule type="containsText" priority="9" operator="containsText" id="{CEAEF749-CFE4-4BB4-BC95-7B38A0C363CF}">
            <xm:f>NOT(ISERROR(SEARCH($I$6,M87)))</xm:f>
            <xm:f>$I$6</xm:f>
            <x14:dxf>
              <fill>
                <patternFill>
                  <bgColor theme="0" tint="-0.24994659260841701"/>
                </patternFill>
              </fill>
            </x14:dxf>
          </x14:cfRule>
          <x14:cfRule type="containsText" priority="10"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DB130"/>
  <sheetViews>
    <sheetView showGridLines="0" topLeftCell="Q1" zoomScaleNormal="100" workbookViewId="0">
      <selection activeCell="AG26" sqref="AG26"/>
    </sheetView>
  </sheetViews>
  <sheetFormatPr baseColWidth="10" defaultRowHeight="15" x14ac:dyDescent="0.25"/>
  <cols>
    <col min="2" max="2" width="4.28515625" style="148" customWidth="1"/>
    <col min="3" max="3" width="17.42578125" customWidth="1"/>
    <col min="7" max="7" width="14.7109375" bestFit="1" customWidth="1"/>
    <col min="9" max="9" width="5.7109375" style="680"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7" width="11.42578125" style="1"/>
    <col min="28" max="28" width="6" style="680"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80" customWidth="1"/>
    <col min="40" max="40" width="6.140625" style="148" customWidth="1"/>
    <col min="41" max="41" width="14.140625" customWidth="1"/>
    <col min="45" max="45" width="20.28515625" bestFit="1" customWidth="1"/>
    <col min="46" max="46" width="15.85546875" customWidth="1"/>
    <col min="47" max="47" width="11.85546875" customWidth="1"/>
    <col min="49" max="49" width="5.28515625" style="680" customWidth="1"/>
    <col min="50" max="50" width="22" customWidth="1"/>
    <col min="51" max="51" width="5.7109375" style="148" customWidth="1"/>
    <col min="52" max="52" width="22.42578125" customWidth="1"/>
    <col min="53" max="53" width="13.140625" customWidth="1"/>
    <col min="54" max="54" width="15.140625" customWidth="1"/>
    <col min="55" max="55" width="9.140625" customWidth="1"/>
    <col min="56" max="58" width="4.7109375" customWidth="1"/>
    <col min="59" max="59" width="23.140625" customWidth="1"/>
    <col min="60" max="60" width="22.42578125" customWidth="1"/>
    <col min="61" max="61" width="21.28515625" customWidth="1"/>
    <col min="62" max="62" width="9.5703125" customWidth="1"/>
    <col min="63" max="63" width="12.140625" customWidth="1"/>
    <col min="64" max="64" width="24.5703125" customWidth="1"/>
    <col min="65" max="65" width="19.7109375" customWidth="1"/>
    <col min="66" max="66" width="16" customWidth="1"/>
    <col min="67" max="67" width="6.28515625" customWidth="1"/>
    <col min="68" max="68" width="25" customWidth="1"/>
    <col min="69" max="69" width="19" customWidth="1"/>
    <col min="70" max="70" width="9.42578125" customWidth="1"/>
    <col min="71" max="72" width="8.42578125" style="1" customWidth="1"/>
    <col min="73" max="73" width="6.7109375" style="1" customWidth="1"/>
    <col min="74" max="74" width="11.28515625" style="785" customWidth="1"/>
    <col min="75" max="75" width="25.28515625" style="1" customWidth="1"/>
    <col min="76" max="76" width="21.140625" style="1" customWidth="1"/>
    <col min="77" max="77" width="17" style="1" customWidth="1"/>
    <col min="78" max="78" width="5.5703125" style="1" customWidth="1"/>
    <col min="79" max="79" width="20.28515625" style="1" customWidth="1"/>
    <col min="80" max="81" width="11.28515625" style="1" customWidth="1"/>
    <col min="82" max="82" width="20.7109375" style="1" customWidth="1"/>
    <col min="83" max="83" width="23.140625" customWidth="1"/>
    <col min="84" max="84" width="19.85546875" customWidth="1"/>
    <col min="85" max="85" width="11.5703125" customWidth="1"/>
    <col min="86" max="86" width="5" customWidth="1"/>
    <col min="87" max="87" width="20.42578125" customWidth="1"/>
    <col min="88" max="88" width="11.42578125" customWidth="1"/>
    <col min="90" max="90" width="6.5703125" style="297" customWidth="1"/>
    <col min="91" max="91" width="22.28515625" customWidth="1"/>
    <col min="92" max="92" width="7.42578125" style="148" customWidth="1"/>
    <col min="93" max="93" width="18.140625" customWidth="1"/>
    <col min="94" max="94" width="16.7109375" customWidth="1"/>
    <col min="95" max="95" width="20.140625" customWidth="1"/>
    <col min="96" max="96" width="6.42578125" customWidth="1"/>
    <col min="97" max="98" width="16.42578125" customWidth="1"/>
    <col min="100" max="100" width="7.28515625" style="680" customWidth="1"/>
    <col min="101" max="101" width="23.42578125" customWidth="1"/>
    <col min="102" max="102" width="11.42578125" style="148"/>
    <col min="103" max="103" width="21.140625" customWidth="1"/>
  </cols>
  <sheetData>
    <row r="1" spans="2:106" x14ac:dyDescent="0.25">
      <c r="AC1" s="824"/>
    </row>
    <row r="2" spans="2:106" x14ac:dyDescent="0.25">
      <c r="AC2" s="824"/>
    </row>
    <row r="3" spans="2:106" ht="21" x14ac:dyDescent="0.35">
      <c r="C3" s="915" t="s">
        <v>1033</v>
      </c>
      <c r="D3" s="915"/>
      <c r="E3" s="915"/>
      <c r="F3" s="915"/>
      <c r="G3" s="915"/>
      <c r="H3" s="915"/>
      <c r="I3" s="679"/>
      <c r="L3" s="915" t="s">
        <v>1034</v>
      </c>
      <c r="M3" s="915"/>
      <c r="N3" s="915"/>
      <c r="O3" s="915"/>
      <c r="P3" s="915"/>
      <c r="Q3" s="915"/>
      <c r="R3" s="915"/>
      <c r="S3" s="915"/>
      <c r="T3" s="915"/>
      <c r="U3" s="915"/>
      <c r="V3" s="915"/>
      <c r="W3" s="915"/>
      <c r="X3" s="759"/>
      <c r="Y3" s="759"/>
      <c r="Z3" s="759"/>
      <c r="AA3" s="759"/>
      <c r="AB3" s="679"/>
      <c r="AC3" s="824"/>
      <c r="AE3" s="915" t="s">
        <v>1039</v>
      </c>
      <c r="AF3" s="915"/>
      <c r="AG3" s="915"/>
      <c r="AH3" s="915"/>
      <c r="AI3" s="915"/>
      <c r="AJ3" s="915"/>
      <c r="AK3" s="915"/>
      <c r="AO3" s="915" t="s">
        <v>1048</v>
      </c>
      <c r="AP3" s="915"/>
      <c r="AQ3" s="915"/>
      <c r="AR3" s="915"/>
      <c r="AS3" s="915"/>
      <c r="AT3" s="915"/>
      <c r="AU3" s="915"/>
      <c r="AV3" s="915"/>
      <c r="BG3" s="455"/>
      <c r="BH3" s="455" t="s">
        <v>1231</v>
      </c>
      <c r="BI3" s="455"/>
      <c r="BJ3" s="455"/>
      <c r="BK3" s="455"/>
      <c r="BL3" s="455"/>
      <c r="BM3" s="455"/>
      <c r="BN3" s="455"/>
      <c r="BO3" s="455"/>
      <c r="BP3" s="455"/>
      <c r="BQ3" s="455"/>
      <c r="BR3" s="455"/>
      <c r="BS3" s="455"/>
      <c r="BT3" s="455"/>
      <c r="BU3" s="455"/>
      <c r="BV3" s="835"/>
      <c r="BW3" s="915" t="s">
        <v>1415</v>
      </c>
      <c r="BX3" s="915"/>
      <c r="BY3" s="915"/>
      <c r="BZ3" s="915"/>
      <c r="CA3" s="915"/>
      <c r="CB3" s="915"/>
      <c r="CC3" s="915"/>
      <c r="CD3" s="915"/>
      <c r="CE3" s="915"/>
      <c r="CF3" s="915"/>
      <c r="CG3" s="915"/>
      <c r="CH3" s="915"/>
      <c r="CI3" s="915"/>
      <c r="CJ3" s="915"/>
      <c r="CK3" s="455"/>
      <c r="CO3" s="915" t="s">
        <v>1082</v>
      </c>
      <c r="CP3" s="915"/>
      <c r="CQ3" s="915"/>
      <c r="CR3" s="915"/>
      <c r="CS3" s="915"/>
      <c r="CT3" s="915"/>
      <c r="CU3" s="915"/>
      <c r="CY3" s="455" t="s">
        <v>1225</v>
      </c>
    </row>
    <row r="4" spans="2:106" x14ac:dyDescent="0.25">
      <c r="AC4" s="824"/>
    </row>
    <row r="5" spans="2:106" s="697" customFormat="1" ht="15.75" x14ac:dyDescent="0.25">
      <c r="B5" s="696"/>
      <c r="I5" s="698"/>
      <c r="K5" s="696"/>
      <c r="L5" s="699" t="s">
        <v>1035</v>
      </c>
      <c r="M5" s="699"/>
      <c r="N5" s="699"/>
      <c r="O5" s="699"/>
      <c r="Q5" s="699" t="s">
        <v>1036</v>
      </c>
      <c r="R5" s="699"/>
      <c r="S5" s="699"/>
      <c r="U5" s="699" t="s">
        <v>1037</v>
      </c>
      <c r="V5" s="699"/>
      <c r="X5" s="760"/>
      <c r="Y5" s="760" t="s">
        <v>1229</v>
      </c>
      <c r="Z5" s="760"/>
      <c r="AA5" s="760"/>
      <c r="AB5" s="698"/>
      <c r="AC5" s="824"/>
      <c r="AD5" s="696"/>
      <c r="AE5" s="699" t="s">
        <v>1046</v>
      </c>
      <c r="AF5" s="699"/>
      <c r="AG5" s="699"/>
      <c r="AI5" s="699" t="s">
        <v>1047</v>
      </c>
      <c r="AJ5" s="699"/>
      <c r="AK5" s="699"/>
      <c r="AL5" s="698"/>
      <c r="AN5" s="696"/>
      <c r="AO5" s="699" t="s">
        <v>1052</v>
      </c>
      <c r="AP5" s="699"/>
      <c r="AQ5" s="699"/>
      <c r="AS5" s="699" t="s">
        <v>1053</v>
      </c>
      <c r="AT5" s="699"/>
      <c r="AU5" s="699"/>
      <c r="AV5" s="699"/>
      <c r="AW5" s="698"/>
      <c r="AY5" s="696"/>
      <c r="AZ5" s="699" t="s">
        <v>1275</v>
      </c>
      <c r="BA5" s="699"/>
      <c r="BB5" s="699"/>
      <c r="BC5" s="699"/>
      <c r="BG5" s="699" t="s">
        <v>1284</v>
      </c>
      <c r="BH5" s="699"/>
      <c r="BI5" s="699"/>
      <c r="BJ5" s="699"/>
      <c r="BL5" s="914" t="s">
        <v>1083</v>
      </c>
      <c r="BM5" s="914"/>
      <c r="BN5" s="914"/>
      <c r="BO5" s="914"/>
      <c r="BP5" s="914"/>
      <c r="BQ5" s="914"/>
      <c r="BR5" s="914"/>
      <c r="BS5" s="700"/>
      <c r="BT5" s="700"/>
      <c r="BU5" s="700"/>
      <c r="BV5" s="836"/>
      <c r="BW5" s="699" t="s">
        <v>1392</v>
      </c>
      <c r="BX5" s="760"/>
      <c r="BY5" s="760"/>
      <c r="BZ5" s="760"/>
      <c r="CA5" s="760"/>
      <c r="CB5" s="760"/>
      <c r="CC5" s="760"/>
      <c r="CD5" s="700"/>
      <c r="CE5" s="699" t="s">
        <v>1391</v>
      </c>
      <c r="CF5" s="699"/>
      <c r="CG5" s="699"/>
      <c r="CH5" s="699"/>
      <c r="CI5" s="699"/>
      <c r="CJ5" s="699"/>
      <c r="CK5" s="699"/>
      <c r="CL5" s="701"/>
      <c r="CN5" s="696"/>
      <c r="CO5" s="699" t="s">
        <v>1080</v>
      </c>
      <c r="CP5" s="699"/>
      <c r="CQ5" s="699"/>
      <c r="CR5" s="699"/>
      <c r="CS5" s="699"/>
      <c r="CT5" s="699"/>
      <c r="CU5" s="699"/>
      <c r="CV5" s="698"/>
      <c r="CX5" s="696"/>
      <c r="CY5" s="697" t="s">
        <v>1226</v>
      </c>
    </row>
    <row r="6" spans="2:106" x14ac:dyDescent="0.25">
      <c r="AC6" s="824"/>
    </row>
    <row r="7" spans="2:106" x14ac:dyDescent="0.25">
      <c r="C7" s="380" t="s">
        <v>0</v>
      </c>
      <c r="L7" s="380" t="s">
        <v>0</v>
      </c>
      <c r="Q7" s="380" t="s">
        <v>0</v>
      </c>
      <c r="U7" s="380" t="s">
        <v>0</v>
      </c>
      <c r="Y7" s="380" t="s">
        <v>0</v>
      </c>
      <c r="AE7" s="380" t="s">
        <v>0</v>
      </c>
      <c r="AI7" s="380" t="s">
        <v>0</v>
      </c>
      <c r="AO7" s="380" t="s">
        <v>0</v>
      </c>
      <c r="AS7" s="380" t="s">
        <v>0</v>
      </c>
      <c r="AZ7" s="380" t="s">
        <v>0</v>
      </c>
      <c r="BG7" s="380" t="s">
        <v>0</v>
      </c>
      <c r="BJ7" s="1"/>
      <c r="BL7" s="380" t="s">
        <v>0</v>
      </c>
      <c r="BP7" s="380" t="s">
        <v>0</v>
      </c>
      <c r="BW7" s="380" t="s">
        <v>0</v>
      </c>
      <c r="BX7"/>
      <c r="BY7"/>
      <c r="CA7" s="380" t="s">
        <v>0</v>
      </c>
      <c r="CB7"/>
      <c r="CC7"/>
      <c r="CE7" s="380" t="s">
        <v>0</v>
      </c>
      <c r="CI7" s="380" t="s">
        <v>0</v>
      </c>
      <c r="CO7" s="380" t="s">
        <v>0</v>
      </c>
      <c r="CS7" s="380" t="s">
        <v>0</v>
      </c>
      <c r="CT7" s="380"/>
      <c r="CY7" s="380" t="s">
        <v>0</v>
      </c>
    </row>
    <row r="8" spans="2:106" x14ac:dyDescent="0.25">
      <c r="C8" s="374" t="s">
        <v>11</v>
      </c>
      <c r="D8" s="661" t="s">
        <v>13</v>
      </c>
      <c r="E8" s="661" t="s">
        <v>14</v>
      </c>
      <c r="F8" s="661" t="s">
        <v>927</v>
      </c>
      <c r="G8" s="661" t="s">
        <v>928</v>
      </c>
      <c r="H8" s="661" t="s">
        <v>31</v>
      </c>
      <c r="I8" s="681"/>
      <c r="L8" s="374" t="s">
        <v>11</v>
      </c>
      <c r="M8" s="340" t="s">
        <v>1</v>
      </c>
      <c r="N8" s="340" t="s">
        <v>625</v>
      </c>
      <c r="O8" s="340" t="s">
        <v>552</v>
      </c>
      <c r="Q8" s="662" t="s">
        <v>11</v>
      </c>
      <c r="R8" s="661" t="s">
        <v>12</v>
      </c>
      <c r="S8" s="661" t="s">
        <v>153</v>
      </c>
      <c r="U8" s="374" t="s">
        <v>11</v>
      </c>
      <c r="V8" s="663" t="s">
        <v>13</v>
      </c>
      <c r="W8" s="663" t="s">
        <v>31</v>
      </c>
      <c r="X8" s="830"/>
      <c r="Y8" s="374" t="s">
        <v>11</v>
      </c>
      <c r="Z8" s="663" t="s">
        <v>928</v>
      </c>
      <c r="AA8" s="830"/>
      <c r="AB8" s="684"/>
      <c r="AE8" s="317" t="s">
        <v>11</v>
      </c>
      <c r="AF8" s="318" t="s">
        <v>12</v>
      </c>
      <c r="AG8" s="318" t="s">
        <v>31</v>
      </c>
      <c r="AI8" s="317" t="s">
        <v>11</v>
      </c>
      <c r="AJ8" s="318" t="s">
        <v>13</v>
      </c>
      <c r="AK8" s="327" t="s">
        <v>941</v>
      </c>
      <c r="AL8" s="686"/>
      <c r="AO8" s="317" t="s">
        <v>11</v>
      </c>
      <c r="AP8" s="327" t="s">
        <v>14</v>
      </c>
      <c r="AQ8" s="665" t="s">
        <v>626</v>
      </c>
      <c r="AS8" s="317" t="s">
        <v>11</v>
      </c>
      <c r="AT8" s="672" t="s">
        <v>12</v>
      </c>
      <c r="AU8" s="672" t="s">
        <v>13</v>
      </c>
      <c r="AV8" s="672" t="s">
        <v>31</v>
      </c>
      <c r="AW8" s="691"/>
      <c r="AZ8" s="327" t="s">
        <v>11</v>
      </c>
      <c r="BA8" s="317" t="s">
        <v>12</v>
      </c>
      <c r="BB8" s="672" t="s">
        <v>13</v>
      </c>
      <c r="BC8" s="673" t="s">
        <v>31</v>
      </c>
      <c r="BG8" s="317" t="s">
        <v>11</v>
      </c>
      <c r="BH8" s="672" t="s">
        <v>12</v>
      </c>
      <c r="BI8" s="672" t="s">
        <v>13</v>
      </c>
      <c r="BJ8" s="844" t="s">
        <v>31</v>
      </c>
      <c r="BK8" s="843"/>
      <c r="BL8" s="317" t="s">
        <v>11</v>
      </c>
      <c r="BM8" s="672" t="s">
        <v>12</v>
      </c>
      <c r="BN8" s="376" t="s">
        <v>153</v>
      </c>
      <c r="BO8" s="1"/>
      <c r="BP8" s="317" t="s">
        <v>11</v>
      </c>
      <c r="BQ8" s="672" t="s">
        <v>13</v>
      </c>
      <c r="BR8" s="844" t="s">
        <v>31</v>
      </c>
      <c r="BS8" s="683"/>
      <c r="BT8" s="683"/>
      <c r="BU8" s="683"/>
      <c r="BV8" s="837"/>
      <c r="BW8" s="327" t="s">
        <v>11</v>
      </c>
      <c r="BX8" s="672" t="s">
        <v>12</v>
      </c>
      <c r="BY8" s="327" t="s">
        <v>975</v>
      </c>
      <c r="BZ8" s="683"/>
      <c r="CA8" s="317" t="s">
        <v>11</v>
      </c>
      <c r="CB8" s="672" t="s">
        <v>13</v>
      </c>
      <c r="CC8" s="376" t="s">
        <v>31</v>
      </c>
      <c r="CD8" s="683"/>
      <c r="CE8" s="327" t="s">
        <v>11</v>
      </c>
      <c r="CF8" s="672" t="s">
        <v>12</v>
      </c>
      <c r="CG8" s="327" t="s">
        <v>975</v>
      </c>
      <c r="CI8" s="317" t="s">
        <v>11</v>
      </c>
      <c r="CJ8" s="672" t="s">
        <v>13</v>
      </c>
      <c r="CK8" s="376" t="s">
        <v>31</v>
      </c>
      <c r="CO8" s="317" t="s">
        <v>11</v>
      </c>
      <c r="CP8" s="672" t="s">
        <v>12</v>
      </c>
      <c r="CQ8" s="327" t="s">
        <v>975</v>
      </c>
      <c r="CS8" s="317" t="s">
        <v>11</v>
      </c>
      <c r="CT8" s="672" t="s">
        <v>13</v>
      </c>
      <c r="CU8" s="673" t="s">
        <v>31</v>
      </c>
      <c r="CV8" s="693"/>
      <c r="CY8" s="317" t="s">
        <v>11</v>
      </c>
      <c r="CZ8" s="672" t="s">
        <v>12</v>
      </c>
      <c r="DA8" s="672" t="s">
        <v>13</v>
      </c>
      <c r="DB8" s="327" t="s">
        <v>31</v>
      </c>
    </row>
    <row r="9" spans="2:106" x14ac:dyDescent="0.25">
      <c r="C9" s="19" t="str" cm="1">
        <f t="array" ref="C9:C15">+PROCESS!D24:D30</f>
        <v>MIN-CAM1</v>
      </c>
      <c r="D9" s="19" t="str" cm="1">
        <f t="array" ref="D9:D15">+COMM!D20:D26</f>
        <v>R-CAM1</v>
      </c>
      <c r="E9" s="22" t="s">
        <v>552</v>
      </c>
      <c r="F9" s="436" cm="1">
        <f t="array" ref="F9:F15">+'5. Data'!AB99:AB105</f>
        <v>266.73883552000007</v>
      </c>
      <c r="G9" s="664">
        <f>1/(1000000)</f>
        <v>9.9999999999999995E-7</v>
      </c>
      <c r="H9" s="290">
        <v>1</v>
      </c>
      <c r="I9" s="682"/>
      <c r="L9" s="22" t="str">
        <f>+PROCESS!N24</f>
        <v>PROF-CAM1</v>
      </c>
      <c r="M9" s="22" t="s">
        <v>626</v>
      </c>
      <c r="N9" s="22" cm="1">
        <f t="array" ref="N9:N22">+TRANSPOSE('5. Data'!AI98:AV98)</f>
        <v>2019</v>
      </c>
      <c r="O9" s="262" cm="1">
        <f t="array" ref="O9:O22">+TRANSPOSE('5. Data'!AI99:AV99)</f>
        <v>68.585731940983607</v>
      </c>
      <c r="Q9" s="71" t="str">
        <f>+L9</f>
        <v>PROF-CAM1</v>
      </c>
      <c r="R9" s="71" t="str">
        <f>+D9</f>
        <v>R-CAM1</v>
      </c>
      <c r="S9" s="660">
        <f>100%-S10</f>
        <v>0.98952880617307648</v>
      </c>
      <c r="U9" t="str">
        <f>+Q9</f>
        <v>PROF-CAM1</v>
      </c>
      <c r="V9" t="str" cm="1">
        <f t="array" ref="V9:V15">+COMM!D80:D86</f>
        <v>FLU-CAM1</v>
      </c>
      <c r="W9" s="442">
        <f>100%-S10-(S9*'5. Data'!P99*'5. Data'!X99)</f>
        <v>0.98818936199531748</v>
      </c>
      <c r="X9" s="826"/>
      <c r="Y9" s="826" t="str" cm="1">
        <f t="array" ref="Y9:Y15">+U9:U15</f>
        <v>PROF-CAM1</v>
      </c>
      <c r="Z9" s="824">
        <v>0</v>
      </c>
      <c r="AA9" s="826"/>
      <c r="AB9" s="685"/>
      <c r="AC9" s="825"/>
      <c r="AE9" t="str" cm="1">
        <f t="array" ref="AE9:AE15">+PROCESS!N64:N70</f>
        <v>SEP-CAM1</v>
      </c>
      <c r="AF9" t="str" cm="1">
        <f t="array" ref="AF9:AF15">+COMM!D80:D86</f>
        <v>FLU-CAM1</v>
      </c>
      <c r="AG9" s="289">
        <v>1</v>
      </c>
      <c r="AI9" t="str">
        <f>+AE9</f>
        <v>SEP-CAM1</v>
      </c>
      <c r="AJ9" t="s">
        <v>1040</v>
      </c>
      <c r="AK9" s="298">
        <f>+('5. Data'!O99-'5. Data'!S99)/('5. Data'!AH99-'5. Data'!S99)</f>
        <v>1</v>
      </c>
      <c r="AL9" s="688"/>
      <c r="AO9" s="19" t="str" cm="1">
        <f t="array" ref="AO9:AO15">+PROCESS!N78:N84</f>
        <v>PLT-CAM1</v>
      </c>
      <c r="AP9" s="19" t="s">
        <v>552</v>
      </c>
      <c r="AQ9" s="436" cm="1">
        <f t="array" ref="AQ9:AQ15">+'5. Data'!P156:P162</f>
        <v>0</v>
      </c>
      <c r="AS9" t="str" cm="1">
        <f t="array" ref="AS9:AS15">+_xlfn.ANCHORARRAY(AO9)</f>
        <v>PLT-CAM1</v>
      </c>
      <c r="AT9" t="str" cm="1">
        <f t="array" ref="AT9:AT15">+COMM!D30:D36</f>
        <v>GAS-CAM1</v>
      </c>
      <c r="AU9" s="22" t="s">
        <v>49</v>
      </c>
      <c r="AV9" s="289">
        <v>1</v>
      </c>
      <c r="AW9" s="692"/>
      <c r="AZ9" t="str" cm="1">
        <f t="array" ref="AZ9:AZ29">+PROCESS!N130:N150</f>
        <v>FTE-FUEL-GAS-CAM1</v>
      </c>
      <c r="BA9" t="str" cm="1">
        <f t="array" ref="BA9:BA15">+COMM!D30:D36</f>
        <v>GAS-CAM1</v>
      </c>
      <c r="BB9" t="str" cm="1">
        <f t="array" ref="BB9:BB15">+COMM!D114:D120</f>
        <v>FUEL-GAS-CAM1</v>
      </c>
      <c r="BC9" s="289">
        <v>1</v>
      </c>
      <c r="BG9" t="str" cm="1">
        <f t="array" ref="BG9:BG15">+PROCESS!N123:N129</f>
        <v>MIXFUEL-COLGAS-CAM1</v>
      </c>
      <c r="BH9" t="str" cm="1">
        <f t="array" ref="BH9:BH15">+_xlfn.ANCHORARRAY(BB9)</f>
        <v>FUEL-GAS-CAM1</v>
      </c>
      <c r="BI9" t="str" cm="1">
        <f t="array" ref="BI9:BI15">+COMM!D107:D113</f>
        <v>FUEL-COLGAS-CAM1</v>
      </c>
      <c r="BJ9" s="289">
        <v>1</v>
      </c>
      <c r="BL9" t="str">
        <f>+BP9</f>
        <v>MIXFUEL-COLOIL-CAM2</v>
      </c>
      <c r="BM9" t="str">
        <f>+BB10</f>
        <v>FUEL-GAS-CAM2</v>
      </c>
      <c r="BN9" s="670">
        <v>0.5</v>
      </c>
      <c r="BP9" t="str" cm="1">
        <f t="array" ref="BP9:BP14">+PROCESS!N117:N122</f>
        <v>MIXFUEL-COLOIL-CAM2</v>
      </c>
      <c r="BQ9" t="str" cm="1">
        <f t="array" ref="BQ9:BQ14">+COMM!D101:D106</f>
        <v>FUEL-COLOIL-CAM2</v>
      </c>
      <c r="BR9" s="289">
        <v>1</v>
      </c>
      <c r="BS9" s="309"/>
      <c r="BT9" s="309"/>
      <c r="BU9" s="309"/>
      <c r="BV9" s="838"/>
      <c r="BW9" t="str">
        <f>+PROCESS!N111</f>
        <v>COLELC-LOIL-CAM2</v>
      </c>
      <c r="BX9" t="s">
        <v>1041</v>
      </c>
      <c r="BY9" s="675">
        <f>+CC9</f>
        <v>0.99789444272584837</v>
      </c>
      <c r="BZ9" s="309"/>
      <c r="CA9" s="309" t="str">
        <f>+BW9</f>
        <v>COLELC-LOIL-CAM2</v>
      </c>
      <c r="CB9" s="309" t="str">
        <f>+CJ9</f>
        <v>LOIL</v>
      </c>
      <c r="CC9" s="847">
        <f>1/(1+'5. Data'!Y184)</f>
        <v>0.99789444272584837</v>
      </c>
      <c r="CD9" s="309"/>
      <c r="CE9" t="str">
        <f>+PROCESS!N106</f>
        <v>COLFUEL-LOIL-CAM2</v>
      </c>
      <c r="CF9" t="s">
        <v>1041</v>
      </c>
      <c r="CG9" s="675">
        <f>+CK9</f>
        <v>0.99736695124870345</v>
      </c>
      <c r="CI9" t="str">
        <f>+CE9</f>
        <v>COLFUEL-LOIL-CAM2</v>
      </c>
      <c r="CJ9" t="s">
        <v>52</v>
      </c>
      <c r="CK9" s="442">
        <f>1/(1+'5. Data'!U184)</f>
        <v>0.99736695124870345</v>
      </c>
      <c r="CO9" t="str">
        <f>+CS9</f>
        <v>COL-GAS-CAM1</v>
      </c>
      <c r="CP9" t="s">
        <v>1040</v>
      </c>
      <c r="CQ9" s="442">
        <f>100%-CQ10</f>
        <v>0.98873167284455521</v>
      </c>
      <c r="CS9" s="22" t="str" cm="1">
        <f t="array" ref="CS9:CS15">+PROCESS!N99:N105</f>
        <v>COL-GAS-CAM1</v>
      </c>
      <c r="CT9" t="s">
        <v>51</v>
      </c>
      <c r="CU9" s="295">
        <f>+CQ9</f>
        <v>0.98873167284455521</v>
      </c>
      <c r="CV9" s="694"/>
      <c r="CY9" t="str" cm="1">
        <f t="array" ref="CY9:CY15">+PROCESS!N85:N91</f>
        <v>COMPRA-ELC-CAM1</v>
      </c>
      <c r="CZ9" t="str">
        <f>+'1. EXP_IMP'!$K$64</f>
        <v>ELC-SIN</v>
      </c>
      <c r="DA9" t="str" cm="1">
        <f t="array" ref="DA9:DA15">+COMM!D90:D96</f>
        <v>ELC-CAM1</v>
      </c>
      <c r="DB9" s="529">
        <v>1</v>
      </c>
    </row>
    <row r="10" spans="2:106" x14ac:dyDescent="0.25">
      <c r="C10" s="19" t="str">
        <v>MIN-CAM2</v>
      </c>
      <c r="D10" s="19" t="str">
        <v>R-CAM2</v>
      </c>
      <c r="E10" s="22" t="s">
        <v>552</v>
      </c>
      <c r="F10" s="436">
        <v>2135.7396415784524</v>
      </c>
      <c r="G10" s="664">
        <f t="shared" ref="G10:G15" si="0">1/(1000000)</f>
        <v>9.9999999999999995E-7</v>
      </c>
      <c r="H10" s="290">
        <v>1</v>
      </c>
      <c r="I10" s="682"/>
      <c r="L10" s="22"/>
      <c r="M10" s="22" t="s">
        <v>626</v>
      </c>
      <c r="N10" s="22">
        <v>2020</v>
      </c>
      <c r="O10" s="262">
        <v>55.42289382660443</v>
      </c>
      <c r="Q10" s="71"/>
      <c r="R10" s="71" t="str">
        <f>+COMM!D90</f>
        <v>ELC-CAM1</v>
      </c>
      <c r="S10" s="660">
        <f>+'5. Data'!N121/(1+'5. Data'!N121)</f>
        <v>1.0471193826923495E-2</v>
      </c>
      <c r="U10" t="str">
        <f>+Q11</f>
        <v>PROF-CAM2</v>
      </c>
      <c r="V10" t="str">
        <v>FLU-CAM2</v>
      </c>
      <c r="W10" s="442">
        <f>100%-S12-(S11*'5. Data'!P100*'5. Data'!X100)</f>
        <v>0.98065080111949032</v>
      </c>
      <c r="X10" s="826"/>
      <c r="Y10" s="826" t="str">
        <v>PROF-CAM2</v>
      </c>
      <c r="Z10" s="824">
        <v>1</v>
      </c>
      <c r="AA10" s="826"/>
      <c r="AB10" s="685"/>
      <c r="AC10" s="826"/>
      <c r="AE10" t="str">
        <v>SEP-CAM2</v>
      </c>
      <c r="AF10" t="str">
        <v>FLU-CAM2</v>
      </c>
      <c r="AG10" s="289">
        <v>1</v>
      </c>
      <c r="AI10" t="str">
        <f>+AE10</f>
        <v>SEP-CAM2</v>
      </c>
      <c r="AJ10" t="s">
        <v>971</v>
      </c>
      <c r="AK10" s="298">
        <f>+('5. Data'!O100-'5. Data'!S100)/('5. Data'!AH100-'5. Data'!S100)</f>
        <v>0.7014363033114478</v>
      </c>
      <c r="AL10" s="688"/>
      <c r="AO10" s="19" t="str">
        <v>PLT-CAM2</v>
      </c>
      <c r="AP10" s="19" t="s">
        <v>552</v>
      </c>
      <c r="AQ10" s="436">
        <v>21.91194918242925</v>
      </c>
      <c r="AS10" t="str">
        <v>PLT-CAM2</v>
      </c>
      <c r="AT10" t="str">
        <v>GAS-CAM2</v>
      </c>
      <c r="AU10" s="22" t="s">
        <v>49</v>
      </c>
      <c r="AV10" s="289">
        <v>1</v>
      </c>
      <c r="AW10" s="692"/>
      <c r="AZ10" t="str">
        <v>FTE-FUEL-GAS-CAM2</v>
      </c>
      <c r="BA10" t="str">
        <v>GAS-CAM2</v>
      </c>
      <c r="BB10" t="str">
        <v>FUEL-GAS-CAM2</v>
      </c>
      <c r="BC10" s="289">
        <v>1</v>
      </c>
      <c r="BG10" t="str">
        <v>MIXFUEL-COLGAS-CAM2</v>
      </c>
      <c r="BH10" t="str">
        <v>FUEL-GAS-CAM2</v>
      </c>
      <c r="BI10" t="str">
        <v>FUEL-COLGAS-CAM2</v>
      </c>
      <c r="BJ10" s="289">
        <v>1</v>
      </c>
      <c r="BM10" t="str">
        <f>+BB17</f>
        <v>FUEL-DSL-CAM2</v>
      </c>
      <c r="BN10" s="289">
        <v>0.5</v>
      </c>
      <c r="BP10" t="str">
        <v>MIXFUEL-COLOIL-CAM3</v>
      </c>
      <c r="BQ10" t="str">
        <v>FUEL-COLOIL-CAM3</v>
      </c>
      <c r="BR10" s="289">
        <v>1</v>
      </c>
      <c r="BS10" s="309"/>
      <c r="BT10" s="309"/>
      <c r="BU10" s="309"/>
      <c r="BV10" s="838"/>
      <c r="BW10"/>
      <c r="BX10" t="str">
        <f>+COMM!D144</f>
        <v>ELC-COLOIL-CAM2</v>
      </c>
      <c r="BY10" s="675">
        <f>100%-BY9</f>
        <v>2.105557274151626E-3</v>
      </c>
      <c r="BZ10" s="309"/>
      <c r="CA10" s="309" t="str">
        <f>+BW11</f>
        <v>COLELC-HOIL-CAM3</v>
      </c>
      <c r="CB10" s="309" t="str">
        <f t="shared" ref="CB10:CB13" si="1">+CJ10</f>
        <v>HOIL</v>
      </c>
      <c r="CC10" s="847">
        <f>1/(1+'5. Data'!Y185)</f>
        <v>0.99789444272584837</v>
      </c>
      <c r="CD10" s="309"/>
      <c r="CF10" t="str">
        <f>+BQ9</f>
        <v>FUEL-COLOIL-CAM2</v>
      </c>
      <c r="CG10" s="675">
        <f>100%-CG9</f>
        <v>2.6330487512965517E-3</v>
      </c>
      <c r="CI10" t="str">
        <f>+CE11</f>
        <v>COLFUEL-HOIL-CAM3</v>
      </c>
      <c r="CJ10" t="s">
        <v>53</v>
      </c>
      <c r="CK10" s="442">
        <f>1/(1+'5. Data'!U185)</f>
        <v>0.99736695124870345</v>
      </c>
      <c r="CP10" t="str">
        <f>+BB9</f>
        <v>FUEL-GAS-CAM1</v>
      </c>
      <c r="CQ10" s="442">
        <f>+'5. Data'!N183/('5. Data'!N183+1)</f>
        <v>1.1268327155444839E-2</v>
      </c>
      <c r="CS10" s="22" t="str">
        <v>COL-GAS-CAM2</v>
      </c>
      <c r="CT10" t="s">
        <v>51</v>
      </c>
      <c r="CU10" s="295">
        <f>+CQ11</f>
        <v>0.9887316728445551</v>
      </c>
      <c r="CV10" s="694"/>
      <c r="CY10" t="str">
        <v>COMPRA-ELC-CAM2</v>
      </c>
      <c r="CZ10" t="str">
        <f>+'1. EXP_IMP'!$K$64</f>
        <v>ELC-SIN</v>
      </c>
      <c r="DA10" t="str">
        <v>ELC-CAM2</v>
      </c>
      <c r="DB10" s="529">
        <v>1</v>
      </c>
    </row>
    <row r="11" spans="2:106" x14ac:dyDescent="0.25">
      <c r="C11" s="19" t="str">
        <v>MIN-CAM3</v>
      </c>
      <c r="D11" s="19" t="str">
        <v>R-CAM3</v>
      </c>
      <c r="E11" s="22" t="s">
        <v>552</v>
      </c>
      <c r="F11" s="436">
        <v>6496.7121983715815</v>
      </c>
      <c r="G11" s="664">
        <f t="shared" si="0"/>
        <v>9.9999999999999995E-7</v>
      </c>
      <c r="H11" s="290">
        <v>1</v>
      </c>
      <c r="I11" s="682"/>
      <c r="L11" s="22"/>
      <c r="M11" s="22" t="s">
        <v>626</v>
      </c>
      <c r="N11" s="22">
        <v>2023</v>
      </c>
      <c r="O11" s="262">
        <v>48.301053084017497</v>
      </c>
      <c r="Q11" s="71" t="str">
        <f>+L23</f>
        <v>PROF-CAM2</v>
      </c>
      <c r="R11" s="71" t="str">
        <f>+D10</f>
        <v>R-CAM2</v>
      </c>
      <c r="S11" s="660">
        <f>100%-S12</f>
        <v>0.98952880617307648</v>
      </c>
      <c r="U11" t="str">
        <f>+Q13</f>
        <v>PROF-CAM3</v>
      </c>
      <c r="V11" t="str">
        <v>FLU-CAM3</v>
      </c>
      <c r="W11" s="442">
        <f>100%-S14-(S13*'5. Data'!P101*'5. Data'!X101)</f>
        <v>0.98347298174798714</v>
      </c>
      <c r="X11" s="826"/>
      <c r="Y11" s="826" t="str">
        <v>PROF-CAM3</v>
      </c>
      <c r="Z11" s="824">
        <v>1</v>
      </c>
      <c r="AA11" s="826"/>
      <c r="AB11" s="685"/>
      <c r="AC11" s="826"/>
      <c r="AE11" t="str">
        <v>SEP-CAM3</v>
      </c>
      <c r="AF11" t="str">
        <v>FLU-CAM3</v>
      </c>
      <c r="AG11" s="289">
        <v>1</v>
      </c>
      <c r="AJ11" t="s">
        <v>1041</v>
      </c>
      <c r="AK11" s="298">
        <f>100%-AK10</f>
        <v>0.2985636966885522</v>
      </c>
      <c r="AL11" s="688"/>
      <c r="AO11" s="19" t="str">
        <v>PLT-CAM3</v>
      </c>
      <c r="AP11" s="19" t="s">
        <v>552</v>
      </c>
      <c r="AQ11" s="436">
        <v>1.1844296855367162</v>
      </c>
      <c r="AS11" t="str">
        <v>PLT-CAM3</v>
      </c>
      <c r="AT11" t="str">
        <v>GAS-CAM3</v>
      </c>
      <c r="AU11" s="22" t="s">
        <v>49</v>
      </c>
      <c r="AV11" s="289">
        <v>1</v>
      </c>
      <c r="AW11" s="692"/>
      <c r="AZ11" t="str">
        <v>FTE-FUEL-GAS-CAM3</v>
      </c>
      <c r="BA11" t="str">
        <v>GAS-CAM3</v>
      </c>
      <c r="BB11" t="str">
        <v>FUEL-GAS-CAM3</v>
      </c>
      <c r="BC11" s="289">
        <v>1</v>
      </c>
      <c r="BG11" t="str">
        <v>MIXFUEL-COLGAS-CAM3</v>
      </c>
      <c r="BH11" t="str">
        <v>FUEL-GAS-CAM3</v>
      </c>
      <c r="BI11" t="str">
        <v>FUEL-COLGAS-CAM3</v>
      </c>
      <c r="BJ11" s="289">
        <v>1</v>
      </c>
      <c r="BM11" t="str">
        <f>+BB24</f>
        <v>FUEL-OIL-CAM2</v>
      </c>
      <c r="BN11" s="289">
        <v>0.5</v>
      </c>
      <c r="BP11" t="str">
        <v>MIXFUEL-COLOIL-CAM4</v>
      </c>
      <c r="BQ11" t="str">
        <v>FUEL-COLOIL-CAM4</v>
      </c>
      <c r="BR11" s="289">
        <v>1</v>
      </c>
      <c r="BS11" s="309"/>
      <c r="BT11" s="309"/>
      <c r="BU11" s="309"/>
      <c r="BV11" s="838"/>
      <c r="BW11" t="str">
        <f>+PROCESS!N112</f>
        <v>COLELC-HOIL-CAM3</v>
      </c>
      <c r="BX11" t="s">
        <v>1042</v>
      </c>
      <c r="BY11" s="675">
        <f>+CC10</f>
        <v>0.99789444272584837</v>
      </c>
      <c r="BZ11" s="309"/>
      <c r="CA11" s="309" t="str">
        <f>+BW13</f>
        <v>COLELC-LOIL-CAM4</v>
      </c>
      <c r="CB11" s="309" t="str">
        <f t="shared" si="1"/>
        <v>LOIL</v>
      </c>
      <c r="CC11" s="847">
        <f>1/(1+'5. Data'!Y186)</f>
        <v>0.99789444272584837</v>
      </c>
      <c r="CD11" s="309"/>
      <c r="CE11" t="str">
        <f>+PROCESS!N107</f>
        <v>COLFUEL-HOIL-CAM3</v>
      </c>
      <c r="CF11" t="s">
        <v>1042</v>
      </c>
      <c r="CG11" s="675">
        <f>+CK10</f>
        <v>0.99736695124870345</v>
      </c>
      <c r="CI11" t="str">
        <f>+CE13</f>
        <v>COLFUEL-LOIL-CAM4</v>
      </c>
      <c r="CJ11" t="s">
        <v>52</v>
      </c>
      <c r="CK11" s="442">
        <f>1/(1+'5. Data'!U186)</f>
        <v>0.99736695124870345</v>
      </c>
      <c r="CO11" t="str">
        <f>+CS10</f>
        <v>COL-GAS-CAM2</v>
      </c>
      <c r="CP11" t="s">
        <v>971</v>
      </c>
      <c r="CQ11" s="442">
        <f>100%-CQ12</f>
        <v>0.9887316728445551</v>
      </c>
      <c r="CS11" s="22" t="str">
        <v>COL-GAS-CAM3</v>
      </c>
      <c r="CT11" t="s">
        <v>51</v>
      </c>
      <c r="CU11" s="295">
        <f>+CQ13</f>
        <v>0.98873167284455521</v>
      </c>
      <c r="CV11" s="694"/>
      <c r="CY11" t="str">
        <v>COMPRA-ELC-CAM3</v>
      </c>
      <c r="CZ11" t="str">
        <f>+'1. EXP_IMP'!$K$64</f>
        <v>ELC-SIN</v>
      </c>
      <c r="DA11" t="str">
        <v>ELC-CAM3</v>
      </c>
      <c r="DB11" s="529">
        <v>1</v>
      </c>
    </row>
    <row r="12" spans="2:106" x14ac:dyDescent="0.25">
      <c r="C12" s="19" t="str">
        <v>MIN-CAM4</v>
      </c>
      <c r="D12" s="19" t="str">
        <v>R-CAM4</v>
      </c>
      <c r="E12" s="22" t="s">
        <v>552</v>
      </c>
      <c r="F12" s="436">
        <v>44.660401360000002</v>
      </c>
      <c r="G12" s="664">
        <f t="shared" si="0"/>
        <v>9.9999999999999995E-7</v>
      </c>
      <c r="H12" s="290">
        <v>1</v>
      </c>
      <c r="I12" s="682"/>
      <c r="L12" s="22"/>
      <c r="M12" s="22" t="s">
        <v>626</v>
      </c>
      <c r="N12" s="22">
        <v>2025</v>
      </c>
      <c r="O12" s="262">
        <v>38.921861734744084</v>
      </c>
      <c r="Q12" s="71"/>
      <c r="R12" s="71" t="str">
        <f>+COMM!D91</f>
        <v>ELC-CAM2</v>
      </c>
      <c r="S12" s="660">
        <f>+'5. Data'!N122/(1+'5. Data'!N122)</f>
        <v>1.0471193826923495E-2</v>
      </c>
      <c r="U12" t="str">
        <f>+Q15</f>
        <v>PROF-CAM4</v>
      </c>
      <c r="V12" t="str">
        <v>FLU-CAM4</v>
      </c>
      <c r="W12" s="442">
        <f>100%-S16-(S15*'5. Data'!P102*'5. Data'!X102)</f>
        <v>0.76548029450306121</v>
      </c>
      <c r="X12" s="826"/>
      <c r="Y12" s="826" t="str">
        <v>PROF-CAM4</v>
      </c>
      <c r="Z12" s="824">
        <v>1</v>
      </c>
      <c r="AA12" s="826"/>
      <c r="AB12" s="685"/>
      <c r="AC12" s="826"/>
      <c r="AE12" t="str">
        <v>SEP-CAM4</v>
      </c>
      <c r="AF12" t="str">
        <v>FLU-CAM4</v>
      </c>
      <c r="AG12" s="289">
        <v>1</v>
      </c>
      <c r="AI12" t="str">
        <f>+AE11</f>
        <v>SEP-CAM3</v>
      </c>
      <c r="AJ12" t="s">
        <v>972</v>
      </c>
      <c r="AK12" s="265">
        <f>+('5. Data'!O101-'5. Data'!S101)/('5. Data'!AH101-'5. Data'!S101)</f>
        <v>1.0474627382808092E-3</v>
      </c>
      <c r="AL12" s="689"/>
      <c r="AO12" s="19" t="str">
        <v>PLT-CAM4</v>
      </c>
      <c r="AP12" s="19" t="s">
        <v>552</v>
      </c>
      <c r="AQ12" s="436">
        <v>0</v>
      </c>
      <c r="AS12" t="str">
        <v>PLT-CAM4</v>
      </c>
      <c r="AT12" t="str">
        <v>GAS-CAM4</v>
      </c>
      <c r="AU12" s="22" t="s">
        <v>49</v>
      </c>
      <c r="AV12" s="289">
        <v>1</v>
      </c>
      <c r="AW12" s="692"/>
      <c r="AZ12" t="str">
        <v>FTE-FUEL-GAS-CAM4</v>
      </c>
      <c r="BA12" t="str">
        <v>GAS-CAM4</v>
      </c>
      <c r="BB12" t="str">
        <v>FUEL-GAS-CAM4</v>
      </c>
      <c r="BC12" s="289">
        <v>1</v>
      </c>
      <c r="BG12" t="str">
        <v>MIXFUEL-COLGAS-CAM4</v>
      </c>
      <c r="BH12" t="str">
        <v>FUEL-GAS-CAM4</v>
      </c>
      <c r="BI12" t="str">
        <v>FUEL-COLGAS-CAM4</v>
      </c>
      <c r="BJ12" s="289">
        <v>1</v>
      </c>
      <c r="BL12" t="str">
        <f>+BP10</f>
        <v>MIXFUEL-COLOIL-CAM3</v>
      </c>
      <c r="BM12" t="str">
        <f>+BB11</f>
        <v>FUEL-GAS-CAM3</v>
      </c>
      <c r="BN12" s="670">
        <v>0.5</v>
      </c>
      <c r="BP12" t="str">
        <v>MIXFUEL-COLOIL-CAM5</v>
      </c>
      <c r="BQ12" t="str">
        <v>FUEL-COLOIL-CAM5</v>
      </c>
      <c r="BR12" s="289">
        <v>1</v>
      </c>
      <c r="BS12" s="309"/>
      <c r="BT12" s="309"/>
      <c r="BU12" s="309"/>
      <c r="BV12" s="838"/>
      <c r="BW12"/>
      <c r="BX12" t="str">
        <f>+COMM!D145</f>
        <v>ELC-COLOIL-CAM3</v>
      </c>
      <c r="BY12" s="675">
        <f>100%-BY11</f>
        <v>2.105557274151626E-3</v>
      </c>
      <c r="BZ12" s="309"/>
      <c r="CA12" s="309" t="str">
        <f>+BW15</f>
        <v>COLELC-MOIL-CAM5</v>
      </c>
      <c r="CB12" s="309" t="str">
        <f t="shared" si="1"/>
        <v>MOIL</v>
      </c>
      <c r="CC12" s="847">
        <f>1/(1+'5. Data'!Y187)</f>
        <v>0.99789444272584837</v>
      </c>
      <c r="CD12" s="309"/>
      <c r="CF12" t="str">
        <f>+BQ10</f>
        <v>FUEL-COLOIL-CAM3</v>
      </c>
      <c r="CG12" s="675">
        <f>100%-CG11</f>
        <v>2.6330487512965517E-3</v>
      </c>
      <c r="CI12" t="str">
        <f>+CE15</f>
        <v>COLFUEL-MOIL-CAM5</v>
      </c>
      <c r="CJ12" t="s">
        <v>67</v>
      </c>
      <c r="CK12" s="442">
        <f>1/(1+'5. Data'!U187)</f>
        <v>0.99736695124870345</v>
      </c>
      <c r="CP12" t="str">
        <f>+BB10</f>
        <v>FUEL-GAS-CAM2</v>
      </c>
      <c r="CQ12" s="442">
        <f>+'5. Data'!N184/('5. Data'!N184+1)</f>
        <v>1.1268327155444867E-2</v>
      </c>
      <c r="CS12" s="22" t="str">
        <v>COL-GAS-CAM4</v>
      </c>
      <c r="CT12" t="s">
        <v>51</v>
      </c>
      <c r="CU12" s="295">
        <f>+CQ15</f>
        <v>0.98873167284455521</v>
      </c>
      <c r="CV12" s="694"/>
      <c r="CY12" t="str">
        <v>COMPRA-ELC-CAM4</v>
      </c>
      <c r="CZ12" t="str">
        <f>+'1. EXP_IMP'!$K$64</f>
        <v>ELC-SIN</v>
      </c>
      <c r="DA12" t="str">
        <v>ELC-CAM4</v>
      </c>
      <c r="DB12" s="529">
        <v>1</v>
      </c>
    </row>
    <row r="13" spans="2:106" x14ac:dyDescent="0.25">
      <c r="C13" s="19" t="str">
        <v>MIN-CAM5</v>
      </c>
      <c r="D13" s="19" t="str">
        <v>R-CAM5</v>
      </c>
      <c r="E13" s="22" t="s">
        <v>552</v>
      </c>
      <c r="F13" s="436">
        <v>1058.6607668001971</v>
      </c>
      <c r="G13" s="664">
        <f t="shared" si="0"/>
        <v>9.9999999999999995E-7</v>
      </c>
      <c r="H13" s="290">
        <v>1</v>
      </c>
      <c r="I13" s="682"/>
      <c r="L13" s="22"/>
      <c r="M13" s="22" t="s">
        <v>626</v>
      </c>
      <c r="N13" s="22">
        <v>2027</v>
      </c>
      <c r="O13" s="262">
        <v>31.12573621980787</v>
      </c>
      <c r="Q13" s="71" t="str">
        <f>+L37</f>
        <v>PROF-CAM3</v>
      </c>
      <c r="R13" s="71" t="str">
        <f>+D11</f>
        <v>R-CAM3</v>
      </c>
      <c r="S13" s="660">
        <f>100%-S14</f>
        <v>0.98522361620416987</v>
      </c>
      <c r="U13" t="str">
        <f>+Q17</f>
        <v>PROF-CAM5</v>
      </c>
      <c r="V13" t="str">
        <v>FLU-CAM5</v>
      </c>
      <c r="W13" s="442">
        <f>100%-S18-(S17*'5. Data'!P103*'5. Data'!X103)</f>
        <v>0.98492408706697354</v>
      </c>
      <c r="X13" s="826"/>
      <c r="Y13" s="826" t="str">
        <v>PROF-CAM5</v>
      </c>
      <c r="Z13" s="824">
        <v>1</v>
      </c>
      <c r="AA13" s="826"/>
      <c r="AB13" s="685"/>
      <c r="AC13" s="826"/>
      <c r="AE13" t="str">
        <v>SEP-CAM5</v>
      </c>
      <c r="AF13" t="str">
        <v>FLU-CAM5</v>
      </c>
      <c r="AG13" s="289">
        <v>1</v>
      </c>
      <c r="AJ13" t="s">
        <v>1042</v>
      </c>
      <c r="AK13" s="298">
        <f>100%-AK12</f>
        <v>0.99895253726171918</v>
      </c>
      <c r="AL13" s="688"/>
      <c r="AO13" s="19" t="str">
        <v>PLT-CAM5</v>
      </c>
      <c r="AP13" s="19" t="s">
        <v>552</v>
      </c>
      <c r="AQ13" s="436">
        <v>0</v>
      </c>
      <c r="AS13" t="str">
        <v>PLT-CAM5</v>
      </c>
      <c r="AT13" t="str">
        <v>GAS-CAM5</v>
      </c>
      <c r="AU13" s="22" t="s">
        <v>49</v>
      </c>
      <c r="AV13" s="289">
        <v>1</v>
      </c>
      <c r="AW13" s="692"/>
      <c r="AZ13" t="str">
        <v>FTE-FUEL-GAS-CAM5</v>
      </c>
      <c r="BA13" t="str">
        <v>GAS-CAM5</v>
      </c>
      <c r="BB13" t="str">
        <v>FUEL-GAS-CAM5</v>
      </c>
      <c r="BC13" s="289">
        <v>1</v>
      </c>
      <c r="BG13" t="str">
        <v>MIXFUEL-COLGAS-CAM5</v>
      </c>
      <c r="BH13" t="str">
        <v>FUEL-GAS-CAM5</v>
      </c>
      <c r="BI13" t="str">
        <v>FUEL-COLGAS-CAM5</v>
      </c>
      <c r="BJ13" s="289">
        <v>1</v>
      </c>
      <c r="BM13" t="str">
        <f>+BB18</f>
        <v>FUEL-DSL-CAM3</v>
      </c>
      <c r="BN13" s="289">
        <v>0.5</v>
      </c>
      <c r="BP13" t="str">
        <v>MIXFUEL-COLOIL-CAM6</v>
      </c>
      <c r="BQ13" t="str">
        <v>FUEL-COLOIL-CAM6</v>
      </c>
      <c r="BR13" s="289">
        <v>1</v>
      </c>
      <c r="BS13" s="309"/>
      <c r="BT13" s="309"/>
      <c r="BU13" s="309"/>
      <c r="BV13" s="838"/>
      <c r="BW13" t="str">
        <f>+PROCESS!N113</f>
        <v>COLELC-LOIL-CAM4</v>
      </c>
      <c r="BX13" t="s">
        <v>1043</v>
      </c>
      <c r="BY13" s="675">
        <f>+CC11</f>
        <v>0.99789444272584837</v>
      </c>
      <c r="BZ13" s="309"/>
      <c r="CA13" s="309" t="str">
        <f>+BW17</f>
        <v>COLELC-MOIL-CAM6</v>
      </c>
      <c r="CB13" s="309" t="str">
        <f t="shared" si="1"/>
        <v>MOIL</v>
      </c>
      <c r="CC13" s="847">
        <f>1/(1+'5. Data'!Y188)</f>
        <v>0.99789444272584837</v>
      </c>
      <c r="CD13" s="309"/>
      <c r="CE13" t="str">
        <f>+PROCESS!N108</f>
        <v>COLFUEL-LOIL-CAM4</v>
      </c>
      <c r="CF13" t="s">
        <v>1043</v>
      </c>
      <c r="CG13" s="675">
        <f>+CK11</f>
        <v>0.99736695124870345</v>
      </c>
      <c r="CI13" t="str">
        <f>+CE17</f>
        <v>COLFUEL-MOIL-CAM6</v>
      </c>
      <c r="CJ13" t="s">
        <v>67</v>
      </c>
      <c r="CK13" s="442">
        <f>1/(1+'5. Data'!U188)</f>
        <v>0.99736695124870345</v>
      </c>
      <c r="CO13" t="str">
        <f>+CS11</f>
        <v>COL-GAS-CAM3</v>
      </c>
      <c r="CP13" t="s">
        <v>972</v>
      </c>
      <c r="CQ13" s="442">
        <f>100%-CQ14</f>
        <v>0.98873167284455521</v>
      </c>
      <c r="CS13" s="22" t="str">
        <v>COL-GAS-CAM5</v>
      </c>
      <c r="CT13" t="s">
        <v>51</v>
      </c>
      <c r="CU13" s="295">
        <f>+CQ17</f>
        <v>0.98873167284455521</v>
      </c>
      <c r="CV13" s="694"/>
      <c r="CY13" t="str">
        <v>COMPRA-ELC-CAM5</v>
      </c>
      <c r="CZ13" t="str">
        <f>+'1. EXP_IMP'!$K$64</f>
        <v>ELC-SIN</v>
      </c>
      <c r="DA13" t="str">
        <v>ELC-CAM5</v>
      </c>
      <c r="DB13" s="529">
        <v>1</v>
      </c>
    </row>
    <row r="14" spans="2:106" x14ac:dyDescent="0.25">
      <c r="C14" s="19" t="str">
        <v>MIN-CAM6</v>
      </c>
      <c r="D14" s="19" t="str">
        <v>R-CAM6</v>
      </c>
      <c r="E14" s="22" t="s">
        <v>552</v>
      </c>
      <c r="F14" s="436">
        <v>283.33235609852005</v>
      </c>
      <c r="G14" s="664">
        <f t="shared" si="0"/>
        <v>9.9999999999999995E-7</v>
      </c>
      <c r="H14" s="290">
        <v>1</v>
      </c>
      <c r="I14" s="682"/>
      <c r="L14" s="22"/>
      <c r="M14" s="22" t="s">
        <v>626</v>
      </c>
      <c r="N14" s="22">
        <v>2030</v>
      </c>
      <c r="O14" s="262">
        <v>20.101904077407454</v>
      </c>
      <c r="Q14" s="71"/>
      <c r="R14" s="71" t="str">
        <f>+COMM!D92</f>
        <v>ELC-CAM3</v>
      </c>
      <c r="S14" s="660">
        <f>+'5. Data'!N123/(1+'5. Data'!N123)</f>
        <v>1.477638379583014E-2</v>
      </c>
      <c r="U14" t="str">
        <f>+Q19</f>
        <v>PROF-CAM6</v>
      </c>
      <c r="V14" t="str">
        <v>FLU-CAM6</v>
      </c>
      <c r="W14" s="442">
        <f>100%-S20-(S19*'5. Data'!P104*'5. Data'!X104)</f>
        <v>0.98152371833808261</v>
      </c>
      <c r="X14" s="826"/>
      <c r="Y14" s="826" t="str">
        <v>PROF-CAM6</v>
      </c>
      <c r="Z14" s="824">
        <v>1</v>
      </c>
      <c r="AA14" s="826"/>
      <c r="AB14" s="685"/>
      <c r="AC14" s="826"/>
      <c r="AE14" t="str">
        <v>SEP-CAM6</v>
      </c>
      <c r="AF14" t="str">
        <v>FLU-CAM6</v>
      </c>
      <c r="AG14" s="289">
        <v>1</v>
      </c>
      <c r="AI14" t="str">
        <f>+AE12</f>
        <v>SEP-CAM4</v>
      </c>
      <c r="AJ14" t="s">
        <v>957</v>
      </c>
      <c r="AK14" s="63">
        <f>+('5. Data'!O102-'5. Data'!S102)/('5. Data'!AH102-'5. Data'!S102)</f>
        <v>0</v>
      </c>
      <c r="AL14" s="690"/>
      <c r="AO14" s="19" t="str">
        <v>PLT-CAM6</v>
      </c>
      <c r="AP14" s="19" t="s">
        <v>552</v>
      </c>
      <c r="AQ14" s="436">
        <v>0.26164980601130039</v>
      </c>
      <c r="AS14" t="str">
        <v>PLT-CAM6</v>
      </c>
      <c r="AT14" t="str">
        <v>GAS-CAM6</v>
      </c>
      <c r="AU14" s="22" t="s">
        <v>49</v>
      </c>
      <c r="AV14" s="289">
        <v>1</v>
      </c>
      <c r="AW14" s="692"/>
      <c r="AZ14" t="str">
        <v>FTE-FUEL-GAS-CAM6</v>
      </c>
      <c r="BA14" t="str">
        <v>GAS-CAM6</v>
      </c>
      <c r="BB14" t="str">
        <v>FUEL-GAS-CAM6</v>
      </c>
      <c r="BC14" s="289">
        <v>1</v>
      </c>
      <c r="BG14" t="str">
        <v>MIXFUEL-COLGAS-CAM6</v>
      </c>
      <c r="BH14" t="str">
        <v>FUEL-GAS-CAM6</v>
      </c>
      <c r="BI14" t="str">
        <v>FUEL-COLGAS-CAM6</v>
      </c>
      <c r="BJ14" s="289">
        <v>1</v>
      </c>
      <c r="BM14" t="str">
        <f>+BB25</f>
        <v>FUEL-OIL-CAM3</v>
      </c>
      <c r="BN14" s="289">
        <v>0.5</v>
      </c>
      <c r="BP14" t="str">
        <v>MIXFUEL-COLOIL-CAM7</v>
      </c>
      <c r="BQ14" t="str">
        <v>FUEL-COLOIL-CAM7</v>
      </c>
      <c r="BR14" s="289">
        <v>1</v>
      </c>
      <c r="BS14" s="309"/>
      <c r="BT14" s="309"/>
      <c r="BU14" s="309"/>
      <c r="BV14" s="838"/>
      <c r="BW14"/>
      <c r="BX14" t="str">
        <f>+COMM!D146</f>
        <v>ELC-COLOIL-CAM4</v>
      </c>
      <c r="BY14" s="675">
        <f>100%-BY13</f>
        <v>2.105557274151626E-3</v>
      </c>
      <c r="BZ14" s="309"/>
      <c r="CA14" s="309"/>
      <c r="CB14" s="309"/>
      <c r="CC14" s="309"/>
      <c r="CD14" s="309"/>
      <c r="CF14" t="str">
        <f>+BQ11</f>
        <v>FUEL-COLOIL-CAM4</v>
      </c>
      <c r="CG14" s="675">
        <f>100%-CG13</f>
        <v>2.6330487512965517E-3</v>
      </c>
      <c r="CI14" s="1"/>
      <c r="CJ14" s="1"/>
      <c r="CK14" s="1"/>
      <c r="CP14" t="str">
        <f>+BB11</f>
        <v>FUEL-GAS-CAM3</v>
      </c>
      <c r="CQ14" s="442">
        <f>+'5. Data'!N185/('5. Data'!N185+1)</f>
        <v>1.1268327155444839E-2</v>
      </c>
      <c r="CS14" s="22" t="str">
        <v>COL-GAS-CAM6</v>
      </c>
      <c r="CT14" t="s">
        <v>51</v>
      </c>
      <c r="CU14" s="295">
        <f>+CQ19</f>
        <v>0.98873167284455521</v>
      </c>
      <c r="CV14" s="694"/>
      <c r="CY14" t="str">
        <v>COMPRA-ELC-CAM6</v>
      </c>
      <c r="CZ14" t="str">
        <f>+'1. EXP_IMP'!$K$64</f>
        <v>ELC-SIN</v>
      </c>
      <c r="DA14" t="str">
        <v>ELC-CAM6</v>
      </c>
      <c r="DB14" s="529">
        <v>1</v>
      </c>
    </row>
    <row r="15" spans="2:106" x14ac:dyDescent="0.25">
      <c r="C15" s="19" t="str">
        <v>MIN-CAM7</v>
      </c>
      <c r="D15" s="19" t="str">
        <v>R-CAM7</v>
      </c>
      <c r="E15" s="22" t="s">
        <v>552</v>
      </c>
      <c r="F15" s="436">
        <v>157.75252398843665</v>
      </c>
      <c r="G15" s="664">
        <f t="shared" si="0"/>
        <v>9.9999999999999995E-7</v>
      </c>
      <c r="H15" s="290">
        <v>1</v>
      </c>
      <c r="L15" s="22"/>
      <c r="M15" s="22" t="s">
        <v>626</v>
      </c>
      <c r="N15" s="22">
        <v>2033</v>
      </c>
      <c r="O15" s="262">
        <v>8.0077874319897546</v>
      </c>
      <c r="Q15" s="71" t="str">
        <f>+L51</f>
        <v>PROF-CAM4</v>
      </c>
      <c r="R15" s="71" t="str">
        <f>+D12</f>
        <v>R-CAM4</v>
      </c>
      <c r="S15" s="660">
        <f>100%-S16</f>
        <v>0.98952880617307648</v>
      </c>
      <c r="U15" t="str">
        <f>+Q21</f>
        <v>PROF-CAM7</v>
      </c>
      <c r="V15" t="str">
        <v>FLU-CAM7</v>
      </c>
      <c r="W15" s="442">
        <f>100%-S22-(S21*'5. Data'!P105*'5. Data'!X105)</f>
        <v>0.97215672334890446</v>
      </c>
      <c r="X15" s="826"/>
      <c r="Y15" s="826" t="str">
        <v>PROF-CAM7</v>
      </c>
      <c r="Z15" s="824">
        <v>0</v>
      </c>
      <c r="AA15" s="826"/>
      <c r="AC15" s="826"/>
      <c r="AE15" t="str">
        <v>SEP-CAM7</v>
      </c>
      <c r="AF15" t="str">
        <v>FLU-CAM7</v>
      </c>
      <c r="AG15" s="289">
        <v>1</v>
      </c>
      <c r="AJ15" t="s">
        <v>1043</v>
      </c>
      <c r="AK15" s="298">
        <f>100%-('5. Data'!O102-'5. Data'!S102)/('5. Data'!AH102-'5. Data'!S102)</f>
        <v>1</v>
      </c>
      <c r="AL15" s="688"/>
      <c r="AO15" s="19" t="str">
        <v>PLT-CAM7</v>
      </c>
      <c r="AP15" s="19" t="s">
        <v>552</v>
      </c>
      <c r="AQ15" s="19">
        <v>0</v>
      </c>
      <c r="AS15" s="57" t="str">
        <v>PLT-CAM7</v>
      </c>
      <c r="AT15" t="str">
        <v>GAS-CAM7</v>
      </c>
      <c r="AU15" s="22" t="s">
        <v>49</v>
      </c>
      <c r="AV15" s="289">
        <v>1</v>
      </c>
      <c r="AZ15" t="str">
        <v>FTE-FUEL-GAS-CAM7</v>
      </c>
      <c r="BA15" t="str">
        <v>GAS-CAM7</v>
      </c>
      <c r="BB15" t="str">
        <v>FUEL-GAS-CAM7</v>
      </c>
      <c r="BC15" s="289">
        <v>1</v>
      </c>
      <c r="BG15" t="str">
        <v>MIXFUEL-COLGAS-CAM7</v>
      </c>
      <c r="BH15" t="str">
        <v>FUEL-GAS-CAM7</v>
      </c>
      <c r="BI15" t="str">
        <v>FUEL-COLGAS-CAM7</v>
      </c>
      <c r="BJ15" s="289">
        <v>1</v>
      </c>
      <c r="BL15" s="386" t="str">
        <f>+BP11</f>
        <v>MIXFUEL-COLOIL-CAM4</v>
      </c>
      <c r="BM15" t="str">
        <f>+BB12</f>
        <v>FUEL-GAS-CAM4</v>
      </c>
      <c r="BN15" s="674">
        <v>0.5</v>
      </c>
      <c r="BS15" s="695"/>
      <c r="BT15" s="695"/>
      <c r="BU15" s="695"/>
      <c r="BV15" s="839"/>
      <c r="BW15" t="str">
        <f>+PROCESS!N114</f>
        <v>COLELC-MOIL-CAM5</v>
      </c>
      <c r="BX15" t="s">
        <v>1044</v>
      </c>
      <c r="BY15" s="675">
        <f>+CC12</f>
        <v>0.99789444272584837</v>
      </c>
      <c r="BZ15" s="695"/>
      <c r="CA15" s="695"/>
      <c r="CB15" s="695"/>
      <c r="CC15" s="695"/>
      <c r="CD15" s="695"/>
      <c r="CE15" t="str">
        <f>+PROCESS!N109</f>
        <v>COLFUEL-MOIL-CAM5</v>
      </c>
      <c r="CF15" t="s">
        <v>1044</v>
      </c>
      <c r="CG15" s="675">
        <f>+CK12</f>
        <v>0.99736695124870345</v>
      </c>
      <c r="CO15" t="str">
        <f>+CS12</f>
        <v>COL-GAS-CAM4</v>
      </c>
      <c r="CP15" t="s">
        <v>957</v>
      </c>
      <c r="CQ15" s="442">
        <f>100%-CQ16</f>
        <v>0.98873167284455521</v>
      </c>
      <c r="CS15" s="22" t="str">
        <v>COL-GAS-CAM7</v>
      </c>
      <c r="CT15" t="s">
        <v>51</v>
      </c>
      <c r="CU15" s="294">
        <f>+CQ21</f>
        <v>0.98873167284455521</v>
      </c>
      <c r="CY15" t="str">
        <v>COMPRA-ELC-CAM7</v>
      </c>
      <c r="CZ15" t="str">
        <f>+'1. EXP_IMP'!$K$64</f>
        <v>ELC-SIN</v>
      </c>
      <c r="DA15" t="str">
        <v>ELC-CAM7</v>
      </c>
      <c r="DB15" s="529">
        <v>1</v>
      </c>
    </row>
    <row r="16" spans="2:106" x14ac:dyDescent="0.25">
      <c r="L16" s="22"/>
      <c r="M16" s="22" t="s">
        <v>626</v>
      </c>
      <c r="N16" s="22">
        <v>2035</v>
      </c>
      <c r="O16" s="262">
        <v>2.86729599242289</v>
      </c>
      <c r="Q16" s="71"/>
      <c r="R16" s="71" t="str">
        <f>+COMM!D93</f>
        <v>ELC-CAM4</v>
      </c>
      <c r="S16" s="660">
        <f>+'5. Data'!N124/(1+'5. Data'!N124)</f>
        <v>1.0471193826923495E-2</v>
      </c>
      <c r="AI16" t="str">
        <f>+AE13</f>
        <v>SEP-CAM5</v>
      </c>
      <c r="AJ16" t="s">
        <v>973</v>
      </c>
      <c r="AK16" s="298">
        <f>+('5. Data'!O103-'5. Data'!S103)/('5. Data'!AH103-'5. Data'!S103)</f>
        <v>2.446633894781371E-2</v>
      </c>
      <c r="AL16" s="688"/>
      <c r="AZ16" t="str">
        <v>FTE-FUEL-DSL-CAM1</v>
      </c>
      <c r="BA16" t="s">
        <v>47</v>
      </c>
      <c r="BB16" t="str" cm="1">
        <f t="array" ref="BB16:BB22">+_xlfn.ANCHORARRAY(COMM!D128)</f>
        <v>FUEL-DSL-CAM1</v>
      </c>
      <c r="BC16" s="289">
        <v>1</v>
      </c>
      <c r="BJ16" s="289"/>
      <c r="BM16" t="str">
        <f>+BB19</f>
        <v>FUEL-DSL-CAM4</v>
      </c>
      <c r="BN16" s="289">
        <v>0.5</v>
      </c>
      <c r="BS16" s="309"/>
      <c r="BT16" s="309"/>
      <c r="BU16" s="309"/>
      <c r="BV16" s="838"/>
      <c r="BW16"/>
      <c r="BX16" t="str">
        <f>+COMM!D147</f>
        <v>ELC-COLOIL-CAM5</v>
      </c>
      <c r="BY16" s="675">
        <f>100%-BY15</f>
        <v>2.105557274151626E-3</v>
      </c>
      <c r="BZ16" s="309"/>
      <c r="CA16" s="309"/>
      <c r="CB16" s="309"/>
      <c r="CC16" s="309"/>
      <c r="CD16" s="309"/>
      <c r="CF16" t="str">
        <f>+BQ12</f>
        <v>FUEL-COLOIL-CAM5</v>
      </c>
      <c r="CG16" s="675">
        <f>100%-CG15</f>
        <v>2.6330487512965517E-3</v>
      </c>
      <c r="CP16" t="str">
        <f>+BB12</f>
        <v>FUEL-GAS-CAM4</v>
      </c>
      <c r="CQ16" s="442">
        <f>+'5. Data'!N186/('5. Data'!N186+1)</f>
        <v>1.1268327155444839E-2</v>
      </c>
    </row>
    <row r="17" spans="6:105" x14ac:dyDescent="0.25">
      <c r="F17" s="57"/>
      <c r="L17" s="22"/>
      <c r="M17" s="22" t="s">
        <v>626</v>
      </c>
      <c r="N17" s="22">
        <v>2037</v>
      </c>
      <c r="O17" s="262">
        <v>2.3371052350566992</v>
      </c>
      <c r="Q17" s="71" t="str">
        <f>+L65</f>
        <v>PROF-CAM5</v>
      </c>
      <c r="R17" s="71" t="str">
        <f>+D13</f>
        <v>R-CAM5</v>
      </c>
      <c r="S17" s="660">
        <f>100%-S18</f>
        <v>0.98952880617307648</v>
      </c>
      <c r="AJ17" t="s">
        <v>1044</v>
      </c>
      <c r="AK17" s="298">
        <f>100%-AK16</f>
        <v>0.97553366105218631</v>
      </c>
      <c r="AL17" s="688"/>
      <c r="AZ17" t="str">
        <v>FTE-FUEL-DSL-CAM2</v>
      </c>
      <c r="BA17" t="s">
        <v>47</v>
      </c>
      <c r="BB17" t="str">
        <v>FUEL-DSL-CAM2</v>
      </c>
      <c r="BC17" s="289">
        <v>1</v>
      </c>
      <c r="BJ17" s="289"/>
      <c r="BM17" t="str">
        <f>+BB26</f>
        <v>FUEL-OIL-CAM4</v>
      </c>
      <c r="BN17" s="289">
        <v>0.5</v>
      </c>
      <c r="BS17" s="309"/>
      <c r="BT17" s="309"/>
      <c r="BU17" s="309"/>
      <c r="BV17" s="838"/>
      <c r="BW17" t="str">
        <f>+PROCESS!N115</f>
        <v>COLELC-MOIL-CAM6</v>
      </c>
      <c r="BX17" t="s">
        <v>1045</v>
      </c>
      <c r="BY17" s="675">
        <f>+CC13</f>
        <v>0.99789444272584837</v>
      </c>
      <c r="BZ17" s="309"/>
      <c r="CA17" s="309"/>
      <c r="CB17" s="309"/>
      <c r="CC17" s="309"/>
      <c r="CD17" s="309"/>
      <c r="CE17" t="str">
        <f>+PROCESS!N110</f>
        <v>COLFUEL-MOIL-CAM6</v>
      </c>
      <c r="CF17" t="s">
        <v>1045</v>
      </c>
      <c r="CG17" s="675">
        <f>+CK13</f>
        <v>0.99736695124870345</v>
      </c>
      <c r="CO17" t="str">
        <f>+CS13</f>
        <v>COL-GAS-CAM5</v>
      </c>
      <c r="CP17" t="s">
        <v>973</v>
      </c>
      <c r="CQ17" s="442">
        <f>100%-CQ18</f>
        <v>0.98873167284455521</v>
      </c>
    </row>
    <row r="18" spans="6:105" x14ac:dyDescent="0.25">
      <c r="L18" s="22"/>
      <c r="M18" s="22" t="s">
        <v>626</v>
      </c>
      <c r="N18" s="22">
        <v>2040</v>
      </c>
      <c r="O18" s="262">
        <v>1.5418190990073675</v>
      </c>
      <c r="Q18" s="71"/>
      <c r="R18" s="71" t="str">
        <f>+COMM!D94</f>
        <v>ELC-CAM5</v>
      </c>
      <c r="S18" s="660">
        <f>+'5. Data'!N125/(1+'5. Data'!N125)</f>
        <v>1.0471193826923495E-2</v>
      </c>
      <c r="U18" s="19"/>
      <c r="V18" s="19" t="s">
        <v>281</v>
      </c>
      <c r="AI18" t="str">
        <f>+AE14</f>
        <v>SEP-CAM6</v>
      </c>
      <c r="AJ18" t="s">
        <v>974</v>
      </c>
      <c r="AK18" s="298">
        <f>+('5. Data'!O104-'5. Data'!S104)/('5. Data'!AH104-'5. Data'!S104)</f>
        <v>4.1419278412092878E-2</v>
      </c>
      <c r="AL18" s="688"/>
      <c r="AZ18" t="str">
        <v>FTE-FUEL-DSL-CAM3</v>
      </c>
      <c r="BA18" t="s">
        <v>47</v>
      </c>
      <c r="BB18" t="str">
        <v>FUEL-DSL-CAM3</v>
      </c>
      <c r="BC18" s="289">
        <v>1</v>
      </c>
      <c r="BJ18" s="289"/>
      <c r="BL18" t="str">
        <f>+BP12</f>
        <v>MIXFUEL-COLOIL-CAM5</v>
      </c>
      <c r="BM18" t="str">
        <f>+BB13</f>
        <v>FUEL-GAS-CAM5</v>
      </c>
      <c r="BN18" s="670">
        <v>0.5</v>
      </c>
      <c r="BS18" s="309"/>
      <c r="BT18" s="309"/>
      <c r="BU18" s="309"/>
      <c r="BV18" s="838"/>
      <c r="BW18"/>
      <c r="BX18" t="str">
        <f>+COMM!D148</f>
        <v>ELC-COLOIL-CAM6</v>
      </c>
      <c r="BY18" s="675">
        <f>100%-BY17</f>
        <v>2.105557274151626E-3</v>
      </c>
      <c r="BZ18" s="309"/>
      <c r="CA18" s="309"/>
      <c r="CB18" s="309"/>
      <c r="CC18" s="309"/>
      <c r="CD18" s="309"/>
      <c r="CF18" t="str">
        <f>+BQ13</f>
        <v>FUEL-COLOIL-CAM6</v>
      </c>
      <c r="CG18" s="675">
        <f>100%-CG17</f>
        <v>2.6330487512965517E-3</v>
      </c>
      <c r="CP18" t="str">
        <f>+BB13</f>
        <v>FUEL-GAS-CAM5</v>
      </c>
      <c r="CQ18" s="442">
        <f>+'5. Data'!N187/('5. Data'!N187+1)</f>
        <v>1.1268327155444839E-2</v>
      </c>
    </row>
    <row r="19" spans="6:105" x14ac:dyDescent="0.25">
      <c r="L19" s="22"/>
      <c r="M19" s="22" t="s">
        <v>626</v>
      </c>
      <c r="N19" s="22">
        <v>2043</v>
      </c>
      <c r="O19" s="262">
        <v>0.74653296295810601</v>
      </c>
      <c r="Q19" s="71" t="str">
        <f>+L79</f>
        <v>PROF-CAM6</v>
      </c>
      <c r="R19" s="71" t="str">
        <f>+D14</f>
        <v>R-CAM6</v>
      </c>
      <c r="S19" s="660">
        <f>100%-S20</f>
        <v>0.98952880617307648</v>
      </c>
      <c r="U19" s="19" t="s">
        <v>1038</v>
      </c>
      <c r="V19" s="367">
        <f>+'Bases de Cálculo'!G6</f>
        <v>55.539114956987063</v>
      </c>
      <c r="AJ19" t="s">
        <v>1045</v>
      </c>
      <c r="AK19" s="298">
        <f>100%-AK18</f>
        <v>0.95858072158790708</v>
      </c>
      <c r="AL19" s="688"/>
      <c r="AZ19" t="str">
        <v>FTE-FUEL-DSL-CAM4</v>
      </c>
      <c r="BA19" t="s">
        <v>47</v>
      </c>
      <c r="BB19" t="str">
        <v>FUEL-DSL-CAM4</v>
      </c>
      <c r="BC19" s="289">
        <v>1</v>
      </c>
      <c r="BJ19" s="289"/>
      <c r="BM19" t="str">
        <f>+BB20</f>
        <v>FUEL-DSL-CAM5</v>
      </c>
      <c r="BN19" s="289">
        <v>0.5</v>
      </c>
      <c r="BS19" s="309"/>
      <c r="BT19" s="309"/>
      <c r="BU19" s="309"/>
      <c r="BV19" s="838"/>
      <c r="BW19" s="309"/>
      <c r="BX19" s="309"/>
      <c r="BY19" s="309"/>
      <c r="BZ19" s="309"/>
      <c r="CA19" s="309"/>
      <c r="CB19" s="309"/>
      <c r="CC19" s="309"/>
      <c r="CD19" s="309"/>
      <c r="CE19" s="1"/>
      <c r="CF19" s="1"/>
      <c r="CG19" s="1"/>
      <c r="CO19" t="str">
        <f>+CS14</f>
        <v>COL-GAS-CAM6</v>
      </c>
      <c r="CP19" t="s">
        <v>974</v>
      </c>
      <c r="CQ19" s="442">
        <f>100%-CQ20</f>
        <v>0.98873167284455521</v>
      </c>
      <c r="DA19" t="s">
        <v>281</v>
      </c>
    </row>
    <row r="20" spans="6:105" x14ac:dyDescent="0.25">
      <c r="L20" s="22"/>
      <c r="M20" s="22" t="s">
        <v>626</v>
      </c>
      <c r="N20" s="22">
        <v>2045</v>
      </c>
      <c r="O20" s="262">
        <v>0.21634220559186546</v>
      </c>
      <c r="Q20" s="71"/>
      <c r="R20" s="71" t="str">
        <f>+COMM!D95</f>
        <v>ELC-CAM6</v>
      </c>
      <c r="S20" s="660">
        <f>+'5. Data'!N126/(1+'5. Data'!N126)</f>
        <v>1.0471193826923495E-2</v>
      </c>
      <c r="AI20" t="str">
        <f>+AE15</f>
        <v>SEP-CAM7</v>
      </c>
      <c r="AJ20" t="str">
        <f>+COMM!D36</f>
        <v>GAS-CAM7</v>
      </c>
      <c r="AK20" s="755">
        <f>+('5. Data'!O105-'5. Data'!S105)/('5. Data'!AH105-'5. Data'!S105)</f>
        <v>0.99447612945601149</v>
      </c>
      <c r="AZ20" t="str">
        <v>FTE-FUEL-DSL-CAM5</v>
      </c>
      <c r="BA20" t="s">
        <v>47</v>
      </c>
      <c r="BB20" t="str">
        <v>FUEL-DSL-CAM5</v>
      </c>
      <c r="BC20" s="289">
        <v>1</v>
      </c>
      <c r="BJ20" s="289"/>
      <c r="BM20" t="str">
        <f>+BB27</f>
        <v>FUEL-OIL-CAM5</v>
      </c>
      <c r="BN20" s="289">
        <v>0.5</v>
      </c>
      <c r="BS20" s="309"/>
      <c r="BT20" s="309"/>
      <c r="BU20" s="309"/>
      <c r="BV20" s="838"/>
      <c r="BW20" s="309"/>
      <c r="BX20" s="309"/>
      <c r="BY20" s="309"/>
      <c r="BZ20" s="309"/>
      <c r="CA20" s="309"/>
      <c r="CB20" s="309"/>
      <c r="CC20" s="309"/>
      <c r="CD20" s="309"/>
      <c r="CE20" s="1"/>
      <c r="CF20" s="1"/>
      <c r="CG20" s="1"/>
      <c r="CP20" t="str">
        <f>+BB14</f>
        <v>FUEL-GAS-CAM6</v>
      </c>
      <c r="CQ20" s="442">
        <f>+'5. Data'!N188/('5. Data'!N188+1)</f>
        <v>1.1268327155444839E-2</v>
      </c>
      <c r="CY20" s="380" t="s">
        <v>0</v>
      </c>
    </row>
    <row r="21" spans="6:105" x14ac:dyDescent="0.25">
      <c r="L21" s="22"/>
      <c r="M21" s="22" t="s">
        <v>626</v>
      </c>
      <c r="N21" s="22">
        <v>2047</v>
      </c>
      <c r="O21" s="262">
        <v>0</v>
      </c>
      <c r="Q21" s="71" t="str">
        <f>+L93</f>
        <v>PROF-CAM7</v>
      </c>
      <c r="R21" t="str">
        <f>+D15</f>
        <v>R-CAM7</v>
      </c>
      <c r="S21" s="754">
        <f>100%-S22</f>
        <v>0.98952880617307648</v>
      </c>
      <c r="AJ21" t="str">
        <f>+COMM!D46</f>
        <v>LOIL-CAM7</v>
      </c>
      <c r="AK21" s="298">
        <f>100%-AK20</f>
        <v>5.5238705439885072E-3</v>
      </c>
      <c r="AZ21" t="str">
        <v>FTE-FUEL-DSL-CAM6</v>
      </c>
      <c r="BA21" t="s">
        <v>47</v>
      </c>
      <c r="BB21" t="str">
        <v>FUEL-DSL-CAM6</v>
      </c>
      <c r="BC21" s="289">
        <v>1</v>
      </c>
      <c r="BJ21" s="289"/>
      <c r="BL21" t="str">
        <f>+BP13</f>
        <v>MIXFUEL-COLOIL-CAM6</v>
      </c>
      <c r="BM21" t="str">
        <f>+BB14</f>
        <v>FUEL-GAS-CAM6</v>
      </c>
      <c r="BN21" s="670">
        <v>0.5</v>
      </c>
      <c r="BS21" s="309"/>
      <c r="BT21" s="309"/>
      <c r="BU21" s="309"/>
      <c r="BV21" s="838"/>
      <c r="BW21" s="309"/>
      <c r="BX21" s="309"/>
      <c r="BY21" s="309"/>
      <c r="BZ21" s="309"/>
      <c r="CA21" s="309"/>
      <c r="CB21" s="309"/>
      <c r="CC21" s="309"/>
      <c r="CD21" s="309"/>
      <c r="CO21" t="str">
        <f>+CS15</f>
        <v>COL-GAS-CAM7</v>
      </c>
      <c r="CP21" t="s">
        <v>1283</v>
      </c>
      <c r="CQ21" s="442">
        <f>100%-CQ22</f>
        <v>0.98873167284455521</v>
      </c>
      <c r="CY21" s="461" t="s">
        <v>11</v>
      </c>
      <c r="CZ21" s="461" t="s">
        <v>13</v>
      </c>
      <c r="DA21" s="461" t="s">
        <v>777</v>
      </c>
    </row>
    <row r="22" spans="6:105" x14ac:dyDescent="0.25">
      <c r="L22" s="22"/>
      <c r="M22" s="22" t="s">
        <v>626</v>
      </c>
      <c r="N22" s="22">
        <v>2050</v>
      </c>
      <c r="O22" s="262">
        <v>0</v>
      </c>
      <c r="R22" s="71" t="str">
        <f>+COMM!D96</f>
        <v>ELC-CAM7</v>
      </c>
      <c r="S22" s="756">
        <f>+'5. Data'!N127/(1+'5. Data'!N127)</f>
        <v>1.0471193826923495E-2</v>
      </c>
      <c r="AZ22" t="str">
        <v>FTE-FUEL-DSL-CAM7</v>
      </c>
      <c r="BA22" t="s">
        <v>47</v>
      </c>
      <c r="BB22" t="str">
        <v>FUEL-DSL-CAM7</v>
      </c>
      <c r="BC22" s="289">
        <v>1</v>
      </c>
      <c r="BJ22" s="289"/>
      <c r="BM22" t="str">
        <f>+BB21</f>
        <v>FUEL-DSL-CAM6</v>
      </c>
      <c r="BN22" s="289">
        <v>0.5</v>
      </c>
      <c r="BS22" s="309"/>
      <c r="BT22" s="309"/>
      <c r="BU22" s="309"/>
      <c r="BV22" s="838"/>
      <c r="BW22" s="309"/>
      <c r="BX22" s="309"/>
      <c r="BY22" s="309"/>
      <c r="BZ22" s="309"/>
      <c r="CA22" s="309"/>
      <c r="CB22" s="309"/>
      <c r="CC22" s="309"/>
      <c r="CD22" s="309"/>
      <c r="CI22" s="380" t="s">
        <v>0</v>
      </c>
      <c r="CO22" s="678"/>
      <c r="CP22" t="str">
        <f>+BB15</f>
        <v>FUEL-GAS-CAM7</v>
      </c>
      <c r="CQ22" s="442">
        <f>+'5. Data'!N189/('5. Data'!N189+1)</f>
        <v>1.1268327155444839E-2</v>
      </c>
      <c r="CY22" t="str" cm="1">
        <f t="array" ref="CY22:CY28">+_xlfn.ANCHORARRAY(CY9)</f>
        <v>COMPRA-ELC-CAM1</v>
      </c>
      <c r="CZ22" t="str" cm="1">
        <f t="array" ref="CZ22:CZ28">+COMM!AK20:AK26</f>
        <v>CO2e-CAM1</v>
      </c>
      <c r="DA22" s="122">
        <f>+'3. Scope3'!$G$19</f>
        <v>46.111111111111114</v>
      </c>
    </row>
    <row r="23" spans="6:105" ht="15.75" x14ac:dyDescent="0.25">
      <c r="L23" s="22" t="str">
        <f>+PROCESS!N25</f>
        <v>PROF-CAM2</v>
      </c>
      <c r="M23" s="22" t="s">
        <v>626</v>
      </c>
      <c r="N23" s="22">
        <v>2019</v>
      </c>
      <c r="O23" s="262" cm="1">
        <f t="array" ref="O23:O36">+TRANSPOSE('5. Data'!AI100:AV100)</f>
        <v>363.68563536317856</v>
      </c>
      <c r="U23" s="380" t="s">
        <v>0</v>
      </c>
      <c r="AZ23" t="str">
        <v>FTE-FUEL-OIL-CAM1</v>
      </c>
      <c r="BA23" t="s">
        <v>52</v>
      </c>
      <c r="BB23" t="str" cm="1">
        <f t="array" ref="BB23:BB29">+COMM!D121:D127</f>
        <v>FUEL-OIL-CAM1</v>
      </c>
      <c r="BC23" s="289">
        <v>1</v>
      </c>
      <c r="BJ23" s="289"/>
      <c r="BM23" t="str">
        <f>+BB28</f>
        <v>FUEL-OIL-CAM6</v>
      </c>
      <c r="BN23" s="289">
        <v>0.5</v>
      </c>
      <c r="BS23" s="309"/>
      <c r="BT23" s="309"/>
      <c r="BU23" s="309"/>
      <c r="BV23" s="838"/>
      <c r="BW23" s="697" t="s">
        <v>1393</v>
      </c>
      <c r="BX23" s="697"/>
      <c r="BY23" s="697"/>
      <c r="BZ23" s="697"/>
      <c r="CA23" s="309"/>
      <c r="CB23" s="309"/>
      <c r="CC23" s="309"/>
      <c r="CD23" s="309"/>
      <c r="CH23" s="121"/>
      <c r="CI23" s="317" t="s">
        <v>11</v>
      </c>
      <c r="CJ23" s="846" t="s">
        <v>928</v>
      </c>
      <c r="CY23" t="str">
        <v>COMPRA-ELC-CAM2</v>
      </c>
      <c r="CZ23" t="str">
        <v>CO2e-CAM2</v>
      </c>
      <c r="DA23" s="122">
        <f>+'3. Scope3'!$G$19</f>
        <v>46.111111111111114</v>
      </c>
    </row>
    <row r="24" spans="6:105" x14ac:dyDescent="0.25">
      <c r="M24" s="22" t="s">
        <v>626</v>
      </c>
      <c r="N24" s="22">
        <v>2020</v>
      </c>
      <c r="O24" s="262">
        <v>357.03963544887284</v>
      </c>
      <c r="U24" s="461" t="s">
        <v>11</v>
      </c>
      <c r="V24" s="461" t="s">
        <v>13</v>
      </c>
      <c r="W24" s="461" t="s">
        <v>777</v>
      </c>
      <c r="X24" s="683"/>
      <c r="Y24" s="683"/>
      <c r="Z24" s="683"/>
      <c r="AA24" s="683"/>
      <c r="AB24" s="686"/>
      <c r="AE24" s="380" t="s">
        <v>0</v>
      </c>
      <c r="AZ24" t="str">
        <v>FTE-FUEL-OIL-CAM2</v>
      </c>
      <c r="BA24" t="s">
        <v>1041</v>
      </c>
      <c r="BB24" t="str">
        <v>FUEL-OIL-CAM2</v>
      </c>
      <c r="BC24" s="289">
        <v>1</v>
      </c>
      <c r="BJ24" s="289"/>
      <c r="BN24" s="289"/>
      <c r="BW24"/>
      <c r="BX24"/>
      <c r="BY24"/>
      <c r="BZ24"/>
      <c r="CI24" t="str" cm="1">
        <f t="array" ref="CI24:CI28">+CI9:CI13</f>
        <v>COLFUEL-LOIL-CAM2</v>
      </c>
      <c r="CJ24" s="122">
        <f>+'5. Data'!N194</f>
        <v>0.4052236060193658</v>
      </c>
      <c r="CY24" t="str">
        <v>COMPRA-ELC-CAM3</v>
      </c>
      <c r="CZ24" t="str">
        <v>CO2e-CAM3</v>
      </c>
      <c r="DA24" s="122">
        <f>+'3. Scope3'!$G$19</f>
        <v>46.111111111111114</v>
      </c>
    </row>
    <row r="25" spans="6:105" x14ac:dyDescent="0.25">
      <c r="M25" s="22" t="s">
        <v>626</v>
      </c>
      <c r="N25" s="22">
        <v>2023</v>
      </c>
      <c r="O25" s="262">
        <v>291.71333965512213</v>
      </c>
      <c r="U25" s="22" t="str" cm="1">
        <f t="array" ref="U25:U31">+U9:U15</f>
        <v>PROF-CAM1</v>
      </c>
      <c r="V25" s="22" t="str" cm="1">
        <f t="array" ref="V25:V31">+COMM!AK20:AK26</f>
        <v>CO2e-CAM1</v>
      </c>
      <c r="W25">
        <f>+(S9*'5. Data'!P99*'5. Data'!X99)*$V$19</f>
        <v>7.4391544167026147E-2</v>
      </c>
      <c r="AB25" s="687"/>
      <c r="AC25" s="676"/>
      <c r="AE25" s="461" t="s">
        <v>11</v>
      </c>
      <c r="AF25" s="461" t="s">
        <v>13</v>
      </c>
      <c r="AG25" s="461" t="s">
        <v>777</v>
      </c>
      <c r="AZ25" t="str">
        <v>FTE-FUEL-OIL-CAM3</v>
      </c>
      <c r="BA25" t="s">
        <v>1042</v>
      </c>
      <c r="BB25" t="str">
        <v>FUEL-OIL-CAM3</v>
      </c>
      <c r="BC25" s="289">
        <v>1</v>
      </c>
      <c r="BJ25" s="289"/>
      <c r="BN25" s="63"/>
      <c r="BW25" s="380" t="s">
        <v>0</v>
      </c>
      <c r="BX25"/>
      <c r="BY25"/>
      <c r="BZ25"/>
      <c r="CI25" t="str">
        <v>COLFUEL-HOIL-CAM3</v>
      </c>
      <c r="CJ25" s="122">
        <f>+'5. Data'!N195</f>
        <v>0.95282307361310337</v>
      </c>
      <c r="CY25" t="str">
        <v>COMPRA-ELC-CAM4</v>
      </c>
      <c r="CZ25" t="str">
        <v>CO2e-CAM4</v>
      </c>
      <c r="DA25" s="122">
        <f>+'3. Scope3'!$G$19</f>
        <v>46.111111111111114</v>
      </c>
    </row>
    <row r="26" spans="6:105" x14ac:dyDescent="0.25">
      <c r="M26" s="22" t="s">
        <v>626</v>
      </c>
      <c r="N26" s="22">
        <v>2025</v>
      </c>
      <c r="O26" s="262">
        <v>219.06541620476196</v>
      </c>
      <c r="U26" s="22" t="str">
        <v>PROF-CAM2</v>
      </c>
      <c r="V26" s="349" t="str">
        <v>CO2e-CAM2</v>
      </c>
      <c r="W26">
        <f>+(S11*'5. Data'!P100*'5. Data'!X100)*$V$19</f>
        <v>0.49307654325983313</v>
      </c>
      <c r="AB26" s="687"/>
      <c r="AC26" s="676"/>
      <c r="AE26" s="22" t="str" cm="1">
        <f t="array" ref="AE26:AE32">+_xlfn.ANCHORARRAY(AE9)</f>
        <v>SEP-CAM1</v>
      </c>
      <c r="AF26" s="22" t="str" cm="1">
        <f t="array" ref="AF26:AF32">+_xlfn.ANCHORARRAY(V25)</f>
        <v>CO2e-CAM1</v>
      </c>
      <c r="AG26">
        <f>+'5. Data'!N141</f>
        <v>0.4</v>
      </c>
      <c r="AZ26" t="str">
        <v>FTE-FUEL-OIL-CAM4</v>
      </c>
      <c r="BA26" t="s">
        <v>1043</v>
      </c>
      <c r="BB26" t="str">
        <v>FUEL-OIL-CAM4</v>
      </c>
      <c r="BC26" s="289">
        <v>1</v>
      </c>
      <c r="BJ26" s="289"/>
      <c r="BN26" s="289"/>
      <c r="BS26" s="683"/>
      <c r="BT26" s="683"/>
      <c r="BU26" s="683"/>
      <c r="BV26" s="837"/>
      <c r="BW26" s="317" t="s">
        <v>11</v>
      </c>
      <c r="BX26" s="672" t="s">
        <v>12</v>
      </c>
      <c r="BY26" s="672" t="s">
        <v>13</v>
      </c>
      <c r="BZ26" s="327" t="s">
        <v>31</v>
      </c>
      <c r="CA26" s="683"/>
      <c r="CB26" s="683"/>
      <c r="CC26" s="683"/>
      <c r="CD26" s="683"/>
      <c r="CI26" t="str">
        <v>COLFUEL-LOIL-CAM4</v>
      </c>
      <c r="CJ26" s="122">
        <f>+'5. Data'!N196</f>
        <v>0.4052236060193658</v>
      </c>
      <c r="CO26" s="19"/>
      <c r="CP26" s="19" t="str">
        <f>V18</f>
        <v>kt/PJ</v>
      </c>
      <c r="CY26" t="str">
        <v>COMPRA-ELC-CAM5</v>
      </c>
      <c r="CZ26" t="str">
        <v>CO2e-CAM5</v>
      </c>
      <c r="DA26" s="122">
        <f>+'3. Scope3'!$G$19</f>
        <v>46.111111111111114</v>
      </c>
    </row>
    <row r="27" spans="6:105" x14ac:dyDescent="0.25">
      <c r="M27" s="22" t="s">
        <v>626</v>
      </c>
      <c r="N27" s="22">
        <v>2027</v>
      </c>
      <c r="O27" s="262">
        <v>170.23519767765302</v>
      </c>
      <c r="U27" s="22" t="str">
        <v>PROF-CAM3</v>
      </c>
      <c r="V27" s="349" t="str">
        <v>CO2e-CAM3</v>
      </c>
      <c r="W27">
        <f>+(S13*'5. Data'!P101*'5. Data'!X101)*$V$19</f>
        <v>9.7228688309594247E-2</v>
      </c>
      <c r="AB27" s="687"/>
      <c r="AC27" s="676"/>
      <c r="AE27" s="22" t="str">
        <v>SEP-CAM2</v>
      </c>
      <c r="AF27" s="349" t="str">
        <v>CO2e-CAM2</v>
      </c>
      <c r="AG27">
        <f>+'5. Data'!N142</f>
        <v>0.9</v>
      </c>
      <c r="AZ27" t="str">
        <v>FTE-FUEL-OIL-CAM5</v>
      </c>
      <c r="BA27" t="s">
        <v>1044</v>
      </c>
      <c r="BB27" t="str">
        <v>FUEL-OIL-CAM5</v>
      </c>
      <c r="BC27" s="289">
        <v>1</v>
      </c>
      <c r="BJ27" s="289"/>
      <c r="BS27" s="676"/>
      <c r="BT27" s="676"/>
      <c r="BU27" s="676"/>
      <c r="BV27" s="840"/>
      <c r="BW27" t="str" cm="1">
        <f t="array" ref="BW27:BW31">+PROCESS!N93:N97</f>
        <v>COMPRA-ELC-COL-CAM2</v>
      </c>
      <c r="BX27" s="1" t="s">
        <v>129</v>
      </c>
      <c r="BY27" t="str">
        <f>+BX10</f>
        <v>ELC-COLOIL-CAM2</v>
      </c>
      <c r="BZ27" s="529">
        <v>1</v>
      </c>
      <c r="CA27" s="676"/>
      <c r="CB27" s="676"/>
      <c r="CC27" s="676"/>
      <c r="CD27" s="676"/>
      <c r="CI27" t="str">
        <v>COLFUEL-MOIL-CAM5</v>
      </c>
      <c r="CJ27" s="122">
        <f>+'5. Data'!N197</f>
        <v>0.4052236060193658</v>
      </c>
      <c r="CO27" s="19" t="str">
        <f>U19</f>
        <v>F.E. GAS</v>
      </c>
      <c r="CP27" s="367">
        <f>V19</f>
        <v>55.539114956987063</v>
      </c>
      <c r="CY27" t="str">
        <v>COMPRA-ELC-CAM6</v>
      </c>
      <c r="CZ27" t="str">
        <v>CO2e-CAM6</v>
      </c>
      <c r="DA27" s="122">
        <f>+'3. Scope3'!$G$19</f>
        <v>46.111111111111114</v>
      </c>
    </row>
    <row r="28" spans="6:105" x14ac:dyDescent="0.25">
      <c r="M28" s="22" t="s">
        <v>626</v>
      </c>
      <c r="N28" s="22">
        <v>2030</v>
      </c>
      <c r="O28" s="262">
        <v>111.95261234678644</v>
      </c>
      <c r="U28" s="22" t="str">
        <v>PROF-CAM4</v>
      </c>
      <c r="V28" s="349" t="str">
        <v>CO2e-CAM4</v>
      </c>
      <c r="W28">
        <f>+(S15*'5. Data'!P102*'5. Data'!X102)*$V$19</f>
        <v>12.443456045582836</v>
      </c>
      <c r="AB28" s="687"/>
      <c r="AC28" s="676"/>
      <c r="AE28" s="22" t="str">
        <v>SEP-CAM3</v>
      </c>
      <c r="AF28" s="349" t="str">
        <v>CO2e-CAM3</v>
      </c>
      <c r="AG28">
        <f>+'5. Data'!N143</f>
        <v>0.5</v>
      </c>
      <c r="AZ28" t="str">
        <v>FTE-FUEL-OIL-CAM6</v>
      </c>
      <c r="BA28" t="s">
        <v>1045</v>
      </c>
      <c r="BB28" t="str">
        <v>FUEL-OIL-CAM6</v>
      </c>
      <c r="BC28" s="289">
        <v>1</v>
      </c>
      <c r="BL28" s="849" t="s">
        <v>0</v>
      </c>
      <c r="BM28" s="386"/>
      <c r="BN28" s="386"/>
      <c r="BS28" s="676"/>
      <c r="BT28" s="676"/>
      <c r="BU28" s="676"/>
      <c r="BV28" s="840"/>
      <c r="BW28" t="str">
        <v>COMPRA-ELC-COL-CAM3</v>
      </c>
      <c r="BX28" s="1" t="s">
        <v>129</v>
      </c>
      <c r="BY28" t="str">
        <f>+BX12</f>
        <v>ELC-COLOIL-CAM3</v>
      </c>
      <c r="BZ28" s="529">
        <v>1</v>
      </c>
      <c r="CA28" s="676"/>
      <c r="CB28" s="676"/>
      <c r="CC28" s="676"/>
      <c r="CD28" s="676"/>
      <c r="CI28" t="str">
        <v>COLFUEL-MOIL-CAM6</v>
      </c>
      <c r="CJ28" s="122">
        <f>+'5. Data'!N198</f>
        <v>0.4052236060193658</v>
      </c>
      <c r="CY28" t="str">
        <v>COMPRA-ELC-CAM7</v>
      </c>
      <c r="CZ28" t="str">
        <v>CO2e-CAM7</v>
      </c>
      <c r="DA28" s="122">
        <f>+'3. Scope3'!$G$19</f>
        <v>46.111111111111114</v>
      </c>
    </row>
    <row r="29" spans="6:105" x14ac:dyDescent="0.25">
      <c r="M29" s="22" t="s">
        <v>626</v>
      </c>
      <c r="N29" s="22">
        <v>2033</v>
      </c>
      <c r="O29" s="262">
        <v>72.379931845519636</v>
      </c>
      <c r="U29" s="22" t="str">
        <v>PROF-CAM5</v>
      </c>
      <c r="V29" s="349" t="str">
        <v>CO2e-CAM5</v>
      </c>
      <c r="W29">
        <f>+(S17*'5. Data'!P103*'5. Data'!X103)*$V$19</f>
        <v>0.25574202377848287</v>
      </c>
      <c r="AB29" s="687"/>
      <c r="AC29" s="676"/>
      <c r="AE29" s="22" t="str">
        <v>SEP-CAM4</v>
      </c>
      <c r="AF29" s="349" t="str">
        <v>CO2e-CAM4</v>
      </c>
      <c r="AG29">
        <f>+'5. Data'!N144</f>
        <v>0.5</v>
      </c>
      <c r="AZ29" t="str">
        <v>FTE-FUEL-OIL-CAM7</v>
      </c>
      <c r="BA29" t="s">
        <v>1274</v>
      </c>
      <c r="BB29" t="str">
        <v>FUEL-OIL-CAM7</v>
      </c>
      <c r="BC29" s="289">
        <v>1</v>
      </c>
      <c r="BL29" s="850" t="s">
        <v>11</v>
      </c>
      <c r="BM29" s="851" t="s">
        <v>626</v>
      </c>
      <c r="BN29" s="852" t="s">
        <v>14</v>
      </c>
      <c r="BS29" s="676"/>
      <c r="BT29" s="676"/>
      <c r="BU29" s="676"/>
      <c r="BV29" s="840"/>
      <c r="BW29" t="str">
        <v>COMPRA-ELC-COL-CAM4</v>
      </c>
      <c r="BX29" s="1" t="s">
        <v>129</v>
      </c>
      <c r="BY29" t="str">
        <f>+BX14</f>
        <v>ELC-COLOIL-CAM4</v>
      </c>
      <c r="BZ29" s="529">
        <v>1</v>
      </c>
      <c r="CA29" s="676"/>
      <c r="CB29" s="676"/>
      <c r="CC29" s="676"/>
      <c r="CD29" s="676"/>
      <c r="CI29" s="289" t="str" cm="1">
        <f t="array" ref="CI29:CI33">+CA9:CA13</f>
        <v>COLELC-LOIL-CAM2</v>
      </c>
      <c r="CJ29" s="122" cm="1">
        <f t="array" ref="CJ29:CJ33">+CJ24:CJ28</f>
        <v>0.4052236060193658</v>
      </c>
    </row>
    <row r="30" spans="6:105" x14ac:dyDescent="0.25">
      <c r="M30" s="22" t="s">
        <v>626</v>
      </c>
      <c r="N30" s="22">
        <v>2035</v>
      </c>
      <c r="O30" s="262">
        <v>52.2350632561674</v>
      </c>
      <c r="U30" s="22" t="str">
        <v>PROF-CAM6</v>
      </c>
      <c r="V30" s="349" t="str">
        <v>CO2e-CAM6</v>
      </c>
      <c r="W30">
        <f>+(S19*'5. Data'!P104*'5. Data'!X104)*$V$19</f>
        <v>0.44459549350850303</v>
      </c>
      <c r="AB30" s="687"/>
      <c r="AC30" s="676"/>
      <c r="AE30" s="22" t="str">
        <v>SEP-CAM5</v>
      </c>
      <c r="AF30" s="349" t="str">
        <v>CO2e-CAM5</v>
      </c>
      <c r="AG30">
        <f>+'5. Data'!N145</f>
        <v>0.5</v>
      </c>
      <c r="BL30" s="249" t="str" cm="1">
        <f t="array" ref="BL30:BL50">+_xlfn.ANCHORARRAY(AZ9)</f>
        <v>FTE-FUEL-GAS-CAM1</v>
      </c>
      <c r="BM30" s="853">
        <f>2.62/21</f>
        <v>0.12476190476190477</v>
      </c>
      <c r="BN30" s="249" t="s">
        <v>552</v>
      </c>
      <c r="BS30" s="676"/>
      <c r="BT30" s="676"/>
      <c r="BU30" s="676"/>
      <c r="BV30" s="840"/>
      <c r="BW30" t="str">
        <v>COMPRA-ELC-COL-CAM5</v>
      </c>
      <c r="BX30" s="1" t="s">
        <v>129</v>
      </c>
      <c r="BY30" t="str">
        <f>+BX16</f>
        <v>ELC-COLOIL-CAM5</v>
      </c>
      <c r="BZ30" s="529">
        <v>1</v>
      </c>
      <c r="CA30" s="676"/>
      <c r="CB30" s="676"/>
      <c r="CC30" s="676"/>
      <c r="CD30" s="676"/>
      <c r="CI30" t="str">
        <v>COLELC-HOIL-CAM3</v>
      </c>
      <c r="CJ30">
        <v>0.95282307361310337</v>
      </c>
    </row>
    <row r="31" spans="6:105" x14ac:dyDescent="0.25">
      <c r="M31" s="22" t="s">
        <v>626</v>
      </c>
      <c r="N31" s="22">
        <v>2037</v>
      </c>
      <c r="O31" s="262">
        <v>39.077990841053399</v>
      </c>
      <c r="U31" s="19" t="str">
        <v>PROF-CAM7</v>
      </c>
      <c r="V31" s="19" t="str">
        <v>CO2e-CAM7</v>
      </c>
      <c r="W31">
        <f>+(S21*'5. Data'!P105*'5. Data'!X105)*$V$19</f>
        <v>0.96483010501398736</v>
      </c>
      <c r="AC31" s="676"/>
      <c r="AE31" s="22" t="str">
        <v>SEP-CAM6</v>
      </c>
      <c r="AF31" s="349" t="str">
        <v>CO2e-CAM6</v>
      </c>
      <c r="AG31">
        <f>+'5. Data'!N146</f>
        <v>0.5</v>
      </c>
      <c r="BL31" s="249" t="str">
        <v>FTE-FUEL-GAS-CAM2</v>
      </c>
      <c r="BM31" s="853">
        <f t="shared" ref="BM31:BM50" si="2">2.62/21</f>
        <v>0.12476190476190477</v>
      </c>
      <c r="BN31" s="249" t="s">
        <v>552</v>
      </c>
      <c r="BO31" s="1"/>
      <c r="BP31" s="1"/>
      <c r="BS31" s="676"/>
      <c r="BT31" s="676"/>
      <c r="BU31" s="676"/>
      <c r="BV31" s="840"/>
      <c r="BW31" t="str">
        <v>COMPRA-ELC-COL-CAM6</v>
      </c>
      <c r="BX31" s="1" t="s">
        <v>129</v>
      </c>
      <c r="BY31" t="str">
        <f>+BX18</f>
        <v>ELC-COLOIL-CAM6</v>
      </c>
      <c r="BZ31" s="529">
        <v>1</v>
      </c>
      <c r="CA31" s="676"/>
      <c r="CB31" s="676"/>
      <c r="CC31" s="676"/>
      <c r="CD31" s="676"/>
      <c r="CI31" t="str">
        <v>COLELC-LOIL-CAM4</v>
      </c>
      <c r="CJ31">
        <v>0.4052236060193658</v>
      </c>
    </row>
    <row r="32" spans="6:105" x14ac:dyDescent="0.25">
      <c r="M32" s="22" t="s">
        <v>626</v>
      </c>
      <c r="N32" s="22">
        <v>2040</v>
      </c>
      <c r="O32" s="262">
        <v>23.3968962245543</v>
      </c>
      <c r="AE32" s="19" t="str">
        <v>SEP-CAM7</v>
      </c>
      <c r="AF32" s="19" t="str">
        <v>CO2e-CAM7</v>
      </c>
      <c r="AG32">
        <f>+'5. Data'!N147</f>
        <v>0.4</v>
      </c>
      <c r="BL32" s="249" t="str">
        <v>FTE-FUEL-GAS-CAM3</v>
      </c>
      <c r="BM32" s="853">
        <f t="shared" si="2"/>
        <v>0.12476190476190477</v>
      </c>
      <c r="BN32" s="249" t="s">
        <v>552</v>
      </c>
      <c r="BO32" s="1"/>
      <c r="BP32" s="1"/>
      <c r="BS32" s="676"/>
      <c r="BT32" s="676"/>
      <c r="BU32" s="676"/>
      <c r="BV32" s="840"/>
      <c r="BW32"/>
      <c r="BX32"/>
      <c r="BY32"/>
      <c r="BZ32" s="529"/>
      <c r="CA32" s="676"/>
      <c r="CB32" s="676"/>
      <c r="CC32" s="676"/>
      <c r="CD32" s="676"/>
      <c r="CI32" t="str">
        <v>COLELC-MOIL-CAM5</v>
      </c>
      <c r="CJ32">
        <v>0.4052236060193658</v>
      </c>
    </row>
    <row r="33" spans="12:88" x14ac:dyDescent="0.25">
      <c r="M33" s="22" t="s">
        <v>626</v>
      </c>
      <c r="N33" s="22">
        <v>2043</v>
      </c>
      <c r="O33" s="262">
        <v>17.354491524384926</v>
      </c>
      <c r="BL33" s="249" t="str">
        <v>FTE-FUEL-GAS-CAM4</v>
      </c>
      <c r="BM33" s="853">
        <f t="shared" si="2"/>
        <v>0.12476190476190477</v>
      </c>
      <c r="BN33" s="249" t="s">
        <v>552</v>
      </c>
      <c r="BO33" s="1"/>
      <c r="BP33" s="1"/>
      <c r="BW33"/>
      <c r="BX33"/>
      <c r="BY33"/>
      <c r="BZ33" s="529"/>
      <c r="CI33" t="str">
        <v>COLELC-MOIL-CAM6</v>
      </c>
      <c r="CJ33">
        <v>0.4052236060193658</v>
      </c>
    </row>
    <row r="34" spans="12:88" x14ac:dyDescent="0.25">
      <c r="M34" s="22" t="s">
        <v>626</v>
      </c>
      <c r="N34" s="22">
        <v>2045</v>
      </c>
      <c r="O34" s="262">
        <v>13.326221724272058</v>
      </c>
      <c r="BL34" s="249" t="str">
        <v>FTE-FUEL-GAS-CAM5</v>
      </c>
      <c r="BM34" s="853">
        <f t="shared" si="2"/>
        <v>0.12476190476190477</v>
      </c>
      <c r="BN34" s="249" t="s">
        <v>552</v>
      </c>
      <c r="BO34" s="1"/>
      <c r="BP34" s="1"/>
      <c r="BW34"/>
      <c r="BX34"/>
      <c r="BY34"/>
      <c r="BZ34"/>
    </row>
    <row r="35" spans="12:88" x14ac:dyDescent="0.25">
      <c r="M35" s="22" t="s">
        <v>626</v>
      </c>
      <c r="N35" s="22">
        <v>2047</v>
      </c>
      <c r="O35" s="262">
        <v>10.029486407153993</v>
      </c>
      <c r="BL35" s="249" t="str">
        <v>FTE-FUEL-GAS-CAM6</v>
      </c>
      <c r="BM35" s="853">
        <f t="shared" si="2"/>
        <v>0.12476190476190477</v>
      </c>
      <c r="BN35" s="249" t="s">
        <v>552</v>
      </c>
      <c r="BO35" s="1"/>
      <c r="BP35" s="1"/>
      <c r="BW35"/>
      <c r="BX35"/>
      <c r="BY35"/>
      <c r="BZ35"/>
    </row>
    <row r="36" spans="12:88" x14ac:dyDescent="0.25">
      <c r="M36" s="22" t="s">
        <v>626</v>
      </c>
      <c r="N36" s="22">
        <v>2050</v>
      </c>
      <c r="O36" s="262">
        <v>6.6898601086639449</v>
      </c>
      <c r="BL36" s="249" t="str">
        <v>FTE-FUEL-GAS-CAM7</v>
      </c>
      <c r="BM36" s="853">
        <f t="shared" si="2"/>
        <v>0.12476190476190477</v>
      </c>
      <c r="BN36" s="249" t="s">
        <v>552</v>
      </c>
      <c r="BO36" s="1"/>
      <c r="BP36" s="1"/>
      <c r="BW36"/>
      <c r="BX36"/>
      <c r="BY36"/>
      <c r="BZ36"/>
    </row>
    <row r="37" spans="12:88" x14ac:dyDescent="0.25">
      <c r="L37" s="22" t="str">
        <f>+PROCESS!N26</f>
        <v>PROF-CAM3</v>
      </c>
      <c r="M37" s="22" t="s">
        <v>626</v>
      </c>
      <c r="N37" s="22">
        <v>2019</v>
      </c>
      <c r="O37" s="262" cm="1">
        <f t="array" ref="O37:O50">+TRANSPOSE('5. Data'!AI101:AV101)</f>
        <v>726.70451084468357</v>
      </c>
      <c r="BL37" s="22" t="str">
        <v>FTE-FUEL-DSL-CAM1</v>
      </c>
      <c r="BM37" s="853">
        <f t="shared" si="2"/>
        <v>0.12476190476190477</v>
      </c>
      <c r="BN37" s="249" t="s">
        <v>552</v>
      </c>
      <c r="BO37" s="1"/>
      <c r="BP37" s="1"/>
      <c r="BW37"/>
      <c r="BX37"/>
      <c r="BY37" t="s">
        <v>281</v>
      </c>
      <c r="BZ37"/>
    </row>
    <row r="38" spans="12:88" x14ac:dyDescent="0.25">
      <c r="M38" s="22" t="s">
        <v>626</v>
      </c>
      <c r="N38" s="22">
        <v>2020</v>
      </c>
      <c r="O38" s="262">
        <v>687.86225103060212</v>
      </c>
      <c r="BL38" s="320" t="str">
        <v>FTE-FUEL-DSL-CAM2</v>
      </c>
      <c r="BM38" s="853">
        <f t="shared" si="2"/>
        <v>0.12476190476190477</v>
      </c>
      <c r="BN38" s="249" t="s">
        <v>552</v>
      </c>
      <c r="BO38" s="1"/>
      <c r="BP38" s="1"/>
      <c r="BW38" s="380" t="s">
        <v>0</v>
      </c>
      <c r="BX38"/>
      <c r="BY38"/>
      <c r="BZ38"/>
    </row>
    <row r="39" spans="12:88" x14ac:dyDescent="0.25">
      <c r="M39" s="22" t="s">
        <v>626</v>
      </c>
      <c r="N39" s="22">
        <v>2023</v>
      </c>
      <c r="O39" s="262">
        <v>587.55750824736049</v>
      </c>
      <c r="BL39" s="320" t="str">
        <v>FTE-FUEL-DSL-CAM3</v>
      </c>
      <c r="BM39" s="853">
        <f t="shared" si="2"/>
        <v>0.12476190476190477</v>
      </c>
      <c r="BN39" s="249" t="s">
        <v>552</v>
      </c>
      <c r="BO39" s="1"/>
      <c r="BP39" s="1"/>
      <c r="BW39" s="461" t="s">
        <v>11</v>
      </c>
      <c r="BX39" s="461" t="s">
        <v>13</v>
      </c>
      <c r="BY39" s="461" t="s">
        <v>777</v>
      </c>
      <c r="BZ39"/>
    </row>
    <row r="40" spans="12:88" x14ac:dyDescent="0.25">
      <c r="M40" s="22" t="s">
        <v>626</v>
      </c>
      <c r="N40" s="22">
        <v>2025</v>
      </c>
      <c r="O40" s="262">
        <v>494.42471335568871</v>
      </c>
      <c r="BL40" s="320" t="str">
        <v>FTE-FUEL-DSL-CAM4</v>
      </c>
      <c r="BM40" s="853">
        <f t="shared" si="2"/>
        <v>0.12476190476190477</v>
      </c>
      <c r="BN40" s="249" t="s">
        <v>552</v>
      </c>
      <c r="BO40" s="1"/>
      <c r="BP40" s="1"/>
      <c r="BW40" t="str" cm="1">
        <f t="array" ref="BW40:BW44">+_xlfn.ANCHORARRAY(BW27)</f>
        <v>COMPRA-ELC-COL-CAM2</v>
      </c>
      <c r="BX40" t="str" cm="1">
        <f t="array" ref="BX40:BX44">+CZ23:CZ27</f>
        <v>CO2e-CAM2</v>
      </c>
      <c r="BY40" s="122">
        <f>+'3. Scope3'!$G$19</f>
        <v>46.111111111111114</v>
      </c>
      <c r="BZ40"/>
    </row>
    <row r="41" spans="12:88" x14ac:dyDescent="0.25">
      <c r="M41" s="22" t="s">
        <v>626</v>
      </c>
      <c r="N41" s="22">
        <v>2027</v>
      </c>
      <c r="O41" s="262">
        <v>420.57125502833946</v>
      </c>
      <c r="BL41" s="320" t="str">
        <v>FTE-FUEL-DSL-CAM5</v>
      </c>
      <c r="BM41" s="853">
        <f t="shared" si="2"/>
        <v>0.12476190476190477</v>
      </c>
      <c r="BN41" s="249" t="s">
        <v>552</v>
      </c>
      <c r="BO41" s="1"/>
      <c r="BP41" s="1"/>
      <c r="BW41" t="str">
        <v>COMPRA-ELC-COL-CAM3</v>
      </c>
      <c r="BX41" t="str">
        <v>CO2e-CAM3</v>
      </c>
      <c r="BY41" s="122">
        <f>+'3. Scope3'!$G$19</f>
        <v>46.111111111111114</v>
      </c>
      <c r="BZ41"/>
    </row>
    <row r="42" spans="12:88" x14ac:dyDescent="0.25">
      <c r="M42" s="22" t="s">
        <v>626</v>
      </c>
      <c r="N42" s="22">
        <v>2030</v>
      </c>
      <c r="O42" s="262">
        <v>309.7910675373156</v>
      </c>
      <c r="BK42" s="1"/>
      <c r="BL42" s="320" t="str">
        <v>FTE-FUEL-DSL-CAM6</v>
      </c>
      <c r="BM42" s="853">
        <f t="shared" si="2"/>
        <v>0.12476190476190477</v>
      </c>
      <c r="BN42" s="249" t="s">
        <v>552</v>
      </c>
      <c r="BO42" s="1"/>
      <c r="BP42" s="1"/>
      <c r="BW42" t="str">
        <v>COMPRA-ELC-COL-CAM4</v>
      </c>
      <c r="BX42" t="str">
        <v>CO2e-CAM4</v>
      </c>
      <c r="BY42" s="122">
        <f>+'3. Scope3'!$G$19</f>
        <v>46.111111111111114</v>
      </c>
      <c r="BZ42"/>
    </row>
    <row r="43" spans="12:88" x14ac:dyDescent="0.25">
      <c r="M43" s="22" t="s">
        <v>626</v>
      </c>
      <c r="N43" s="22">
        <v>2033</v>
      </c>
      <c r="O43" s="262">
        <v>257.83201320744161</v>
      </c>
      <c r="BK43" s="1"/>
      <c r="BL43" s="320" t="str">
        <v>FTE-FUEL-DSL-CAM7</v>
      </c>
      <c r="BM43" s="853">
        <f t="shared" si="2"/>
        <v>0.12476190476190477</v>
      </c>
      <c r="BN43" s="249" t="s">
        <v>552</v>
      </c>
      <c r="BO43" s="1"/>
      <c r="BP43" s="1"/>
      <c r="BW43" t="str">
        <v>COMPRA-ELC-COL-CAM5</v>
      </c>
      <c r="BX43" t="str">
        <v>CO2e-CAM5</v>
      </c>
      <c r="BY43" s="122">
        <f>+'3. Scope3'!$G$19</f>
        <v>46.111111111111114</v>
      </c>
      <c r="BZ43"/>
    </row>
    <row r="44" spans="12:88" x14ac:dyDescent="0.25">
      <c r="M44" s="22" t="s">
        <v>626</v>
      </c>
      <c r="N44" s="22">
        <v>2035</v>
      </c>
      <c r="O44" s="262">
        <v>218.66172919585773</v>
      </c>
      <c r="BK44" s="1"/>
      <c r="BL44" s="320" t="str">
        <v>FTE-FUEL-OIL-CAM1</v>
      </c>
      <c r="BM44" s="853">
        <f t="shared" si="2"/>
        <v>0.12476190476190477</v>
      </c>
      <c r="BN44" s="249" t="s">
        <v>552</v>
      </c>
      <c r="BO44" s="1"/>
      <c r="BP44" s="1"/>
      <c r="BW44" t="str">
        <v>COMPRA-ELC-COL-CAM6</v>
      </c>
      <c r="BX44" t="str">
        <v>CO2e-CAM6</v>
      </c>
      <c r="BY44" s="122">
        <f>+'3. Scope3'!$G$19</f>
        <v>46.111111111111114</v>
      </c>
      <c r="BZ44"/>
    </row>
    <row r="45" spans="12:88" x14ac:dyDescent="0.25">
      <c r="M45" s="22" t="s">
        <v>626</v>
      </c>
      <c r="N45" s="22">
        <v>2037</v>
      </c>
      <c r="O45" s="262">
        <v>182.14935775491111</v>
      </c>
      <c r="AZ45" s="678" t="s">
        <v>527</v>
      </c>
      <c r="BK45" s="1"/>
      <c r="BL45" s="320" t="str">
        <v>FTE-FUEL-OIL-CAM2</v>
      </c>
      <c r="BM45" s="853">
        <f t="shared" si="2"/>
        <v>0.12476190476190477</v>
      </c>
      <c r="BN45" s="249" t="s">
        <v>552</v>
      </c>
      <c r="BO45" s="1"/>
      <c r="BP45" s="1"/>
      <c r="BW45"/>
      <c r="BX45"/>
      <c r="BY45" s="122"/>
      <c r="BZ45"/>
    </row>
    <row r="46" spans="12:88" x14ac:dyDescent="0.25">
      <c r="M46" s="22" t="s">
        <v>626</v>
      </c>
      <c r="N46" s="22">
        <v>2040</v>
      </c>
      <c r="O46" s="262">
        <v>127.3982825137665</v>
      </c>
      <c r="AZ46" s="461" t="s">
        <v>2</v>
      </c>
      <c r="BA46" s="841" t="str">
        <f>+BB9</f>
        <v>FUEL-GAS-CAM1</v>
      </c>
      <c r="BB46" s="461" t="str">
        <f>+BB16</f>
        <v>FUEL-DSL-CAM1</v>
      </c>
      <c r="BC46" s="677" t="str">
        <f>+BB23</f>
        <v>FUEL-OIL-CAM1</v>
      </c>
      <c r="BH46" t="s">
        <v>1081</v>
      </c>
      <c r="BK46" s="1"/>
      <c r="BL46" s="320" t="str">
        <v>FTE-FUEL-OIL-CAM3</v>
      </c>
      <c r="BM46" s="853">
        <f t="shared" si="2"/>
        <v>0.12476190476190477</v>
      </c>
      <c r="BN46" s="249" t="s">
        <v>552</v>
      </c>
      <c r="BO46" s="1"/>
      <c r="BP46" s="1"/>
      <c r="BW46"/>
      <c r="BX46"/>
      <c r="BY46" s="122"/>
      <c r="BZ46"/>
    </row>
    <row r="47" spans="12:88" x14ac:dyDescent="0.25">
      <c r="M47" s="22" t="s">
        <v>626</v>
      </c>
      <c r="N47" s="22">
        <v>2043</v>
      </c>
      <c r="O47" s="262">
        <v>81.49849118140061</v>
      </c>
      <c r="AZ47" t="str">
        <f>+COMM!AK20</f>
        <v>CO2e-CAM1</v>
      </c>
      <c r="BA47" s="353">
        <f>+BH47</f>
        <v>55.539114956987063</v>
      </c>
      <c r="BB47" s="122">
        <f>+BH51</f>
        <v>75.166375708662926</v>
      </c>
      <c r="BC47" s="122">
        <f>+BH48</f>
        <v>77.841777688967127</v>
      </c>
      <c r="BG47" t="s">
        <v>51</v>
      </c>
      <c r="BH47" s="122">
        <f>+'Bases de Cálculo'!G6</f>
        <v>55.539114956987063</v>
      </c>
      <c r="BK47" s="1"/>
      <c r="BL47" s="320" t="str">
        <v>FTE-FUEL-OIL-CAM4</v>
      </c>
      <c r="BM47" s="853">
        <f t="shared" si="2"/>
        <v>0.12476190476190477</v>
      </c>
      <c r="BN47" s="249" t="s">
        <v>552</v>
      </c>
      <c r="BO47" s="1"/>
      <c r="BP47" s="1"/>
    </row>
    <row r="48" spans="12:88" x14ac:dyDescent="0.25">
      <c r="M48" s="22" t="s">
        <v>626</v>
      </c>
      <c r="N48" s="22">
        <v>2045</v>
      </c>
      <c r="O48" s="262">
        <v>70.347634082399537</v>
      </c>
      <c r="BA48" s="323"/>
      <c r="BG48" t="s">
        <v>52</v>
      </c>
      <c r="BH48" s="122">
        <f>+'Bases de Cálculo'!G7</f>
        <v>77.841777688967127</v>
      </c>
      <c r="BK48" s="1"/>
      <c r="BL48" s="320" t="str">
        <v>FTE-FUEL-OIL-CAM5</v>
      </c>
      <c r="BM48" s="853">
        <f t="shared" si="2"/>
        <v>0.12476190476190477</v>
      </c>
      <c r="BN48" s="249" t="s">
        <v>552</v>
      </c>
      <c r="BO48" s="1"/>
      <c r="BP48" s="1"/>
    </row>
    <row r="49" spans="12:68" x14ac:dyDescent="0.25">
      <c r="M49" s="22" t="s">
        <v>626</v>
      </c>
      <c r="N49" s="22">
        <v>2047</v>
      </c>
      <c r="O49" s="262">
        <v>64.244040865995586</v>
      </c>
      <c r="BA49" s="323"/>
      <c r="BG49" t="s">
        <v>67</v>
      </c>
      <c r="BH49" s="122">
        <f>+'Bases de Cálculo'!G7</f>
        <v>77.841777688967127</v>
      </c>
      <c r="BK49" s="1"/>
      <c r="BL49" s="320" t="str">
        <v>FTE-FUEL-OIL-CAM6</v>
      </c>
      <c r="BM49" s="853">
        <f t="shared" si="2"/>
        <v>0.12476190476190477</v>
      </c>
      <c r="BN49" s="249" t="s">
        <v>552</v>
      </c>
      <c r="BO49" s="1"/>
      <c r="BP49" s="1"/>
    </row>
    <row r="50" spans="12:68" x14ac:dyDescent="0.25">
      <c r="M50" s="22" t="s">
        <v>626</v>
      </c>
      <c r="N50" s="22">
        <v>2050</v>
      </c>
      <c r="O50" s="262">
        <v>55.088651041389411</v>
      </c>
      <c r="AZ50" s="678" t="s">
        <v>527</v>
      </c>
      <c r="BA50" s="323"/>
      <c r="BG50" t="s">
        <v>53</v>
      </c>
      <c r="BH50" s="122">
        <f>+'Bases de Cálculo'!G7</f>
        <v>77.841777688967127</v>
      </c>
      <c r="BK50" s="1"/>
      <c r="BL50" s="320" t="str">
        <v>FTE-FUEL-OIL-CAM7</v>
      </c>
      <c r="BM50" s="853">
        <f t="shared" si="2"/>
        <v>0.12476190476190477</v>
      </c>
      <c r="BN50" s="249" t="s">
        <v>552</v>
      </c>
      <c r="BO50" s="1"/>
      <c r="BP50" s="1"/>
    </row>
    <row r="51" spans="12:68" x14ac:dyDescent="0.25">
      <c r="L51" s="22" t="str">
        <f>+PROCESS!N27</f>
        <v>PROF-CAM4</v>
      </c>
      <c r="M51" s="22" t="s">
        <v>626</v>
      </c>
      <c r="N51" s="22">
        <v>2019</v>
      </c>
      <c r="O51" s="262" cm="1">
        <f t="array" ref="O51:O64">+TRANSPOSE('5. Data'!AI102:AV102)</f>
        <v>5.6352908998762912</v>
      </c>
      <c r="AZ51" s="461" t="s">
        <v>2</v>
      </c>
      <c r="BA51" s="841" t="str">
        <f>+BB10</f>
        <v>FUEL-GAS-CAM2</v>
      </c>
      <c r="BB51" s="461" t="str">
        <f>+BB17</f>
        <v>FUEL-DSL-CAM2</v>
      </c>
      <c r="BC51" s="677" t="str">
        <f>+BB24</f>
        <v>FUEL-OIL-CAM2</v>
      </c>
      <c r="BG51" t="s">
        <v>47</v>
      </c>
      <c r="BH51" s="122">
        <f>+'Bases de Cálculo'!G11</f>
        <v>75.166375708662926</v>
      </c>
      <c r="BK51" s="1"/>
      <c r="BL51" s="1"/>
      <c r="BM51" s="1"/>
      <c r="BN51" s="1"/>
      <c r="BO51" s="1"/>
      <c r="BP51" s="1"/>
    </row>
    <row r="52" spans="12:68" x14ac:dyDescent="0.25">
      <c r="M52" s="22" t="s">
        <v>626</v>
      </c>
      <c r="N52" s="22">
        <v>2020</v>
      </c>
      <c r="O52" s="262">
        <v>5.3251450871105153</v>
      </c>
      <c r="AZ52" s="22" t="str">
        <f>+V26</f>
        <v>CO2e-CAM2</v>
      </c>
      <c r="BA52" s="842">
        <f>+BA47</f>
        <v>55.539114956987063</v>
      </c>
      <c r="BB52" s="676">
        <f>+BB47</f>
        <v>75.166375708662926</v>
      </c>
      <c r="BC52" s="412">
        <f>+BC47</f>
        <v>77.841777688967127</v>
      </c>
      <c r="BK52" s="1"/>
      <c r="BL52" s="1"/>
      <c r="BM52" s="1"/>
      <c r="BN52" s="1"/>
      <c r="BO52" s="1"/>
      <c r="BP52" s="1"/>
    </row>
    <row r="53" spans="12:68" x14ac:dyDescent="0.25">
      <c r="M53" s="22" t="s">
        <v>626</v>
      </c>
      <c r="N53" s="22">
        <v>2023</v>
      </c>
      <c r="O53" s="262">
        <v>4.6229281525464918</v>
      </c>
      <c r="BA53" s="323"/>
      <c r="BB53" s="1"/>
      <c r="BC53" s="1"/>
      <c r="BK53" s="1"/>
      <c r="BL53" s="1"/>
      <c r="BM53" s="1"/>
      <c r="BN53" s="1"/>
      <c r="BO53" s="1"/>
      <c r="BP53" s="1"/>
    </row>
    <row r="54" spans="12:68" x14ac:dyDescent="0.25">
      <c r="M54" s="22" t="s">
        <v>626</v>
      </c>
      <c r="N54" s="22">
        <v>2025</v>
      </c>
      <c r="O54" s="262">
        <v>4.1547835295038089</v>
      </c>
      <c r="AZ54" s="678" t="s">
        <v>527</v>
      </c>
      <c r="BA54" s="323"/>
      <c r="BK54" s="1"/>
      <c r="BL54" s="1"/>
      <c r="BM54" s="1"/>
      <c r="BN54" s="1"/>
      <c r="BO54" s="1"/>
      <c r="BP54" s="1"/>
    </row>
    <row r="55" spans="12:68" x14ac:dyDescent="0.25">
      <c r="M55" s="22" t="s">
        <v>626</v>
      </c>
      <c r="N55" s="22">
        <v>2027</v>
      </c>
      <c r="O55" s="262">
        <v>3.4993810572440527</v>
      </c>
      <c r="AZ55" s="461" t="s">
        <v>2</v>
      </c>
      <c r="BA55" s="841" t="str">
        <f>+BB11</f>
        <v>FUEL-GAS-CAM3</v>
      </c>
      <c r="BB55" s="461" t="str">
        <f>+BB18</f>
        <v>FUEL-DSL-CAM3</v>
      </c>
      <c r="BC55" s="677" t="str">
        <f>+BB25</f>
        <v>FUEL-OIL-CAM3</v>
      </c>
      <c r="BK55" s="1"/>
      <c r="BL55" s="1"/>
      <c r="BM55" s="1"/>
      <c r="BN55" s="1"/>
      <c r="BO55" s="1"/>
      <c r="BP55" s="1"/>
    </row>
    <row r="56" spans="12:68" x14ac:dyDescent="0.25">
      <c r="M56" s="22" t="s">
        <v>626</v>
      </c>
      <c r="N56" s="22">
        <v>2030</v>
      </c>
      <c r="O56" s="262">
        <v>2.5162773488544192</v>
      </c>
      <c r="AZ56" s="22" t="str">
        <f>+V27</f>
        <v>CO2e-CAM3</v>
      </c>
      <c r="BA56" s="842">
        <f>+BA47</f>
        <v>55.539114956987063</v>
      </c>
      <c r="BB56" s="676">
        <f>+BB47</f>
        <v>75.166375708662926</v>
      </c>
      <c r="BC56" s="412">
        <f>+BC47</f>
        <v>77.841777688967127</v>
      </c>
      <c r="BK56" s="1"/>
      <c r="BL56" s="1"/>
      <c r="BM56" s="1"/>
      <c r="BN56" s="1"/>
      <c r="BO56" s="1"/>
      <c r="BP56" s="1"/>
    </row>
    <row r="57" spans="12:68" x14ac:dyDescent="0.25">
      <c r="M57" s="22" t="s">
        <v>626</v>
      </c>
      <c r="N57" s="22">
        <v>2033</v>
      </c>
      <c r="O57" s="262">
        <v>2.0247254946596041</v>
      </c>
      <c r="BA57" s="323"/>
      <c r="BB57" s="1"/>
      <c r="BC57" s="1"/>
      <c r="BK57" s="1"/>
      <c r="BL57" s="1"/>
      <c r="BM57" s="1"/>
      <c r="BN57" s="1"/>
      <c r="BO57" s="1"/>
      <c r="BP57" s="1"/>
    </row>
    <row r="58" spans="12:68" x14ac:dyDescent="0.25">
      <c r="M58" s="22" t="s">
        <v>626</v>
      </c>
      <c r="N58" s="22">
        <v>2035</v>
      </c>
      <c r="O58" s="262">
        <v>1.6970242585297266</v>
      </c>
      <c r="AZ58" s="678" t="s">
        <v>527</v>
      </c>
      <c r="BA58" s="323"/>
      <c r="BK58" s="1"/>
      <c r="BL58" s="1"/>
      <c r="BM58" s="1"/>
      <c r="BN58" s="1"/>
      <c r="BO58" s="1"/>
      <c r="BP58" s="1"/>
    </row>
    <row r="59" spans="12:68" x14ac:dyDescent="0.25">
      <c r="M59" s="22" t="s">
        <v>626</v>
      </c>
      <c r="N59" s="22">
        <v>2037</v>
      </c>
      <c r="O59" s="262">
        <v>1.4629519470083854</v>
      </c>
      <c r="AZ59" s="461" t="s">
        <v>2</v>
      </c>
      <c r="BA59" s="841" t="str">
        <f>+BB12</f>
        <v>FUEL-GAS-CAM4</v>
      </c>
      <c r="BB59" s="461" t="str">
        <f>+BB19</f>
        <v>FUEL-DSL-CAM4</v>
      </c>
      <c r="BC59" s="677" t="str">
        <f>+BB26</f>
        <v>FUEL-OIL-CAM4</v>
      </c>
      <c r="BI59" s="1"/>
      <c r="BJ59" s="1"/>
      <c r="BK59" s="1"/>
      <c r="BL59" s="1"/>
      <c r="BM59" s="1"/>
      <c r="BN59" s="1"/>
      <c r="BO59" s="1"/>
      <c r="BP59" s="1"/>
    </row>
    <row r="60" spans="12:68" x14ac:dyDescent="0.25">
      <c r="M60" s="22" t="s">
        <v>626</v>
      </c>
      <c r="N60" s="22">
        <v>2040</v>
      </c>
      <c r="O60" s="262">
        <v>1.1118434797263739</v>
      </c>
      <c r="AZ60" s="22" t="str">
        <f>+V28</f>
        <v>CO2e-CAM4</v>
      </c>
      <c r="BA60" s="842">
        <f>+BA47</f>
        <v>55.539114956987063</v>
      </c>
      <c r="BB60" s="676">
        <f>+BB47</f>
        <v>75.166375708662926</v>
      </c>
      <c r="BC60" s="412">
        <f>+BC47</f>
        <v>77.841777688967127</v>
      </c>
      <c r="BI60" s="1"/>
      <c r="BJ60" s="1"/>
      <c r="BK60" s="1"/>
      <c r="BL60" s="1"/>
      <c r="BM60" s="1"/>
      <c r="BN60" s="1"/>
      <c r="BO60" s="1"/>
      <c r="BP60" s="1"/>
    </row>
    <row r="61" spans="12:68" x14ac:dyDescent="0.25">
      <c r="M61" s="22" t="s">
        <v>626</v>
      </c>
      <c r="N61" s="22">
        <v>2043</v>
      </c>
      <c r="O61" s="262">
        <v>0.99480732396570282</v>
      </c>
      <c r="BA61" s="323"/>
      <c r="BB61" s="1"/>
      <c r="BC61" s="1"/>
      <c r="BI61" s="1"/>
      <c r="BJ61" s="1"/>
      <c r="BK61" s="1"/>
      <c r="BL61" s="1"/>
      <c r="BM61" s="1"/>
      <c r="BN61" s="1"/>
      <c r="BO61" s="1"/>
      <c r="BP61" s="1"/>
    </row>
    <row r="62" spans="12:68" x14ac:dyDescent="0.25">
      <c r="M62" s="22" t="s">
        <v>626</v>
      </c>
      <c r="N62" s="22">
        <v>2045</v>
      </c>
      <c r="O62" s="262">
        <v>0.9167832201252627</v>
      </c>
      <c r="AZ62" s="678" t="s">
        <v>527</v>
      </c>
      <c r="BA62" s="323"/>
      <c r="BI62" s="1"/>
      <c r="BJ62" s="1"/>
      <c r="BL62" s="1"/>
    </row>
    <row r="63" spans="12:68" x14ac:dyDescent="0.25">
      <c r="M63" s="22" t="s">
        <v>626</v>
      </c>
      <c r="N63" s="22">
        <v>2047</v>
      </c>
      <c r="O63" s="262">
        <v>0.83875911628481048</v>
      </c>
      <c r="AZ63" s="461" t="s">
        <v>2</v>
      </c>
      <c r="BA63" s="841" t="str">
        <f>+BB13</f>
        <v>FUEL-GAS-CAM5</v>
      </c>
      <c r="BB63" s="461" t="str">
        <f>+BB20</f>
        <v>FUEL-DSL-CAM5</v>
      </c>
      <c r="BC63" s="677" t="str">
        <f>+BB27</f>
        <v>FUEL-OIL-CAM5</v>
      </c>
      <c r="BI63" s="1"/>
      <c r="BJ63" s="1"/>
      <c r="BL63" s="1"/>
    </row>
    <row r="64" spans="12:68" x14ac:dyDescent="0.25">
      <c r="M64" s="22" t="s">
        <v>626</v>
      </c>
      <c r="N64" s="22">
        <v>2050</v>
      </c>
      <c r="O64" s="262">
        <v>0.72172296052414664</v>
      </c>
      <c r="AZ64" s="22" t="str">
        <f>+V29</f>
        <v>CO2e-CAM5</v>
      </c>
      <c r="BA64" s="842">
        <f>+BA47</f>
        <v>55.539114956987063</v>
      </c>
      <c r="BB64" s="676">
        <f>+BB47</f>
        <v>75.166375708662926</v>
      </c>
      <c r="BC64" s="412">
        <f>+BC47</f>
        <v>77.841777688967127</v>
      </c>
      <c r="BI64" s="1"/>
      <c r="BJ64" s="1"/>
      <c r="BK64" s="1"/>
      <c r="BL64" s="1"/>
    </row>
    <row r="65" spans="12:64" x14ac:dyDescent="0.25">
      <c r="L65" s="22" t="str">
        <f>+PROCESS!N28</f>
        <v>PROF-CAM5</v>
      </c>
      <c r="M65" s="22" t="s">
        <v>626</v>
      </c>
      <c r="N65" s="22">
        <v>2019</v>
      </c>
      <c r="O65" s="262" cm="1">
        <f t="array" ref="O65:O78">+TRANSPOSE('5. Data'!AI103:AV103)</f>
        <v>165.44478873779963</v>
      </c>
      <c r="BA65" s="323"/>
      <c r="BB65" s="1"/>
      <c r="BC65" s="1"/>
      <c r="BI65" s="1"/>
      <c r="BJ65" s="1"/>
      <c r="BK65" s="1"/>
      <c r="BL65" s="1"/>
    </row>
    <row r="66" spans="12:64" x14ac:dyDescent="0.25">
      <c r="M66" s="22" t="s">
        <v>626</v>
      </c>
      <c r="N66" s="22">
        <v>2020</v>
      </c>
      <c r="O66" s="262">
        <v>153.89107121101256</v>
      </c>
      <c r="AZ66" s="678" t="s">
        <v>527</v>
      </c>
      <c r="BA66" s="323"/>
      <c r="BK66" s="1"/>
      <c r="BL66" s="1"/>
    </row>
    <row r="67" spans="12:64" x14ac:dyDescent="0.25">
      <c r="M67" s="22" t="s">
        <v>626</v>
      </c>
      <c r="N67" s="22">
        <v>2023</v>
      </c>
      <c r="O67" s="262">
        <v>117.34515536171116</v>
      </c>
      <c r="AZ67" s="461" t="s">
        <v>2</v>
      </c>
      <c r="BA67" s="841" t="str">
        <f>+BB14</f>
        <v>FUEL-GAS-CAM6</v>
      </c>
      <c r="BB67" s="461" t="str">
        <f>+BB21</f>
        <v>FUEL-DSL-CAM6</v>
      </c>
      <c r="BC67" s="677" t="str">
        <f>+BB28</f>
        <v>FUEL-OIL-CAM6</v>
      </c>
      <c r="BK67" s="1"/>
      <c r="BL67" s="1"/>
    </row>
    <row r="68" spans="12:64" x14ac:dyDescent="0.25">
      <c r="M68" s="22" t="s">
        <v>626</v>
      </c>
      <c r="N68" s="22">
        <v>2025</v>
      </c>
      <c r="O68" s="262">
        <v>91.230677358831571</v>
      </c>
      <c r="AZ68" s="22" t="str">
        <f>+V30</f>
        <v>CO2e-CAM6</v>
      </c>
      <c r="BA68" s="842">
        <f>+BA47</f>
        <v>55.539114956987063</v>
      </c>
      <c r="BB68" s="676">
        <f>+BB47</f>
        <v>75.166375708662926</v>
      </c>
      <c r="BC68" s="412">
        <f>+BC47</f>
        <v>77.841777688967127</v>
      </c>
      <c r="BK68" s="1"/>
      <c r="BL68" s="1"/>
    </row>
    <row r="69" spans="12:64" x14ac:dyDescent="0.25">
      <c r="M69" s="22" t="s">
        <v>626</v>
      </c>
      <c r="N69" s="22">
        <v>2027</v>
      </c>
      <c r="O69" s="262">
        <v>73.19355276753096</v>
      </c>
      <c r="BA69" s="323"/>
    </row>
    <row r="70" spans="12:64" x14ac:dyDescent="0.25">
      <c r="M70" s="22" t="s">
        <v>626</v>
      </c>
      <c r="N70" s="22">
        <v>2030</v>
      </c>
      <c r="O70" s="262">
        <v>46.137865880580037</v>
      </c>
      <c r="BA70" s="323"/>
    </row>
    <row r="71" spans="12:64" x14ac:dyDescent="0.25">
      <c r="M71" s="22" t="s">
        <v>626</v>
      </c>
      <c r="N71" s="22">
        <v>2033</v>
      </c>
      <c r="O71" s="262">
        <v>34.93812928869707</v>
      </c>
      <c r="AZ71" s="678" t="s">
        <v>527</v>
      </c>
      <c r="BA71" s="323"/>
    </row>
    <row r="72" spans="12:64" x14ac:dyDescent="0.25">
      <c r="M72" s="22" t="s">
        <v>626</v>
      </c>
      <c r="N72" s="22">
        <v>2035</v>
      </c>
      <c r="O72" s="262">
        <v>27.471638227441758</v>
      </c>
      <c r="AZ72" s="461" t="s">
        <v>2</v>
      </c>
      <c r="BA72" s="841" t="str">
        <f>+BB15</f>
        <v>FUEL-GAS-CAM7</v>
      </c>
      <c r="BB72" s="461" t="str">
        <f>+BB22</f>
        <v>FUEL-DSL-CAM7</v>
      </c>
      <c r="BC72" s="677" t="str">
        <f>+BB29</f>
        <v>FUEL-OIL-CAM7</v>
      </c>
    </row>
    <row r="73" spans="12:64" x14ac:dyDescent="0.25">
      <c r="M73" s="22" t="s">
        <v>626</v>
      </c>
      <c r="N73" s="22">
        <v>2037</v>
      </c>
      <c r="O73" s="262">
        <v>23.215461459279428</v>
      </c>
      <c r="AZ73" s="22" t="str">
        <f>+COMM!AK26</f>
        <v>CO2e-CAM7</v>
      </c>
      <c r="BA73" s="261">
        <f>+BA47</f>
        <v>55.539114956987063</v>
      </c>
      <c r="BB73" s="676">
        <f>+BB47</f>
        <v>75.166375708662926</v>
      </c>
      <c r="BC73" s="412">
        <f>+BC47</f>
        <v>77.841777688967127</v>
      </c>
    </row>
    <row r="74" spans="12:64" x14ac:dyDescent="0.25">
      <c r="M74" s="22" t="s">
        <v>626</v>
      </c>
      <c r="N74" s="22">
        <v>2040</v>
      </c>
      <c r="O74" s="262">
        <v>16.831196307035714</v>
      </c>
    </row>
    <row r="75" spans="12:64" x14ac:dyDescent="0.25">
      <c r="M75" s="22" t="s">
        <v>626</v>
      </c>
      <c r="N75" s="22">
        <v>2043</v>
      </c>
      <c r="O75" s="262">
        <v>12.14520015893914</v>
      </c>
    </row>
    <row r="76" spans="12:64" x14ac:dyDescent="0.25">
      <c r="M76" s="22" t="s">
        <v>626</v>
      </c>
      <c r="N76" s="22">
        <v>2045</v>
      </c>
      <c r="O76" s="262">
        <v>9.7568222406346106</v>
      </c>
    </row>
    <row r="77" spans="12:64" x14ac:dyDescent="0.25">
      <c r="M77" s="22" t="s">
        <v>626</v>
      </c>
      <c r="N77" s="22">
        <v>2047</v>
      </c>
      <c r="O77" s="262">
        <v>7.7567559465187346</v>
      </c>
    </row>
    <row r="78" spans="12:64" x14ac:dyDescent="0.25">
      <c r="M78" s="22" t="s">
        <v>626</v>
      </c>
      <c r="N78" s="22">
        <v>2050</v>
      </c>
      <c r="O78" s="262">
        <v>5.7455960840757854</v>
      </c>
    </row>
    <row r="79" spans="12:64" x14ac:dyDescent="0.25">
      <c r="L79" s="22" t="str">
        <f>+PROCESS!N29</f>
        <v>PROF-CAM6</v>
      </c>
      <c r="M79" s="22" t="s">
        <v>626</v>
      </c>
      <c r="N79" s="22">
        <v>2019</v>
      </c>
      <c r="O79" s="262" cm="1">
        <f t="array" ref="O79:O92">+TRANSPOSE('5. Data'!AI104:AV104)</f>
        <v>29.863178560112861</v>
      </c>
    </row>
    <row r="80" spans="12:64" x14ac:dyDescent="0.25">
      <c r="M80" s="22" t="s">
        <v>626</v>
      </c>
      <c r="N80" s="22">
        <v>2020</v>
      </c>
      <c r="O80" s="262">
        <v>27.835107673690871</v>
      </c>
    </row>
    <row r="81" spans="12:15" x14ac:dyDescent="0.25">
      <c r="M81" s="22" t="s">
        <v>626</v>
      </c>
      <c r="N81" s="22">
        <v>2023</v>
      </c>
      <c r="O81" s="262">
        <v>23.993658119029163</v>
      </c>
    </row>
    <row r="82" spans="12:15" x14ac:dyDescent="0.25">
      <c r="M82" s="22" t="s">
        <v>626</v>
      </c>
      <c r="N82" s="22">
        <v>2025</v>
      </c>
      <c r="O82" s="262">
        <v>20.274712206938659</v>
      </c>
    </row>
    <row r="83" spans="12:15" x14ac:dyDescent="0.25">
      <c r="M83" s="22" t="s">
        <v>626</v>
      </c>
      <c r="N83" s="22">
        <v>2027</v>
      </c>
      <c r="O83" s="262">
        <v>17.1777557482433</v>
      </c>
    </row>
    <row r="84" spans="12:15" x14ac:dyDescent="0.25">
      <c r="M84" s="22" t="s">
        <v>626</v>
      </c>
      <c r="N84" s="22">
        <v>2030</v>
      </c>
      <c r="O84" s="262">
        <v>12.747595139993381</v>
      </c>
    </row>
    <row r="85" spans="12:15" x14ac:dyDescent="0.25">
      <c r="M85" s="22" t="s">
        <v>626</v>
      </c>
      <c r="N85" s="22">
        <v>2033</v>
      </c>
      <c r="O85" s="262">
        <v>10.454848192395344</v>
      </c>
    </row>
    <row r="86" spans="12:15" x14ac:dyDescent="0.25">
      <c r="M86" s="22" t="s">
        <v>626</v>
      </c>
      <c r="N86" s="22">
        <v>2035</v>
      </c>
      <c r="O86" s="262">
        <v>8.9263502273299657</v>
      </c>
    </row>
    <row r="87" spans="12:15" x14ac:dyDescent="0.25">
      <c r="M87" s="22" t="s">
        <v>626</v>
      </c>
      <c r="N87" s="22">
        <v>2037</v>
      </c>
      <c r="O87" s="262">
        <v>7.8276051073700268</v>
      </c>
    </row>
    <row r="88" spans="12:15" x14ac:dyDescent="0.25">
      <c r="M88" s="22" t="s">
        <v>626</v>
      </c>
      <c r="N88" s="22">
        <v>2040</v>
      </c>
      <c r="O88" s="262">
        <v>6.2430911328234622</v>
      </c>
    </row>
    <row r="89" spans="12:15" x14ac:dyDescent="0.25">
      <c r="M89" s="22" t="s">
        <v>626</v>
      </c>
      <c r="N89" s="22">
        <v>2043</v>
      </c>
      <c r="O89" s="262">
        <v>4.9217966700768256</v>
      </c>
    </row>
    <row r="90" spans="12:15" x14ac:dyDescent="0.25">
      <c r="M90" s="22" t="s">
        <v>626</v>
      </c>
      <c r="N90" s="22">
        <v>2045</v>
      </c>
      <c r="O90" s="262">
        <v>4.3266071106673554</v>
      </c>
    </row>
    <row r="91" spans="12:15" x14ac:dyDescent="0.25">
      <c r="M91" s="22" t="s">
        <v>626</v>
      </c>
      <c r="N91" s="22">
        <v>2047</v>
      </c>
      <c r="O91" s="262">
        <v>3.9981896052775259</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13.805861909055636</v>
      </c>
    </row>
    <row r="94" spans="12:15" x14ac:dyDescent="0.25">
      <c r="M94" s="22" t="s">
        <v>626</v>
      </c>
      <c r="N94" s="22">
        <v>2020</v>
      </c>
      <c r="O94" s="66">
        <v>13.555017760421741</v>
      </c>
    </row>
    <row r="95" spans="12:15" x14ac:dyDescent="0.25">
      <c r="M95" s="22" t="s">
        <v>626</v>
      </c>
      <c r="N95" s="22">
        <v>2023</v>
      </c>
      <c r="O95" s="66">
        <v>13.580367821962039</v>
      </c>
    </row>
    <row r="96" spans="12:15" x14ac:dyDescent="0.25">
      <c r="M96" s="22" t="s">
        <v>626</v>
      </c>
      <c r="N96" s="22">
        <v>2025</v>
      </c>
      <c r="O96" s="66">
        <v>11.513307662146612</v>
      </c>
    </row>
    <row r="97" spans="13:15" x14ac:dyDescent="0.25">
      <c r="M97" s="22" t="s">
        <v>626</v>
      </c>
      <c r="N97" s="22">
        <v>2027</v>
      </c>
      <c r="O97" s="66">
        <v>9.8123614879947141</v>
      </c>
    </row>
    <row r="98" spans="13:15" x14ac:dyDescent="0.25">
      <c r="M98" s="22" t="s">
        <v>626</v>
      </c>
      <c r="N98" s="22">
        <v>2030</v>
      </c>
      <c r="O98" s="66">
        <v>7.6975094726589486</v>
      </c>
    </row>
    <row r="99" spans="13:15" x14ac:dyDescent="0.25">
      <c r="M99" s="22" t="s">
        <v>626</v>
      </c>
      <c r="N99" s="22">
        <v>2033</v>
      </c>
      <c r="O99" s="66">
        <v>6.213889795624481</v>
      </c>
    </row>
    <row r="100" spans="13:15" x14ac:dyDescent="0.25">
      <c r="M100" s="22" t="s">
        <v>626</v>
      </c>
      <c r="N100" s="22">
        <v>2035</v>
      </c>
      <c r="O100" s="66">
        <v>5.3187837596252985</v>
      </c>
    </row>
    <row r="101" spans="13:15" x14ac:dyDescent="0.25">
      <c r="M101" s="22" t="s">
        <v>626</v>
      </c>
      <c r="N101" s="22">
        <v>2037</v>
      </c>
      <c r="O101" s="66">
        <v>4.5635467610294596</v>
      </c>
    </row>
    <row r="102" spans="13:15" x14ac:dyDescent="0.25">
      <c r="M102" s="22" t="s">
        <v>626</v>
      </c>
      <c r="N102" s="22">
        <v>2040</v>
      </c>
      <c r="O102" s="66">
        <v>3.6682050453013875</v>
      </c>
    </row>
    <row r="103" spans="13:15" x14ac:dyDescent="0.25">
      <c r="M103" s="22" t="s">
        <v>626</v>
      </c>
      <c r="N103" s="22">
        <v>2043</v>
      </c>
      <c r="O103" s="66">
        <v>2.8293262902704885</v>
      </c>
    </row>
    <row r="104" spans="13:15" x14ac:dyDescent="0.25">
      <c r="M104" s="22" t="s">
        <v>626</v>
      </c>
      <c r="N104" s="22">
        <v>2045</v>
      </c>
      <c r="O104" s="66">
        <v>2.286975390331242</v>
      </c>
    </row>
    <row r="105" spans="13:15" x14ac:dyDescent="0.25">
      <c r="M105" s="22" t="s">
        <v>626</v>
      </c>
      <c r="N105" s="22">
        <v>2047</v>
      </c>
      <c r="O105" s="66">
        <v>1.7612347432495417</v>
      </c>
    </row>
    <row r="106" spans="13:15" x14ac:dyDescent="0.25">
      <c r="M106" s="22" t="s">
        <v>626</v>
      </c>
      <c r="N106" s="22">
        <v>2050</v>
      </c>
      <c r="O106" s="66">
        <v>0.97262377262695476</v>
      </c>
    </row>
    <row r="130" spans="14:15" x14ac:dyDescent="0.25">
      <c r="N130" s="292"/>
      <c r="O130" s="292" t="s">
        <v>1186</v>
      </c>
    </row>
  </sheetData>
  <mergeCells count="7">
    <mergeCell ref="BL5:BR5"/>
    <mergeCell ref="C3:H3"/>
    <mergeCell ref="AE3:AK3"/>
    <mergeCell ref="AO3:AV3"/>
    <mergeCell ref="CO3:CU3"/>
    <mergeCell ref="L3:W3"/>
    <mergeCell ref="BW3:CJ3"/>
  </mergeCells>
  <pageMargins left="0.7" right="0.7" top="0.75" bottom="0.75" header="0.3" footer="0.3"/>
  <pageSetup paperSize="9" orientation="portrait" r:id="rId1"/>
  <ignoredErrors>
    <ignoredError sqref="S11:S18 CG11:CG16 CQ10:CQ20 BY11:BY18"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topLeftCell="G1" zoomScale="130" zoomScaleNormal="130" workbookViewId="0">
      <selection activeCell="G9" sqref="G9"/>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63"/>
      <c r="I4" s="764"/>
      <c r="J4" s="764"/>
      <c r="K4" s="764"/>
      <c r="L4" s="764"/>
      <c r="M4" s="764"/>
      <c r="N4" s="765"/>
      <c r="P4" s="763"/>
      <c r="Q4" s="764"/>
      <c r="R4" s="764"/>
      <c r="S4" s="764"/>
      <c r="T4" s="764"/>
      <c r="U4" s="764"/>
      <c r="V4" s="765"/>
    </row>
    <row r="5" spans="3:38" x14ac:dyDescent="0.25">
      <c r="H5" s="766"/>
      <c r="N5" s="767"/>
      <c r="P5" s="766"/>
      <c r="V5" s="767"/>
      <c r="AG5"/>
      <c r="AH5"/>
      <c r="AI5"/>
      <c r="AJ5"/>
      <c r="AK5"/>
      <c r="AL5"/>
    </row>
    <row r="6" spans="3:38" x14ac:dyDescent="0.25">
      <c r="H6" s="766"/>
      <c r="J6" s="896" t="s">
        <v>1187</v>
      </c>
      <c r="K6" s="897"/>
      <c r="L6" s="898"/>
      <c r="M6" s="762" t="s">
        <v>1188</v>
      </c>
      <c r="N6" s="767"/>
      <c r="P6" s="766"/>
      <c r="R6" s="896" t="s">
        <v>1189</v>
      </c>
      <c r="S6" s="897"/>
      <c r="T6" s="898"/>
      <c r="U6" s="762" t="s">
        <v>1190</v>
      </c>
      <c r="V6" s="767"/>
      <c r="AG6"/>
      <c r="AH6"/>
      <c r="AI6"/>
      <c r="AJ6"/>
      <c r="AK6"/>
      <c r="AL6"/>
    </row>
    <row r="7" spans="3:38" ht="25.5" x14ac:dyDescent="0.25">
      <c r="D7" s="768" t="s">
        <v>1191</v>
      </c>
      <c r="E7" s="769" t="s">
        <v>1192</v>
      </c>
      <c r="F7" s="770" t="s">
        <v>1188</v>
      </c>
      <c r="H7" s="766"/>
      <c r="I7" s="540"/>
      <c r="J7" s="771" t="s">
        <v>1193</v>
      </c>
      <c r="K7" s="772" t="s">
        <v>1194</v>
      </c>
      <c r="L7" s="773" t="s">
        <v>575</v>
      </c>
      <c r="M7" s="774" t="s">
        <v>575</v>
      </c>
      <c r="N7" s="767"/>
      <c r="P7" s="766"/>
      <c r="Q7" s="540"/>
      <c r="R7" s="771" t="s">
        <v>1193</v>
      </c>
      <c r="S7" s="772" t="s">
        <v>1194</v>
      </c>
      <c r="T7" s="773" t="s">
        <v>575</v>
      </c>
      <c r="U7" s="774" t="s">
        <v>575</v>
      </c>
      <c r="V7" s="767"/>
      <c r="AF7"/>
      <c r="AG7"/>
      <c r="AH7"/>
      <c r="AI7"/>
      <c r="AJ7"/>
      <c r="AK7"/>
      <c r="AL7"/>
    </row>
    <row r="8" spans="3:38" x14ac:dyDescent="0.25">
      <c r="C8" s="775" t="s">
        <v>1195</v>
      </c>
      <c r="D8" s="776">
        <f>+D9+D10+D11</f>
        <v>38.799999999999997</v>
      </c>
      <c r="E8" s="777"/>
      <c r="F8" s="778"/>
      <c r="H8" s="766"/>
      <c r="I8" s="779" t="s">
        <v>1196</v>
      </c>
      <c r="J8" s="780">
        <f>+SUM(J9:J11)</f>
        <v>16.216999999999999</v>
      </c>
      <c r="K8" s="781">
        <f>+SUM(K9:K11)</f>
        <v>22.582999999999998</v>
      </c>
      <c r="L8" s="782">
        <f>+SUM(L9:L11)</f>
        <v>38.799999999999997</v>
      </c>
      <c r="M8" s="783">
        <f>+SUM(M9:M12)</f>
        <v>1.9</v>
      </c>
      <c r="N8" s="767"/>
      <c r="P8" s="766"/>
      <c r="Q8" s="779" t="s">
        <v>1196</v>
      </c>
      <c r="R8" s="780">
        <f>+J8/1000</f>
        <v>1.6216999999999999E-2</v>
      </c>
      <c r="S8" s="781">
        <f t="shared" ref="R8:T11" si="0">+K8/1000</f>
        <v>2.2582999999999999E-2</v>
      </c>
      <c r="T8" s="781">
        <f t="shared" si="0"/>
        <v>3.8799999999999994E-2</v>
      </c>
      <c r="U8" s="783">
        <f>+M8*(1/1000)*1000</f>
        <v>1.9</v>
      </c>
      <c r="V8" s="767"/>
      <c r="AF8"/>
      <c r="AG8"/>
      <c r="AH8"/>
      <c r="AI8"/>
      <c r="AJ8"/>
      <c r="AK8"/>
      <c r="AL8"/>
    </row>
    <row r="9" spans="3:38" x14ac:dyDescent="0.25">
      <c r="C9" s="784" t="s">
        <v>1197</v>
      </c>
      <c r="D9" s="785">
        <v>14.3</v>
      </c>
      <c r="E9" s="680">
        <v>0.74</v>
      </c>
      <c r="F9" s="786">
        <v>0.3</v>
      </c>
      <c r="H9" s="766"/>
      <c r="I9" s="787" t="s">
        <v>1197</v>
      </c>
      <c r="J9" s="788">
        <f>+D9*E9</f>
        <v>10.582000000000001</v>
      </c>
      <c r="K9" s="16">
        <f>+D9-J9</f>
        <v>3.718</v>
      </c>
      <c r="L9" s="16">
        <f>+J9+K9</f>
        <v>14.3</v>
      </c>
      <c r="M9" s="789">
        <v>0.3</v>
      </c>
      <c r="N9" s="767"/>
      <c r="P9" s="766"/>
      <c r="Q9" s="787" t="s">
        <v>1197</v>
      </c>
      <c r="R9" s="788">
        <f t="shared" si="0"/>
        <v>1.0582000000000001E-2</v>
      </c>
      <c r="S9" s="16">
        <f t="shared" si="0"/>
        <v>3.718E-3</v>
      </c>
      <c r="T9" s="16">
        <f>+L9/1000</f>
        <v>1.43E-2</v>
      </c>
      <c r="U9" s="789">
        <f t="shared" ref="U9:U12" si="1">+M9*(1/1000)*1000</f>
        <v>0.3</v>
      </c>
      <c r="V9" s="767"/>
      <c r="AF9"/>
      <c r="AG9"/>
      <c r="AH9"/>
      <c r="AI9"/>
      <c r="AJ9"/>
      <c r="AK9"/>
      <c r="AL9"/>
    </row>
    <row r="10" spans="3:38" x14ac:dyDescent="0.25">
      <c r="C10" s="784" t="s">
        <v>1198</v>
      </c>
      <c r="D10" s="785">
        <v>5.3</v>
      </c>
      <c r="E10" s="680">
        <v>0.23</v>
      </c>
      <c r="F10" s="786">
        <v>0.4</v>
      </c>
      <c r="H10" s="766"/>
      <c r="I10" s="787" t="s">
        <v>1199</v>
      </c>
      <c r="J10" s="788">
        <f>+D10*E10</f>
        <v>1.2190000000000001</v>
      </c>
      <c r="K10" s="16">
        <f>+D10-J10</f>
        <v>4.0809999999999995</v>
      </c>
      <c r="L10" s="16">
        <f>+J10+K10</f>
        <v>5.3</v>
      </c>
      <c r="M10" s="789">
        <v>0.4</v>
      </c>
      <c r="N10" s="767"/>
      <c r="P10" s="766"/>
      <c r="Q10" s="787" t="s">
        <v>1199</v>
      </c>
      <c r="R10" s="788">
        <f t="shared" si="0"/>
        <v>1.219E-3</v>
      </c>
      <c r="S10" s="16">
        <f t="shared" si="0"/>
        <v>4.0809999999999996E-3</v>
      </c>
      <c r="T10" s="16">
        <f>+L10/1000</f>
        <v>5.3E-3</v>
      </c>
      <c r="U10" s="789">
        <f t="shared" si="1"/>
        <v>0.4</v>
      </c>
      <c r="V10" s="767"/>
      <c r="AF10"/>
      <c r="AG10"/>
      <c r="AH10"/>
      <c r="AI10"/>
      <c r="AJ10"/>
      <c r="AK10"/>
      <c r="AL10"/>
    </row>
    <row r="11" spans="3:38" x14ac:dyDescent="0.25">
      <c r="C11" s="784" t="s">
        <v>1200</v>
      </c>
      <c r="D11" s="785">
        <v>19.2</v>
      </c>
      <c r="E11" s="680">
        <v>0.23</v>
      </c>
      <c r="F11" s="786">
        <v>0.5</v>
      </c>
      <c r="H11" s="766"/>
      <c r="I11" s="790" t="s">
        <v>1200</v>
      </c>
      <c r="J11" s="788">
        <f>+D11*E11</f>
        <v>4.4160000000000004</v>
      </c>
      <c r="K11" s="16">
        <f>+D11-J11</f>
        <v>14.783999999999999</v>
      </c>
      <c r="L11" s="16">
        <f>+J11+K11</f>
        <v>19.2</v>
      </c>
      <c r="M11" s="789">
        <v>0.5</v>
      </c>
      <c r="N11" s="767"/>
      <c r="P11" s="766"/>
      <c r="Q11" s="790" t="s">
        <v>1200</v>
      </c>
      <c r="R11" s="788">
        <f t="shared" si="0"/>
        <v>4.4160000000000007E-3</v>
      </c>
      <c r="S11" s="16">
        <f t="shared" si="0"/>
        <v>1.4783999999999999E-2</v>
      </c>
      <c r="T11" s="16">
        <f t="shared" si="0"/>
        <v>1.9199999999999998E-2</v>
      </c>
      <c r="U11" s="789">
        <f t="shared" si="1"/>
        <v>0.5</v>
      </c>
      <c r="V11" s="767"/>
      <c r="AF11"/>
      <c r="AG11"/>
      <c r="AH11"/>
      <c r="AI11"/>
      <c r="AJ11"/>
      <c r="AK11"/>
      <c r="AL11"/>
    </row>
    <row r="12" spans="3:38" x14ac:dyDescent="0.25">
      <c r="C12" s="791" t="s">
        <v>1201</v>
      </c>
      <c r="D12" s="792">
        <v>16.100000000000001</v>
      </c>
      <c r="E12" s="793">
        <f>+SUMPRODUCT(D9:D11,E9:E11)</f>
        <v>16.216999999999999</v>
      </c>
      <c r="F12" s="794">
        <v>0.7</v>
      </c>
      <c r="H12" s="766"/>
      <c r="I12" s="795" t="s">
        <v>1202</v>
      </c>
      <c r="J12" s="796">
        <f>+J8</f>
        <v>16.216999999999999</v>
      </c>
      <c r="K12" s="404"/>
      <c r="L12" s="797"/>
      <c r="M12" s="798">
        <v>0.7</v>
      </c>
      <c r="N12" s="767"/>
      <c r="P12" s="766"/>
      <c r="Q12" s="795" t="s">
        <v>1202</v>
      </c>
      <c r="R12" s="796">
        <f>+R8</f>
        <v>1.6216999999999999E-2</v>
      </c>
      <c r="S12" s="404"/>
      <c r="T12" s="797"/>
      <c r="U12" s="798">
        <f t="shared" si="1"/>
        <v>0.7</v>
      </c>
      <c r="V12" s="767"/>
      <c r="AF12"/>
      <c r="AG12"/>
      <c r="AH12"/>
      <c r="AI12"/>
      <c r="AJ12"/>
      <c r="AK12"/>
      <c r="AL12"/>
    </row>
    <row r="13" spans="3:38" x14ac:dyDescent="0.25">
      <c r="D13" s="761" t="s">
        <v>1191</v>
      </c>
      <c r="E13" s="799" t="s">
        <v>1192</v>
      </c>
      <c r="F13" s="800" t="s">
        <v>1188</v>
      </c>
      <c r="H13" s="766"/>
      <c r="N13" s="767"/>
      <c r="P13" s="766"/>
      <c r="V13" s="767"/>
      <c r="AF13"/>
      <c r="AG13"/>
      <c r="AH13"/>
      <c r="AI13"/>
      <c r="AJ13"/>
      <c r="AK13"/>
      <c r="AL13"/>
    </row>
    <row r="14" spans="3:38" x14ac:dyDescent="0.25">
      <c r="C14" s="770" t="s">
        <v>1203</v>
      </c>
      <c r="D14" s="801">
        <v>4</v>
      </c>
      <c r="F14" s="802">
        <v>0.3</v>
      </c>
      <c r="H14" s="766"/>
      <c r="N14" s="767"/>
      <c r="P14" s="766"/>
      <c r="V14" s="767"/>
      <c r="AF14"/>
      <c r="AG14"/>
      <c r="AH14"/>
      <c r="AI14"/>
      <c r="AJ14"/>
      <c r="AK14"/>
      <c r="AL14"/>
    </row>
    <row r="15" spans="3:38" x14ac:dyDescent="0.25">
      <c r="C15" s="789" t="s">
        <v>1072</v>
      </c>
      <c r="D15" s="785">
        <v>4.5999999999999996</v>
      </c>
      <c r="E15" s="680">
        <v>1</v>
      </c>
      <c r="F15" s="786">
        <v>0.3</v>
      </c>
      <c r="H15" s="766"/>
      <c r="N15" s="767"/>
      <c r="O15" s="51"/>
      <c r="P15" s="766"/>
      <c r="V15" s="767"/>
      <c r="AF15"/>
      <c r="AG15"/>
      <c r="AH15"/>
      <c r="AI15"/>
      <c r="AJ15"/>
      <c r="AK15"/>
      <c r="AL15"/>
    </row>
    <row r="16" spans="3:38" x14ac:dyDescent="0.25">
      <c r="C16" s="789" t="s">
        <v>1073</v>
      </c>
      <c r="D16" s="785">
        <v>3.9</v>
      </c>
      <c r="E16" s="680">
        <v>1</v>
      </c>
      <c r="F16" s="786">
        <v>0.3</v>
      </c>
      <c r="H16" s="766"/>
      <c r="J16" s="803" t="s">
        <v>1187</v>
      </c>
      <c r="K16" s="762" t="s">
        <v>1188</v>
      </c>
      <c r="N16" s="767"/>
      <c r="P16" s="766"/>
      <c r="R16" s="803" t="s">
        <v>1189</v>
      </c>
      <c r="S16" s="762" t="s">
        <v>1188</v>
      </c>
      <c r="V16" s="767"/>
      <c r="AF16"/>
      <c r="AG16"/>
      <c r="AH16"/>
      <c r="AI16"/>
      <c r="AJ16"/>
      <c r="AK16"/>
      <c r="AL16"/>
    </row>
    <row r="17" spans="3:38" x14ac:dyDescent="0.25">
      <c r="C17" s="798" t="s">
        <v>1204</v>
      </c>
      <c r="D17" s="785">
        <v>1.1000000000000001</v>
      </c>
      <c r="E17" s="680">
        <v>1</v>
      </c>
      <c r="F17" s="794">
        <v>0.3</v>
      </c>
      <c r="H17" s="766"/>
      <c r="I17" s="792" t="s">
        <v>1205</v>
      </c>
      <c r="J17" s="804">
        <v>4</v>
      </c>
      <c r="K17" s="805">
        <v>0.3</v>
      </c>
      <c r="N17" s="767"/>
      <c r="P17" s="766"/>
      <c r="Q17" s="792" t="s">
        <v>1205</v>
      </c>
      <c r="R17" s="804">
        <f>+J17/1000</f>
        <v>4.0000000000000001E-3</v>
      </c>
      <c r="S17" s="805">
        <f>+K17*1000/1000</f>
        <v>0.3</v>
      </c>
      <c r="V17" s="767"/>
      <c r="AL17"/>
    </row>
    <row r="18" spans="3:38" x14ac:dyDescent="0.25">
      <c r="D18" s="761" t="s">
        <v>1191</v>
      </c>
      <c r="E18" s="799" t="s">
        <v>1192</v>
      </c>
      <c r="F18" s="800" t="s">
        <v>1188</v>
      </c>
      <c r="H18" s="766"/>
      <c r="I18" s="787" t="s">
        <v>1206</v>
      </c>
      <c r="J18" s="806">
        <f>+D15</f>
        <v>4.5999999999999996</v>
      </c>
      <c r="K18" s="359">
        <f>+F15</f>
        <v>0.3</v>
      </c>
      <c r="N18" s="767"/>
      <c r="P18" s="766"/>
      <c r="Q18" s="787" t="s">
        <v>1206</v>
      </c>
      <c r="R18" s="806">
        <f t="shared" ref="R18:R19" si="2">+J18/1000</f>
        <v>4.5999999999999999E-3</v>
      </c>
      <c r="S18" s="359">
        <f t="shared" ref="S18:S20" si="3">+K18*1000/1000</f>
        <v>0.3</v>
      </c>
      <c r="V18" s="767"/>
      <c r="AL18"/>
    </row>
    <row r="19" spans="3:38" x14ac:dyDescent="0.25">
      <c r="C19" s="775" t="s">
        <v>1207</v>
      </c>
      <c r="D19" s="807">
        <f>+SUM(D20:D26)</f>
        <v>84.449999999999989</v>
      </c>
      <c r="E19" s="769"/>
      <c r="F19" s="802">
        <f>+SUM(F20:F27)</f>
        <v>5.6703000000000001</v>
      </c>
      <c r="H19" s="766"/>
      <c r="I19" s="787" t="s">
        <v>1208</v>
      </c>
      <c r="J19" s="806">
        <f>+D16</f>
        <v>3.9</v>
      </c>
      <c r="K19" s="359">
        <f>+F16</f>
        <v>0.3</v>
      </c>
      <c r="N19" s="767"/>
      <c r="P19" s="766"/>
      <c r="Q19" s="787" t="s">
        <v>1208</v>
      </c>
      <c r="R19" s="806">
        <f t="shared" si="2"/>
        <v>3.8999999999999998E-3</v>
      </c>
      <c r="S19" s="359">
        <f t="shared" si="3"/>
        <v>0.3</v>
      </c>
      <c r="V19" s="767"/>
      <c r="AL19"/>
    </row>
    <row r="20" spans="3:38" x14ac:dyDescent="0.25">
      <c r="C20" s="784" t="s">
        <v>1037</v>
      </c>
      <c r="D20" s="785">
        <v>0.5</v>
      </c>
      <c r="E20" s="680"/>
      <c r="F20" s="786">
        <v>0.03</v>
      </c>
      <c r="H20" s="766"/>
      <c r="I20" s="790" t="s">
        <v>1209</v>
      </c>
      <c r="J20" s="808">
        <f>+D17</f>
        <v>1.1000000000000001</v>
      </c>
      <c r="K20" s="362">
        <f>+F17</f>
        <v>0.3</v>
      </c>
      <c r="N20" s="767"/>
      <c r="P20" s="766"/>
      <c r="Q20" s="790" t="s">
        <v>1209</v>
      </c>
      <c r="R20" s="808">
        <f>+J20/1000</f>
        <v>1.1000000000000001E-3</v>
      </c>
      <c r="S20" s="362">
        <f t="shared" si="3"/>
        <v>0.3</v>
      </c>
      <c r="V20" s="767"/>
      <c r="AL20"/>
    </row>
    <row r="21" spans="3:38" x14ac:dyDescent="0.25">
      <c r="C21" s="784" t="s">
        <v>1210</v>
      </c>
      <c r="D21" s="785">
        <v>0.02</v>
      </c>
      <c r="E21" s="680"/>
      <c r="F21" s="786">
        <v>2.0000000000000001E-4</v>
      </c>
      <c r="H21" s="766"/>
      <c r="N21" s="767"/>
      <c r="P21" s="766"/>
      <c r="V21" s="767"/>
      <c r="AL21"/>
    </row>
    <row r="22" spans="3:38" x14ac:dyDescent="0.25">
      <c r="C22" s="784" t="s">
        <v>1211</v>
      </c>
      <c r="D22" s="785">
        <v>0.6</v>
      </c>
      <c r="E22" s="680"/>
      <c r="F22" s="786">
        <v>1E-4</v>
      </c>
      <c r="H22" s="766"/>
      <c r="N22" s="767"/>
      <c r="P22" s="766"/>
      <c r="V22" s="767"/>
      <c r="AL22"/>
    </row>
    <row r="23" spans="3:38" x14ac:dyDescent="0.25">
      <c r="C23" s="784" t="s">
        <v>1212</v>
      </c>
      <c r="D23" s="785">
        <v>11.8</v>
      </c>
      <c r="E23" s="680"/>
      <c r="F23" s="786">
        <v>0.25</v>
      </c>
      <c r="H23" s="766"/>
      <c r="N23" s="767"/>
      <c r="P23" s="766"/>
      <c r="V23" s="767"/>
      <c r="AL23"/>
    </row>
    <row r="24" spans="3:38" x14ac:dyDescent="0.25">
      <c r="C24" s="784" t="s">
        <v>1213</v>
      </c>
      <c r="D24" s="785">
        <v>11.83</v>
      </c>
      <c r="E24" s="680"/>
      <c r="F24" s="786">
        <v>0.17</v>
      </c>
      <c r="H24" s="766"/>
      <c r="J24" s="232" t="s">
        <v>1187</v>
      </c>
      <c r="K24" s="232" t="s">
        <v>1188</v>
      </c>
      <c r="N24" s="767"/>
      <c r="P24" s="766"/>
      <c r="R24" s="232" t="s">
        <v>1189</v>
      </c>
      <c r="S24" s="232" t="s">
        <v>1188</v>
      </c>
      <c r="V24" s="767"/>
      <c r="AL24"/>
    </row>
    <row r="25" spans="3:38" x14ac:dyDescent="0.25">
      <c r="C25" s="784" t="s">
        <v>1214</v>
      </c>
      <c r="D25" s="785">
        <v>32.799999999999997</v>
      </c>
      <c r="E25" s="680">
        <v>0.99</v>
      </c>
      <c r="F25" s="786">
        <v>1.75</v>
      </c>
      <c r="H25" s="766"/>
      <c r="I25" s="761" t="s">
        <v>1207</v>
      </c>
      <c r="J25" s="803">
        <v>84.45</v>
      </c>
      <c r="K25" s="800">
        <f>+SUM(F20:F27)</f>
        <v>5.6703000000000001</v>
      </c>
      <c r="N25" s="767"/>
      <c r="P25" s="766"/>
      <c r="Q25" s="761" t="s">
        <v>1207</v>
      </c>
      <c r="R25" s="803">
        <f t="shared" ref="R25:R27" si="4">+J25/1000</f>
        <v>8.4449999999999997E-2</v>
      </c>
      <c r="S25" s="800">
        <f t="shared" ref="S25:S27" si="5">+K25*1000/1000</f>
        <v>5.6703000000000001</v>
      </c>
      <c r="V25" s="767"/>
      <c r="AL25"/>
    </row>
    <row r="26" spans="3:38" x14ac:dyDescent="0.25">
      <c r="C26" s="784" t="s">
        <v>1215</v>
      </c>
      <c r="D26" s="785">
        <v>26.9</v>
      </c>
      <c r="E26" s="680">
        <v>0.54</v>
      </c>
      <c r="F26" s="786">
        <v>0.56000000000000005</v>
      </c>
      <c r="H26" s="766"/>
      <c r="I26" s="788" t="s">
        <v>1216</v>
      </c>
      <c r="J26" s="789">
        <f>+SUM(D20:D26)</f>
        <v>84.449999999999989</v>
      </c>
      <c r="K26" s="786">
        <f>+SUM(F20:F26)</f>
        <v>2.7603</v>
      </c>
      <c r="N26" s="767"/>
      <c r="P26" s="766"/>
      <c r="Q26" s="788" t="s">
        <v>1216</v>
      </c>
      <c r="R26" s="789">
        <f t="shared" si="4"/>
        <v>8.4449999999999983E-2</v>
      </c>
      <c r="S26" s="786">
        <f t="shared" si="5"/>
        <v>2.7603</v>
      </c>
      <c r="V26" s="767"/>
    </row>
    <row r="27" spans="3:38" x14ac:dyDescent="0.25">
      <c r="C27" s="791" t="s">
        <v>1217</v>
      </c>
      <c r="D27" s="792">
        <v>64.400000000000006</v>
      </c>
      <c r="E27" s="809">
        <f>+SUMPRODUCT(D25:D26,E25:E26)</f>
        <v>46.99799999999999</v>
      </c>
      <c r="F27" s="794">
        <v>2.91</v>
      </c>
      <c r="H27" s="766"/>
      <c r="I27" s="810" t="s">
        <v>1218</v>
      </c>
      <c r="J27" s="811">
        <f>+D27</f>
        <v>64.400000000000006</v>
      </c>
      <c r="K27" s="794">
        <f>+F27</f>
        <v>2.91</v>
      </c>
      <c r="N27" s="767"/>
      <c r="P27" s="766"/>
      <c r="Q27" s="810" t="s">
        <v>1218</v>
      </c>
      <c r="R27" s="811">
        <f t="shared" si="4"/>
        <v>6.4399999999999999E-2</v>
      </c>
      <c r="S27" s="794">
        <f t="shared" si="5"/>
        <v>2.91</v>
      </c>
      <c r="V27" s="767"/>
    </row>
    <row r="28" spans="3:38" x14ac:dyDescent="0.25">
      <c r="H28" s="766"/>
      <c r="N28" s="767"/>
      <c r="P28" s="766"/>
      <c r="V28" s="767"/>
    </row>
    <row r="29" spans="3:38" ht="15.75" thickBot="1" x14ac:dyDescent="0.3">
      <c r="H29" s="812"/>
      <c r="I29" s="813"/>
      <c r="J29" s="813"/>
      <c r="K29" s="813"/>
      <c r="L29" s="813"/>
      <c r="M29" s="813"/>
      <c r="N29" s="814"/>
      <c r="P29" s="812"/>
      <c r="Q29" s="813"/>
      <c r="R29" s="813"/>
      <c r="S29" s="813"/>
      <c r="T29" s="813"/>
      <c r="U29" s="813"/>
      <c r="V29" s="814"/>
    </row>
    <row r="50" spans="3:8" x14ac:dyDescent="0.25">
      <c r="D50" s="1" t="s">
        <v>1219</v>
      </c>
      <c r="F50" s="16" t="s">
        <v>281</v>
      </c>
    </row>
    <row r="51" spans="3:8" x14ac:dyDescent="0.25">
      <c r="C51" s="815" t="s">
        <v>1195</v>
      </c>
      <c r="D51" s="816">
        <v>1.8</v>
      </c>
      <c r="F51" s="16">
        <f>+D51</f>
        <v>1.8</v>
      </c>
    </row>
    <row r="52" spans="3:8" x14ac:dyDescent="0.25">
      <c r="C52" s="784" t="s">
        <v>1197</v>
      </c>
      <c r="D52" s="817">
        <v>0.3</v>
      </c>
      <c r="F52" s="16">
        <f>+D52</f>
        <v>0.3</v>
      </c>
    </row>
    <row r="53" spans="3:8" x14ac:dyDescent="0.25">
      <c r="C53" s="784" t="s">
        <v>1198</v>
      </c>
      <c r="D53" s="817">
        <v>0.4</v>
      </c>
      <c r="F53" s="16">
        <f>+D53</f>
        <v>0.4</v>
      </c>
    </row>
    <row r="54" spans="3:8" x14ac:dyDescent="0.25">
      <c r="C54" s="784" t="s">
        <v>1200</v>
      </c>
      <c r="D54" s="817">
        <v>0.5</v>
      </c>
      <c r="F54" s="16">
        <f>+D54</f>
        <v>0.5</v>
      </c>
    </row>
    <row r="55" spans="3:8" x14ac:dyDescent="0.25">
      <c r="C55" s="791" t="s">
        <v>1201</v>
      </c>
      <c r="D55" s="797">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topLeftCell="A4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87" t="s">
        <v>1099</v>
      </c>
      <c r="J5" s="887"/>
      <c r="K5" s="887"/>
      <c r="L5" s="887"/>
      <c r="M5" s="887"/>
      <c r="N5" s="887"/>
      <c r="O5" s="887"/>
      <c r="P5" s="887"/>
      <c r="Q5" s="887"/>
    </row>
    <row r="6" spans="2:17" x14ac:dyDescent="0.25">
      <c r="C6" t="str">
        <f>'5. Data'!C6</f>
        <v>Energético</v>
      </c>
      <c r="D6" s="19" t="str">
        <f>'5. Data'!D6</f>
        <v>TJ/kbl*</v>
      </c>
      <c r="E6" s="19" t="str">
        <f>'5. Data'!E6</f>
        <v>t/TJ</v>
      </c>
      <c r="I6" s="709"/>
      <c r="J6" s="709">
        <v>2014</v>
      </c>
      <c r="K6" s="709">
        <v>2015</v>
      </c>
      <c r="L6" s="709">
        <v>2016</v>
      </c>
      <c r="M6" s="709">
        <v>2017</v>
      </c>
      <c r="N6" s="709">
        <v>2018</v>
      </c>
      <c r="O6" s="709">
        <v>2019</v>
      </c>
      <c r="P6" s="709">
        <v>2020</v>
      </c>
      <c r="Q6" s="709">
        <v>2021</v>
      </c>
    </row>
    <row r="7" spans="2:17" x14ac:dyDescent="0.25">
      <c r="B7" s="19" t="str">
        <f>'5. Data'!B7</f>
        <v>GAS</v>
      </c>
      <c r="C7" s="143" t="str">
        <f>'5. Data'!C7</f>
        <v>Gas Natural</v>
      </c>
      <c r="D7" s="311">
        <f>'5. Data'!D7</f>
        <v>1.0095573442026637</v>
      </c>
      <c r="E7" s="312">
        <f>'5. Data'!E7</f>
        <v>55.539114956987063</v>
      </c>
      <c r="I7" s="710" t="s">
        <v>1097</v>
      </c>
      <c r="J7" s="155">
        <v>1972</v>
      </c>
      <c r="K7" s="155">
        <v>2084</v>
      </c>
      <c r="L7" s="155">
        <v>1849</v>
      </c>
      <c r="M7" s="710">
        <v>1598</v>
      </c>
      <c r="N7" s="710">
        <v>1659</v>
      </c>
      <c r="O7" s="710">
        <v>1727</v>
      </c>
      <c r="P7" s="710">
        <v>1893</v>
      </c>
      <c r="Q7" s="710">
        <v>1770</v>
      </c>
    </row>
    <row r="8" spans="2:17" x14ac:dyDescent="0.25">
      <c r="B8" s="19" t="str">
        <f>'5. Data'!B8</f>
        <v>LOIL</v>
      </c>
      <c r="C8" s="143" t="str">
        <f>'5. Data'!C8</f>
        <v>Petróleo liviano</v>
      </c>
      <c r="D8" s="311">
        <f>'5. Data'!D8</f>
        <v>6.0871741676095334</v>
      </c>
      <c r="E8" s="312">
        <f>'5. Data'!E8</f>
        <v>77.841777688967127</v>
      </c>
      <c r="I8" s="1" t="s">
        <v>1084</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1085</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1086</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1087</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11"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17" t="s">
        <v>1096</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17" t="s">
        <v>1102</v>
      </c>
    </row>
    <row r="16" spans="2:17" x14ac:dyDescent="0.25">
      <c r="B16" s="19" t="str">
        <f>'5. Data'!B16</f>
        <v>AVG</v>
      </c>
      <c r="C16" s="148" t="str">
        <f>'5. Data'!C16</f>
        <v>Gasolina de aviación</v>
      </c>
      <c r="D16" s="122">
        <f>'5. Data'!D16</f>
        <v>4.7615165047769556</v>
      </c>
      <c r="E16" s="313">
        <f>'5. Data'!E16</f>
        <v>56.337812381502502</v>
      </c>
      <c r="I16" s="714" t="s">
        <v>1098</v>
      </c>
      <c r="J16" s="145" t="s">
        <v>665</v>
      </c>
      <c r="K16" s="715">
        <v>0.29699999999999999</v>
      </c>
      <c r="L16" s="145" t="s">
        <v>665</v>
      </c>
      <c r="M16" s="145" t="s">
        <v>665</v>
      </c>
      <c r="N16" s="716">
        <v>0.3</v>
      </c>
      <c r="O16" s="716">
        <v>0.27</v>
      </c>
      <c r="P16" s="716">
        <v>0.28999999999999998</v>
      </c>
      <c r="Q16" s="716">
        <v>0.28000000000000003</v>
      </c>
    </row>
    <row r="17" spans="2:17" x14ac:dyDescent="0.25">
      <c r="B17" s="19" t="str">
        <f>'5. Data'!B17</f>
        <v>RFG</v>
      </c>
      <c r="C17" s="151" t="str">
        <f>'5. Data'!C17</f>
        <v>Refinery Gas</v>
      </c>
      <c r="D17" s="314">
        <f>'5. Data'!D17</f>
        <v>4.1867999999999999</v>
      </c>
      <c r="E17" s="315">
        <f>'5. Data'!E17</f>
        <v>40.784041574326501</v>
      </c>
      <c r="I17" s="16" t="s">
        <v>1100</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12" t="s">
        <v>1101</v>
      </c>
      <c r="J18" s="153" t="str">
        <f t="shared" ref="J18:Q18" si="3">+IF(J16="-","-",J16*J13)</f>
        <v>-</v>
      </c>
      <c r="K18" s="713">
        <f t="shared" si="3"/>
        <v>548.85599999999999</v>
      </c>
      <c r="L18" s="713" t="str">
        <f t="shared" si="3"/>
        <v>-</v>
      </c>
      <c r="M18" s="713" t="str">
        <f t="shared" si="3"/>
        <v>-</v>
      </c>
      <c r="N18" s="713">
        <f t="shared" si="3"/>
        <v>518.1</v>
      </c>
      <c r="O18" s="713">
        <f t="shared" si="3"/>
        <v>511.11</v>
      </c>
      <c r="P18" s="713">
        <f t="shared" si="3"/>
        <v>513.41599999999994</v>
      </c>
      <c r="Q18" s="713">
        <f t="shared" si="3"/>
        <v>560.42000000000007</v>
      </c>
    </row>
    <row r="20" spans="2:17" x14ac:dyDescent="0.25">
      <c r="I20" s="717" t="s">
        <v>1103</v>
      </c>
    </row>
    <row r="21" spans="2:17" x14ac:dyDescent="0.25">
      <c r="C21" t="s">
        <v>871</v>
      </c>
      <c r="D21" s="343">
        <v>6117863200</v>
      </c>
      <c r="E21" t="s">
        <v>1004</v>
      </c>
      <c r="I21" s="144" t="s">
        <v>1088</v>
      </c>
      <c r="J21" s="718">
        <f t="shared" ref="J21:Q21" si="4">-SUM(J8:J11)/J12</f>
        <v>1.4609053497942386</v>
      </c>
      <c r="K21" s="718">
        <f t="shared" si="4"/>
        <v>5.9760956175298807E-2</v>
      </c>
      <c r="L21" s="718">
        <f t="shared" si="4"/>
        <v>-6.8085106382978725E-2</v>
      </c>
      <c r="M21" s="718">
        <f t="shared" si="4"/>
        <v>1.2606837606837606</v>
      </c>
      <c r="N21" s="718">
        <f t="shared" si="4"/>
        <v>1.2845188284518829</v>
      </c>
      <c r="O21" s="718">
        <f t="shared" si="4"/>
        <v>1.6859504132231404</v>
      </c>
      <c r="P21" s="718">
        <f t="shared" si="4"/>
        <v>0.48050847457627122</v>
      </c>
      <c r="Q21" s="718">
        <f t="shared" si="4"/>
        <v>2.002164502164502</v>
      </c>
    </row>
    <row r="22" spans="2:17" x14ac:dyDescent="0.25">
      <c r="C22" t="s">
        <v>871</v>
      </c>
      <c r="D22" s="343">
        <f>+D21*1000/(1000000000000)</f>
        <v>6.1178632000000004</v>
      </c>
      <c r="E22" t="s">
        <v>913</v>
      </c>
      <c r="I22" t="s">
        <v>1089</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1108</v>
      </c>
      <c r="I23" t="s">
        <v>1090</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1091</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1092</v>
      </c>
      <c r="J25" s="719">
        <f t="shared" ref="J25:Q25" si="8">-J11/J12</f>
        <v>0</v>
      </c>
      <c r="K25" s="719">
        <f t="shared" si="8"/>
        <v>0</v>
      </c>
      <c r="L25" s="719">
        <f t="shared" si="8"/>
        <v>0</v>
      </c>
      <c r="M25" s="719">
        <f t="shared" si="8"/>
        <v>0.18803418803418803</v>
      </c>
      <c r="N25" s="719">
        <f t="shared" si="8"/>
        <v>0.2384937238493724</v>
      </c>
      <c r="O25" s="719">
        <f t="shared" si="8"/>
        <v>0.27685950413223143</v>
      </c>
      <c r="P25" s="719">
        <f t="shared" si="8"/>
        <v>0.12245762711864407</v>
      </c>
      <c r="Q25" s="719">
        <f t="shared" si="8"/>
        <v>-1.5151515151515152E-2</v>
      </c>
    </row>
    <row r="27" spans="2:17" x14ac:dyDescent="0.25">
      <c r="I27" s="709" t="s">
        <v>1104</v>
      </c>
      <c r="J27" s="152"/>
      <c r="K27" s="152"/>
      <c r="L27" s="152"/>
      <c r="M27" s="152"/>
      <c r="N27" s="152"/>
      <c r="O27" s="152"/>
      <c r="P27" s="152"/>
      <c r="Q27" s="152"/>
    </row>
    <row r="28" spans="2:17" x14ac:dyDescent="0.25">
      <c r="I28" t="s">
        <v>1001</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1105</v>
      </c>
      <c r="J33" s="121"/>
      <c r="K33" s="121"/>
      <c r="L33" s="121"/>
      <c r="M33" s="121"/>
    </row>
    <row r="35" spans="9:17" x14ac:dyDescent="0.25">
      <c r="J35" s="121">
        <v>2018</v>
      </c>
      <c r="K35" s="121">
        <v>2019</v>
      </c>
      <c r="L35" s="121">
        <v>2020</v>
      </c>
      <c r="M35" s="121">
        <v>2021</v>
      </c>
    </row>
    <row r="36" spans="9:17" x14ac:dyDescent="0.25">
      <c r="I36" s="121" t="s">
        <v>1106</v>
      </c>
      <c r="J36" s="57" cm="1">
        <f t="array" ref="J36:M36">+N18:Q18</f>
        <v>518.1</v>
      </c>
      <c r="K36" s="57">
        <v>511.11</v>
      </c>
      <c r="L36" s="57">
        <v>513.41599999999994</v>
      </c>
      <c r="M36" s="57">
        <v>560.42000000000007</v>
      </c>
    </row>
    <row r="37" spans="9:17" x14ac:dyDescent="0.25">
      <c r="I37" s="121" t="s">
        <v>1107</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1109</v>
      </c>
      <c r="M38" s="75">
        <f>(1840*(1000000000)/D23)/1000000</f>
        <v>317.24137931034483</v>
      </c>
    </row>
    <row r="44" spans="9:17" x14ac:dyDescent="0.25">
      <c r="I44" s="887" t="s">
        <v>1116</v>
      </c>
      <c r="J44" s="887"/>
      <c r="K44" s="887"/>
      <c r="L44" s="887"/>
      <c r="M44" s="887"/>
      <c r="N44" s="887"/>
      <c r="O44" s="887"/>
      <c r="P44" s="887"/>
      <c r="Q44" s="121"/>
    </row>
    <row r="45" spans="9:17" x14ac:dyDescent="0.25">
      <c r="I45" s="152"/>
      <c r="J45" s="916" t="s">
        <v>1113</v>
      </c>
      <c r="K45" s="916"/>
      <c r="L45" s="916" t="s">
        <v>1093</v>
      </c>
      <c r="M45" s="917"/>
      <c r="N45" s="722"/>
      <c r="O45" s="153" t="s">
        <v>1117</v>
      </c>
      <c r="P45" s="725" t="s">
        <v>1093</v>
      </c>
    </row>
    <row r="46" spans="9:17" x14ac:dyDescent="0.25">
      <c r="I46" t="s">
        <v>1110</v>
      </c>
      <c r="J46" s="19">
        <v>2234</v>
      </c>
      <c r="K46" s="19" t="s">
        <v>1114</v>
      </c>
      <c r="L46" s="436">
        <f>+('5. Data'!AF100+'5. Data'!AF101)*$D$7</f>
        <v>1536.6908880451988</v>
      </c>
      <c r="M46" s="19" t="s">
        <v>1114</v>
      </c>
      <c r="N46" s="720" t="s">
        <v>1110</v>
      </c>
      <c r="O46" s="365">
        <f t="shared" ref="O46:O51" si="11">+J46/$J$53</f>
        <v>0.59700694815606625</v>
      </c>
      <c r="P46" s="721">
        <f>+L46/$L$53</f>
        <v>0.82698632788465398</v>
      </c>
    </row>
    <row r="47" spans="9:17" x14ac:dyDescent="0.25">
      <c r="I47" t="s">
        <v>1111</v>
      </c>
      <c r="J47" s="19">
        <v>508</v>
      </c>
      <c r="K47" s="19" t="s">
        <v>1114</v>
      </c>
      <c r="L47" s="19" t="s">
        <v>665</v>
      </c>
      <c r="M47" s="19"/>
      <c r="N47" s="720" t="s">
        <v>1111</v>
      </c>
      <c r="O47" s="365">
        <f t="shared" si="11"/>
        <v>0.13575628006413681</v>
      </c>
      <c r="P47" s="721" t="s">
        <v>665</v>
      </c>
    </row>
    <row r="48" spans="9:17" x14ac:dyDescent="0.25">
      <c r="I48" t="s">
        <v>837</v>
      </c>
      <c r="J48" s="19">
        <v>584</v>
      </c>
      <c r="K48" s="19" t="s">
        <v>1114</v>
      </c>
      <c r="L48" s="436">
        <f>+'5. Data'!AF99-'5. Data'!AF69</f>
        <v>243.24624083200007</v>
      </c>
      <c r="M48" s="19" t="s">
        <v>1114</v>
      </c>
      <c r="N48" s="720" t="s">
        <v>837</v>
      </c>
      <c r="O48" s="365">
        <f t="shared" si="11"/>
        <v>0.15606627471940138</v>
      </c>
      <c r="P48" s="721">
        <f>+L48/$L$53</f>
        <v>0.13090551720085761</v>
      </c>
    </row>
    <row r="49" spans="9:16" x14ac:dyDescent="0.25">
      <c r="I49" t="s">
        <v>817</v>
      </c>
      <c r="J49" s="19">
        <v>226</v>
      </c>
      <c r="K49" s="19" t="s">
        <v>1114</v>
      </c>
      <c r="L49" s="436">
        <f>+'5. Data'!AF103</f>
        <v>30.707442634670208</v>
      </c>
      <c r="M49" s="19" t="s">
        <v>1114</v>
      </c>
      <c r="N49" s="720" t="s">
        <v>817</v>
      </c>
      <c r="O49" s="365">
        <f t="shared" si="11"/>
        <v>6.0395510422234101E-2</v>
      </c>
      <c r="P49" s="721">
        <f>+L49/$L$53</f>
        <v>1.6525532506722097E-2</v>
      </c>
    </row>
    <row r="50" spans="9:16" x14ac:dyDescent="0.25">
      <c r="I50" t="s">
        <v>1112</v>
      </c>
      <c r="J50" s="19">
        <v>168</v>
      </c>
      <c r="K50" s="19" t="s">
        <v>1114</v>
      </c>
      <c r="L50" s="436">
        <f>+'5. Data'!AF69</f>
        <v>23.492594688000001</v>
      </c>
      <c r="M50" s="19" t="s">
        <v>1114</v>
      </c>
      <c r="N50" s="720" t="s">
        <v>1112</v>
      </c>
      <c r="O50" s="365">
        <f t="shared" si="11"/>
        <v>4.4895777659005882E-2</v>
      </c>
      <c r="P50" s="721">
        <f>+L50/$L$53</f>
        <v>1.2642786369499321E-2</v>
      </c>
    </row>
    <row r="51" spans="9:16" x14ac:dyDescent="0.25">
      <c r="I51" t="s">
        <v>830</v>
      </c>
      <c r="J51" s="19">
        <v>22</v>
      </c>
      <c r="K51" s="19" t="s">
        <v>1114</v>
      </c>
      <c r="L51" s="436">
        <f>+'5. Data'!AF104</f>
        <v>13.932585988360662</v>
      </c>
      <c r="M51" s="19" t="s">
        <v>1114</v>
      </c>
      <c r="N51" s="720" t="s">
        <v>830</v>
      </c>
      <c r="O51" s="365">
        <f t="shared" si="11"/>
        <v>5.8792089791555322E-3</v>
      </c>
      <c r="P51" s="721">
        <f>+L51/$L$53</f>
        <v>7.4979673622641192E-3</v>
      </c>
    </row>
    <row r="52" spans="9:16" x14ac:dyDescent="0.25">
      <c r="I52" t="s">
        <v>1115</v>
      </c>
      <c r="J52" s="153" t="s">
        <v>665</v>
      </c>
      <c r="K52" s="153"/>
      <c r="L52" s="713">
        <f>+'5. Data'!AF102</f>
        <v>10.111980967983444</v>
      </c>
      <c r="M52" s="725" t="s">
        <v>1114</v>
      </c>
      <c r="N52" s="722" t="s">
        <v>1115</v>
      </c>
      <c r="O52" s="723" t="s">
        <v>665</v>
      </c>
      <c r="P52" s="724">
        <f>+L52/$L$53</f>
        <v>5.4418686760028282E-3</v>
      </c>
    </row>
    <row r="53" spans="9:16" x14ac:dyDescent="0.25">
      <c r="J53" s="19">
        <f>+SUM(J46:J51)</f>
        <v>3742</v>
      </c>
      <c r="K53" s="19" t="s">
        <v>1114</v>
      </c>
      <c r="L53" s="436">
        <f>+SUM(L46:L52)</f>
        <v>1858.1817331562133</v>
      </c>
      <c r="M53" s="19" t="s">
        <v>1114</v>
      </c>
    </row>
    <row r="57" spans="9:16" x14ac:dyDescent="0.25">
      <c r="I57" s="887" t="s">
        <v>1121</v>
      </c>
      <c r="J57" s="887"/>
      <c r="K57" s="887"/>
      <c r="L57" s="887"/>
      <c r="M57" s="887"/>
      <c r="N57" s="887"/>
      <c r="O57" s="887"/>
      <c r="P57" s="887"/>
    </row>
    <row r="58" spans="9:16" x14ac:dyDescent="0.25">
      <c r="J58" s="570" t="s">
        <v>1118</v>
      </c>
      <c r="K58" s="570" t="s">
        <v>1120</v>
      </c>
      <c r="L58" s="570" t="s">
        <v>1119</v>
      </c>
      <c r="M58" s="726" t="s">
        <v>1118</v>
      </c>
      <c r="N58" s="570" t="s">
        <v>1120</v>
      </c>
      <c r="O58" s="727" t="s">
        <v>1119</v>
      </c>
    </row>
    <row r="59" spans="9:16" x14ac:dyDescent="0.25">
      <c r="I59" t="s">
        <v>1110</v>
      </c>
      <c r="J59" s="22">
        <v>2234</v>
      </c>
      <c r="K59" s="22">
        <v>322</v>
      </c>
      <c r="L59" s="22">
        <v>16</v>
      </c>
      <c r="M59" s="728">
        <f t="shared" ref="M59:M69" si="12">+J59/J$69</f>
        <v>0.59053661115516787</v>
      </c>
      <c r="N59" s="299">
        <f t="shared" ref="N59:N69" si="13">+K59/K$69</f>
        <v>0.40707964601769914</v>
      </c>
      <c r="O59" s="354">
        <f t="shared" ref="O59:O69" si="14">+L59/L$69</f>
        <v>3.9024390243902439E-2</v>
      </c>
    </row>
    <row r="60" spans="9:16" x14ac:dyDescent="0.25">
      <c r="I60" t="s">
        <v>1111</v>
      </c>
      <c r="J60" s="22">
        <v>508</v>
      </c>
      <c r="K60" s="22">
        <v>223</v>
      </c>
      <c r="L60" s="22">
        <v>229</v>
      </c>
      <c r="M60" s="728">
        <f t="shared" si="12"/>
        <v>0.13428495902722706</v>
      </c>
      <c r="N60" s="299">
        <f t="shared" si="13"/>
        <v>0.28192161820480405</v>
      </c>
      <c r="O60" s="354">
        <f t="shared" si="14"/>
        <v>0.55853658536585371</v>
      </c>
    </row>
    <row r="61" spans="9:16" x14ac:dyDescent="0.25">
      <c r="I61" t="s">
        <v>837</v>
      </c>
      <c r="J61" s="22">
        <v>584</v>
      </c>
      <c r="K61" s="22">
        <v>22</v>
      </c>
      <c r="L61" s="22">
        <v>22</v>
      </c>
      <c r="M61" s="728">
        <f t="shared" si="12"/>
        <v>0.15437483478720593</v>
      </c>
      <c r="N61" s="299">
        <f t="shared" si="13"/>
        <v>2.7812895069532238E-2</v>
      </c>
      <c r="O61" s="354">
        <f t="shared" si="14"/>
        <v>5.3658536585365853E-2</v>
      </c>
    </row>
    <row r="62" spans="9:16" x14ac:dyDescent="0.25">
      <c r="I62" t="s">
        <v>817</v>
      </c>
      <c r="J62" s="22">
        <v>226</v>
      </c>
      <c r="K62" s="22">
        <v>115</v>
      </c>
      <c r="L62" s="22">
        <v>73</v>
      </c>
      <c r="M62" s="728">
        <f t="shared" si="12"/>
        <v>5.9740946338884486E-2</v>
      </c>
      <c r="N62" s="299">
        <f t="shared" si="13"/>
        <v>0.14538558786346398</v>
      </c>
      <c r="O62" s="354">
        <f t="shared" si="14"/>
        <v>0.17804878048780487</v>
      </c>
    </row>
    <row r="63" spans="9:16" x14ac:dyDescent="0.25">
      <c r="I63" t="s">
        <v>1112</v>
      </c>
      <c r="J63" s="22">
        <v>168</v>
      </c>
      <c r="K63" s="22">
        <v>85</v>
      </c>
      <c r="L63" s="22">
        <v>56</v>
      </c>
      <c r="M63" s="728">
        <f t="shared" si="12"/>
        <v>4.4409199048374308E-2</v>
      </c>
      <c r="N63" s="299">
        <f t="shared" si="13"/>
        <v>0.10745891276864729</v>
      </c>
      <c r="O63" s="354">
        <f t="shared" si="14"/>
        <v>0.13658536585365855</v>
      </c>
    </row>
    <row r="64" spans="9:16" x14ac:dyDescent="0.25">
      <c r="I64" t="s">
        <v>830</v>
      </c>
      <c r="J64" s="22">
        <v>22</v>
      </c>
      <c r="K64" s="22">
        <v>0</v>
      </c>
      <c r="L64" s="22">
        <v>0</v>
      </c>
      <c r="M64" s="728">
        <f t="shared" si="12"/>
        <v>5.815490351572826E-3</v>
      </c>
      <c r="N64" s="299">
        <f t="shared" si="13"/>
        <v>0</v>
      </c>
      <c r="O64" s="354">
        <f t="shared" si="14"/>
        <v>0</v>
      </c>
    </row>
    <row r="65" spans="9:17" x14ac:dyDescent="0.25">
      <c r="I65" t="s">
        <v>1115</v>
      </c>
      <c r="J65" s="22" t="s">
        <v>665</v>
      </c>
      <c r="K65" s="22" t="s">
        <v>665</v>
      </c>
      <c r="L65" s="22" t="s">
        <v>665</v>
      </c>
      <c r="M65" s="728"/>
      <c r="N65" s="299"/>
      <c r="O65" s="354"/>
    </row>
    <row r="66" spans="9:17" x14ac:dyDescent="0.25">
      <c r="I66" t="s">
        <v>1122</v>
      </c>
      <c r="J66" s="22">
        <v>17</v>
      </c>
      <c r="K66" s="22">
        <v>8</v>
      </c>
      <c r="L66" s="22">
        <v>7</v>
      </c>
      <c r="M66" s="728">
        <f t="shared" si="12"/>
        <v>4.4937879989426378E-3</v>
      </c>
      <c r="N66" s="299">
        <f t="shared" si="13"/>
        <v>1.0113780025284451E-2</v>
      </c>
      <c r="O66" s="354">
        <f t="shared" si="14"/>
        <v>1.7073170731707318E-2</v>
      </c>
    </row>
    <row r="67" spans="9:17" x14ac:dyDescent="0.25">
      <c r="I67" t="s">
        <v>1123</v>
      </c>
      <c r="J67" s="22">
        <v>17</v>
      </c>
      <c r="K67" s="22">
        <v>7</v>
      </c>
      <c r="L67" s="22">
        <v>5</v>
      </c>
      <c r="M67" s="728">
        <f t="shared" si="12"/>
        <v>4.4937879989426378E-3</v>
      </c>
      <c r="N67" s="299">
        <f t="shared" si="13"/>
        <v>8.8495575221238937E-3</v>
      </c>
      <c r="O67" s="354">
        <f t="shared" si="14"/>
        <v>1.2195121951219513E-2</v>
      </c>
    </row>
    <row r="68" spans="9:17" x14ac:dyDescent="0.25">
      <c r="I68" t="s">
        <v>1124</v>
      </c>
      <c r="J68" s="22">
        <v>7</v>
      </c>
      <c r="K68" s="22">
        <v>9</v>
      </c>
      <c r="L68" s="22">
        <v>2</v>
      </c>
      <c r="M68" s="728">
        <f t="shared" si="12"/>
        <v>1.8503832936822627E-3</v>
      </c>
      <c r="N68" s="299">
        <f t="shared" si="13"/>
        <v>1.1378002528445006E-2</v>
      </c>
      <c r="O68" s="354">
        <f t="shared" si="14"/>
        <v>4.8780487804878049E-3</v>
      </c>
    </row>
    <row r="69" spans="9:17" x14ac:dyDescent="0.25">
      <c r="I69" s="19" t="s">
        <v>1125</v>
      </c>
      <c r="J69" s="19">
        <f>+SUM(J59:J68)</f>
        <v>3783</v>
      </c>
      <c r="K69" s="19">
        <f t="shared" ref="K69:L69" si="15">+SUM(K59:K68)</f>
        <v>791</v>
      </c>
      <c r="L69" s="19">
        <f t="shared" si="15"/>
        <v>410</v>
      </c>
      <c r="M69" s="729">
        <f t="shared" si="12"/>
        <v>1</v>
      </c>
      <c r="N69" s="719">
        <f t="shared" si="13"/>
        <v>1</v>
      </c>
      <c r="O69" s="730">
        <f t="shared" si="14"/>
        <v>1</v>
      </c>
    </row>
    <row r="70" spans="9:17" x14ac:dyDescent="0.25">
      <c r="J70" s="290">
        <v>1</v>
      </c>
      <c r="K70" s="281">
        <f>+K69/J69</f>
        <v>0.2090933121860957</v>
      </c>
      <c r="L70" s="281">
        <f>+L69/J69</f>
        <v>0.10837959291567539</v>
      </c>
      <c r="N70" s="731"/>
      <c r="O70" s="732"/>
    </row>
    <row r="75" spans="9:17" x14ac:dyDescent="0.25">
      <c r="I75" t="s">
        <v>1105</v>
      </c>
    </row>
    <row r="76" spans="9:17" x14ac:dyDescent="0.25">
      <c r="J76" s="152">
        <v>2018</v>
      </c>
      <c r="K76" s="152">
        <v>2020</v>
      </c>
      <c r="L76" s="152">
        <v>2021</v>
      </c>
      <c r="M76" s="102">
        <v>2018</v>
      </c>
      <c r="N76" s="155">
        <v>2020</v>
      </c>
      <c r="O76" s="827">
        <v>2021</v>
      </c>
    </row>
    <row r="77" spans="9:17" x14ac:dyDescent="0.25">
      <c r="I77" t="s">
        <v>1118</v>
      </c>
      <c r="J77">
        <f>+J69</f>
        <v>3783</v>
      </c>
      <c r="K77">
        <v>2949</v>
      </c>
      <c r="L77">
        <v>3164</v>
      </c>
      <c r="M77" s="828">
        <v>1</v>
      </c>
      <c r="N77" s="289">
        <v>1</v>
      </c>
      <c r="O77" s="829">
        <v>1</v>
      </c>
    </row>
    <row r="78" spans="9:17" x14ac:dyDescent="0.25">
      <c r="I78" t="s">
        <v>1120</v>
      </c>
      <c r="J78">
        <f>+K69</f>
        <v>791</v>
      </c>
      <c r="K78">
        <v>632</v>
      </c>
      <c r="L78">
        <v>689</v>
      </c>
      <c r="M78" s="728">
        <f>+J78/J77</f>
        <v>0.2090933121860957</v>
      </c>
      <c r="N78" s="728">
        <f t="shared" ref="N78:O78" si="16">+K78/K77</f>
        <v>0.21430993557138012</v>
      </c>
      <c r="O78" s="728">
        <f t="shared" si="16"/>
        <v>0.21776232616940583</v>
      </c>
      <c r="Q78" s="289">
        <f>+AVERAGE(M78:O78)</f>
        <v>0.21372185797562723</v>
      </c>
    </row>
    <row r="79" spans="9:17" x14ac:dyDescent="0.25">
      <c r="I79" t="s">
        <v>1119</v>
      </c>
      <c r="J79">
        <f>+L69</f>
        <v>410</v>
      </c>
      <c r="K79">
        <v>450</v>
      </c>
      <c r="L79">
        <v>640</v>
      </c>
      <c r="M79" s="729">
        <f>+J79/J77</f>
        <v>0.10837959291567539</v>
      </c>
      <c r="N79" s="729">
        <f t="shared" ref="N79:O79" si="17">+K79/K77</f>
        <v>0.1525940996948118</v>
      </c>
      <c r="O79" s="729">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2022-12-03T03:43:54Z</dcterms:modified>
</cp:coreProperties>
</file>