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9.xml" ContentType="application/vnd.openxmlformats-officedocument.drawing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ARMEN\Documents\GitHub\TIMES-UIS-v1-Nov\"/>
    </mc:Choice>
  </mc:AlternateContent>
  <xr:revisionPtr revIDLastSave="0" documentId="13_ncr:1_{B6219B83-5D78-487D-8C76-C6822C79C0EF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REF1" sheetId="16" r:id="rId8"/>
    <sheet name="REF2" sheetId="17" r:id="rId9"/>
    <sheet name="4.2 Ref_Barranca" sheetId="9" r:id="rId10"/>
    <sheet name="4.1 Ref_Cart" sheetId="8" r:id="rId11"/>
    <sheet name="5. ANH" sheetId="10" r:id="rId12"/>
    <sheet name="5. GlobalData" sheetId="11" r:id="rId13"/>
    <sheet name="5. Data" sheetId="12" r:id="rId14"/>
    <sheet name="5. Oilfields" sheetId="13" r:id="rId15"/>
    <sheet name="General_SEC_SGC" sheetId="14" r:id="rId16"/>
    <sheet name="6. a Reservas" sheetId="15" r:id="rId17"/>
  </sheets>
  <definedNames>
    <definedName name="_xlnm._FilterDatabase" localSheetId="3" hidden="1">'1. EXP_IMP'!$I$233:$Q$233</definedName>
    <definedName name="_xlnm._FilterDatabase" localSheetId="11" hidden="1">'5. ANH'!$C$12:$W$12</definedName>
    <definedName name="_xlnm._FilterDatabase" localSheetId="13" hidden="1">'5. Data'!$J$98:$AA$98</definedName>
    <definedName name="_xlnm._FilterDatabase" localSheetId="12" hidden="1">'5. GlobalData'!$C$38:$K$38</definedName>
    <definedName name="solver_adj" localSheetId="7" hidden="1">'REF1'!$H$44:$H$45</definedName>
    <definedName name="solver_adj" localSheetId="8" hidden="1">'REF2'!$H$35:$H$36</definedName>
    <definedName name="solver_cvg" localSheetId="7" hidden="1">0.0001</definedName>
    <definedName name="solver_cvg" localSheetId="8" hidden="1">0.0001</definedName>
    <definedName name="solver_drv" localSheetId="7" hidden="1">2</definedName>
    <definedName name="solver_drv" localSheetId="8" hidden="1">2</definedName>
    <definedName name="solver_eng" localSheetId="7" hidden="1">1</definedName>
    <definedName name="solver_eng" localSheetId="8" hidden="1">1</definedName>
    <definedName name="solver_est" localSheetId="7" hidden="1">1</definedName>
    <definedName name="solver_est" localSheetId="8" hidden="1">1</definedName>
    <definedName name="solver_itr" localSheetId="7" hidden="1">2147483647</definedName>
    <definedName name="solver_itr" localSheetId="8" hidden="1">2147483647</definedName>
    <definedName name="solver_lhs1" localSheetId="7" hidden="1">'REF1'!$H$46</definedName>
    <definedName name="solver_lhs1" localSheetId="8" hidden="1">'REF2'!$H$38</definedName>
    <definedName name="solver_mip" localSheetId="7" hidden="1">2147483647</definedName>
    <definedName name="solver_mip" localSheetId="8" hidden="1">2147483647</definedName>
    <definedName name="solver_mni" localSheetId="7" hidden="1">30</definedName>
    <definedName name="solver_mni" localSheetId="8" hidden="1">30</definedName>
    <definedName name="solver_mrt" localSheetId="7" hidden="1">0.075</definedName>
    <definedName name="solver_mrt" localSheetId="8" hidden="1">0.075</definedName>
    <definedName name="solver_msl" localSheetId="7" hidden="1">2</definedName>
    <definedName name="solver_msl" localSheetId="8" hidden="1">2</definedName>
    <definedName name="solver_neg" localSheetId="7" hidden="1">1</definedName>
    <definedName name="solver_neg" localSheetId="8" hidden="1">1</definedName>
    <definedName name="solver_nod" localSheetId="7" hidden="1">2147483647</definedName>
    <definedName name="solver_nod" localSheetId="8" hidden="1">2147483647</definedName>
    <definedName name="solver_num" localSheetId="7" hidden="1">1</definedName>
    <definedName name="solver_num" localSheetId="8" hidden="1">1</definedName>
    <definedName name="solver_nwt" localSheetId="7" hidden="1">1</definedName>
    <definedName name="solver_nwt" localSheetId="8" hidden="1">1</definedName>
    <definedName name="solver_opt" localSheetId="7" hidden="1">'REF1'!$J$46</definedName>
    <definedName name="solver_opt" localSheetId="8" hidden="1">'REF2'!$J$38</definedName>
    <definedName name="solver_pre" localSheetId="7" hidden="1">0.000001</definedName>
    <definedName name="solver_pre" localSheetId="8" hidden="1">0.000001</definedName>
    <definedName name="solver_rbv" localSheetId="7" hidden="1">2</definedName>
    <definedName name="solver_rbv" localSheetId="8" hidden="1">2</definedName>
    <definedName name="solver_rel1" localSheetId="7" hidden="1">2</definedName>
    <definedName name="solver_rel1" localSheetId="8" hidden="1">2</definedName>
    <definedName name="solver_rhs1" localSheetId="7" hidden="1">100</definedName>
    <definedName name="solver_rhs1" localSheetId="8" hidden="1">100</definedName>
    <definedName name="solver_rlx" localSheetId="7" hidden="1">2</definedName>
    <definedName name="solver_rlx" localSheetId="8" hidden="1">2</definedName>
    <definedName name="solver_rsd" localSheetId="7" hidden="1">0</definedName>
    <definedName name="solver_rsd" localSheetId="8" hidden="1">0</definedName>
    <definedName name="solver_scl" localSheetId="7" hidden="1">2</definedName>
    <definedName name="solver_scl" localSheetId="8" hidden="1">2</definedName>
    <definedName name="solver_sho" localSheetId="7" hidden="1">2</definedName>
    <definedName name="solver_sho" localSheetId="8" hidden="1">2</definedName>
    <definedName name="solver_ssz" localSheetId="7" hidden="1">100</definedName>
    <definedName name="solver_ssz" localSheetId="8" hidden="1">100</definedName>
    <definedName name="solver_tim" localSheetId="7" hidden="1">2147483647</definedName>
    <definedName name="solver_tim" localSheetId="8" hidden="1">2147483647</definedName>
    <definedName name="solver_tol" localSheetId="7" hidden="1">0.01</definedName>
    <definedName name="solver_tol" localSheetId="8" hidden="1">0.01</definedName>
    <definedName name="solver_typ" localSheetId="7" hidden="1">3</definedName>
    <definedName name="solver_typ" localSheetId="8" hidden="1">3</definedName>
    <definedName name="solver_val" localSheetId="7" hidden="1">32677</definedName>
    <definedName name="solver_val" localSheetId="8" hidden="1">31836</definedName>
    <definedName name="solver_ver" localSheetId="7" hidden="1">3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10" i="12" l="1"/>
  <c r="AB210" i="12"/>
  <c r="AC210" i="12"/>
  <c r="Z209" i="12"/>
  <c r="R209" i="12"/>
  <c r="R210" i="12"/>
  <c r="N101" i="12"/>
  <c r="E31" i="4"/>
  <c r="T22" i="3"/>
  <c r="D78" i="4" l="1"/>
  <c r="D73" i="4"/>
  <c r="I77" i="4"/>
  <c r="I76" i="4"/>
  <c r="T9" i="3"/>
  <c r="T10" i="3" s="1"/>
  <c r="P9" i="3"/>
  <c r="P10" i="3" s="1"/>
  <c r="E36" i="16"/>
  <c r="Y28" i="12"/>
  <c r="C223" i="17" l="1"/>
  <c r="C222" i="17"/>
  <c r="C221" i="17"/>
  <c r="C220" i="17"/>
  <c r="D184" i="17"/>
  <c r="E159" i="17"/>
  <c r="J180" i="17" s="1"/>
  <c r="K182" i="17"/>
  <c r="F168" i="17"/>
  <c r="E167" i="17"/>
  <c r="E109" i="17" l="1"/>
  <c r="E108" i="17"/>
  <c r="E107" i="17"/>
  <c r="E102" i="16"/>
  <c r="E103" i="16"/>
  <c r="E111" i="17"/>
  <c r="I111" i="17" s="1"/>
  <c r="E102" i="17"/>
  <c r="G55" i="7"/>
  <c r="E110" i="17" l="1"/>
  <c r="D59" i="7"/>
  <c r="D58" i="7" s="1"/>
  <c r="E85" i="17"/>
  <c r="E83" i="17"/>
  <c r="E84" i="17"/>
  <c r="E92" i="17"/>
  <c r="E68" i="17" l="1"/>
  <c r="G223" i="17" s="1"/>
  <c r="E64" i="17"/>
  <c r="H38" i="17"/>
  <c r="E35" i="17"/>
  <c r="F167" i="17" s="1"/>
  <c r="C192" i="17"/>
  <c r="C198" i="17" s="1"/>
  <c r="D182" i="17"/>
  <c r="E198" i="17" s="1"/>
  <c r="D181" i="17"/>
  <c r="C167" i="17"/>
  <c r="C173" i="17" s="1"/>
  <c r="C159" i="17"/>
  <c r="E158" i="17"/>
  <c r="C158" i="17"/>
  <c r="E157" i="17"/>
  <c r="D186" i="17" s="1"/>
  <c r="C157" i="17"/>
  <c r="E156" i="17"/>
  <c r="D183" i="17" s="1"/>
  <c r="D198" i="17" s="1"/>
  <c r="C156" i="17"/>
  <c r="F97" i="17"/>
  <c r="G97" i="17" s="1"/>
  <c r="G193" i="17" s="1"/>
  <c r="E50" i="17"/>
  <c r="G47" i="17"/>
  <c r="H46" i="17"/>
  <c r="E45" i="17"/>
  <c r="G39" i="17"/>
  <c r="E36" i="17"/>
  <c r="F169" i="17" s="1"/>
  <c r="O22" i="17"/>
  <c r="K22" i="17"/>
  <c r="L22" i="17" s="1"/>
  <c r="J22" i="17"/>
  <c r="O21" i="17"/>
  <c r="K21" i="17"/>
  <c r="L21" i="17" s="1"/>
  <c r="J21" i="17"/>
  <c r="C21" i="17"/>
  <c r="O20" i="17"/>
  <c r="K20" i="17"/>
  <c r="L20" i="17" s="1"/>
  <c r="J20" i="17"/>
  <c r="O19" i="17"/>
  <c r="J19" i="17"/>
  <c r="O18" i="17"/>
  <c r="K18" i="17"/>
  <c r="L18" i="17" s="1"/>
  <c r="J18" i="17"/>
  <c r="O17" i="17"/>
  <c r="K17" i="17"/>
  <c r="L17" i="17" s="1"/>
  <c r="J17" i="17"/>
  <c r="C17" i="17"/>
  <c r="E17" i="17" s="1"/>
  <c r="B17" i="17"/>
  <c r="O16" i="17"/>
  <c r="K16" i="17"/>
  <c r="L16" i="17" s="1"/>
  <c r="J16" i="17"/>
  <c r="C16" i="17"/>
  <c r="E16" i="17" s="1"/>
  <c r="B16" i="17"/>
  <c r="O15" i="17"/>
  <c r="K15" i="17"/>
  <c r="L15" i="17" s="1"/>
  <c r="J15" i="17"/>
  <c r="B15" i="17"/>
  <c r="A15" i="17"/>
  <c r="O14" i="17"/>
  <c r="K14" i="17"/>
  <c r="L14" i="17" s="1"/>
  <c r="J14" i="17"/>
  <c r="B14" i="17"/>
  <c r="A14" i="17"/>
  <c r="O13" i="17"/>
  <c r="K13" i="17"/>
  <c r="L13" i="17" s="1"/>
  <c r="J13" i="17"/>
  <c r="B13" i="17"/>
  <c r="A13" i="17"/>
  <c r="O12" i="17"/>
  <c r="J12" i="17"/>
  <c r="B12" i="17"/>
  <c r="A12" i="17"/>
  <c r="O11" i="17"/>
  <c r="K11" i="17"/>
  <c r="L11" i="17" s="1"/>
  <c r="J11" i="17"/>
  <c r="B11" i="17"/>
  <c r="A11" i="17"/>
  <c r="O10" i="17"/>
  <c r="U11" i="17" s="1"/>
  <c r="J10" i="17"/>
  <c r="B10" i="17"/>
  <c r="A10" i="17"/>
  <c r="O9" i="17"/>
  <c r="J9" i="17"/>
  <c r="B9" i="17"/>
  <c r="A9" i="17"/>
  <c r="O8" i="17"/>
  <c r="K8" i="17"/>
  <c r="L8" i="17" s="1"/>
  <c r="J8" i="17"/>
  <c r="B8" i="17"/>
  <c r="A8" i="17"/>
  <c r="O7" i="17"/>
  <c r="K7" i="17"/>
  <c r="L7" i="17" s="1"/>
  <c r="J7" i="17"/>
  <c r="B7" i="17"/>
  <c r="A7" i="17"/>
  <c r="O6" i="17"/>
  <c r="K6" i="17"/>
  <c r="L6" i="17" s="1"/>
  <c r="J6" i="17"/>
  <c r="D6" i="17"/>
  <c r="C6" i="17"/>
  <c r="B6" i="17"/>
  <c r="O5" i="17"/>
  <c r="K5" i="17"/>
  <c r="J5" i="17"/>
  <c r="D5" i="17"/>
  <c r="K4" i="17"/>
  <c r="D4" i="17"/>
  <c r="C4" i="17"/>
  <c r="A2" i="17"/>
  <c r="C187" i="16"/>
  <c r="C193" i="16" s="1"/>
  <c r="J175" i="16"/>
  <c r="G177" i="16"/>
  <c r="K177" i="16"/>
  <c r="D178" i="16"/>
  <c r="D193" i="16" s="1"/>
  <c r="C154" i="16"/>
  <c r="D179" i="16" s="1"/>
  <c r="C153" i="16"/>
  <c r="D180" i="16" s="1"/>
  <c r="A154" i="16"/>
  <c r="A153" i="16"/>
  <c r="D177" i="16"/>
  <c r="E193" i="16" s="1"/>
  <c r="D176" i="16"/>
  <c r="F164" i="16"/>
  <c r="F163" i="16"/>
  <c r="F162" i="16"/>
  <c r="C162" i="16"/>
  <c r="C168" i="16" s="1"/>
  <c r="C152" i="16"/>
  <c r="I175" i="16" s="1"/>
  <c r="A152" i="16"/>
  <c r="C151" i="16"/>
  <c r="H175" i="16" s="1"/>
  <c r="A151" i="16"/>
  <c r="E68" i="16"/>
  <c r="G218" i="16" s="1"/>
  <c r="K175" i="16" l="1"/>
  <c r="D185" i="17"/>
  <c r="K180" i="17"/>
  <c r="M6" i="17"/>
  <c r="P6" i="17" s="1"/>
  <c r="M7" i="17"/>
  <c r="P7" i="17" s="1"/>
  <c r="M8" i="17"/>
  <c r="P8" i="17" s="1"/>
  <c r="M11" i="17"/>
  <c r="P11" i="17" s="1"/>
  <c r="M13" i="17"/>
  <c r="P13" i="17" s="1"/>
  <c r="M14" i="17"/>
  <c r="P14" i="17" s="1"/>
  <c r="M15" i="17"/>
  <c r="P15" i="17" s="1"/>
  <c r="M17" i="17"/>
  <c r="P17" i="17" s="1"/>
  <c r="M18" i="17"/>
  <c r="P18" i="17" s="1"/>
  <c r="M20" i="17"/>
  <c r="P20" i="17" s="1"/>
  <c r="I46" i="17"/>
  <c r="J47" i="17" s="1"/>
  <c r="M16" i="17"/>
  <c r="P16" i="17" s="1"/>
  <c r="M21" i="17"/>
  <c r="P21" i="17" s="1"/>
  <c r="M22" i="17"/>
  <c r="P22" i="17" s="1"/>
  <c r="I38" i="17"/>
  <c r="J39" i="17" s="1"/>
  <c r="U10" i="17"/>
  <c r="U9" i="17"/>
  <c r="E38" i="17"/>
  <c r="E173" i="17"/>
  <c r="C193" i="17"/>
  <c r="C188" i="16"/>
  <c r="G38" i="17" l="1"/>
  <c r="G46" i="17"/>
  <c r="E64" i="16"/>
  <c r="O111" i="8"/>
  <c r="F96" i="16"/>
  <c r="G96" i="16" s="1"/>
  <c r="G188" i="16" s="1"/>
  <c r="C21" i="16"/>
  <c r="A2" i="16" l="1"/>
  <c r="E72" i="16"/>
  <c r="F72" i="16" s="1"/>
  <c r="G79" i="16"/>
  <c r="E74" i="16" s="1"/>
  <c r="E50" i="16" l="1"/>
  <c r="E168" i="16" s="1"/>
  <c r="D30" i="14" l="1"/>
  <c r="G47" i="16"/>
  <c r="H46" i="16"/>
  <c r="G39" i="16"/>
  <c r="H38" i="16"/>
  <c r="E45" i="16"/>
  <c r="E37" i="16"/>
  <c r="E38" i="16" s="1"/>
  <c r="K4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J5" i="16"/>
  <c r="K5" i="16"/>
  <c r="O5" i="16"/>
  <c r="J6" i="16"/>
  <c r="K6" i="16"/>
  <c r="L6" i="16" s="1"/>
  <c r="J7" i="16"/>
  <c r="K7" i="16"/>
  <c r="L7" i="16" s="1"/>
  <c r="J8" i="16"/>
  <c r="K8" i="16"/>
  <c r="L8" i="16" s="1"/>
  <c r="J9" i="16"/>
  <c r="J10" i="16"/>
  <c r="J11" i="16"/>
  <c r="K11" i="16"/>
  <c r="L11" i="16" s="1"/>
  <c r="J12" i="16"/>
  <c r="J13" i="16"/>
  <c r="K13" i="16"/>
  <c r="L13" i="16" s="1"/>
  <c r="M13" i="16" s="1"/>
  <c r="J14" i="16"/>
  <c r="K14" i="16"/>
  <c r="L14" i="16" s="1"/>
  <c r="J15" i="16"/>
  <c r="K15" i="16"/>
  <c r="L15" i="16" s="1"/>
  <c r="J16" i="16"/>
  <c r="K16" i="16"/>
  <c r="L16" i="16" s="1"/>
  <c r="J17" i="16"/>
  <c r="K17" i="16"/>
  <c r="L17" i="16" s="1"/>
  <c r="M17" i="16" s="1"/>
  <c r="J18" i="16"/>
  <c r="K18" i="16"/>
  <c r="L18" i="16" s="1"/>
  <c r="J19" i="16"/>
  <c r="J20" i="16"/>
  <c r="K20" i="16"/>
  <c r="L20" i="16" s="1"/>
  <c r="J21" i="16"/>
  <c r="K21" i="16"/>
  <c r="L21" i="16" s="1"/>
  <c r="M21" i="16" s="1"/>
  <c r="J22" i="16"/>
  <c r="K22" i="16"/>
  <c r="L22" i="16" s="1"/>
  <c r="C17" i="16"/>
  <c r="F73" i="16" s="1"/>
  <c r="F108" i="16" s="1"/>
  <c r="B17" i="16"/>
  <c r="C16" i="16"/>
  <c r="E16" i="16" s="1"/>
  <c r="B16" i="16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D6" i="16"/>
  <c r="C6" i="16"/>
  <c r="B6" i="16"/>
  <c r="D5" i="16"/>
  <c r="D4" i="16"/>
  <c r="C4" i="16"/>
  <c r="G76" i="7"/>
  <c r="G77" i="7"/>
  <c r="G78" i="7"/>
  <c r="G79" i="7"/>
  <c r="J83" i="7"/>
  <c r="J84" i="7"/>
  <c r="J85" i="7"/>
  <c r="J82" i="7"/>
  <c r="I83" i="7"/>
  <c r="I84" i="7"/>
  <c r="I85" i="7"/>
  <c r="I82" i="7"/>
  <c r="E51" i="7"/>
  <c r="D51" i="7"/>
  <c r="G31" i="7"/>
  <c r="H31" i="7"/>
  <c r="DL34" i="13"/>
  <c r="DN34" i="13" s="1"/>
  <c r="DN35" i="13" s="1"/>
  <c r="DN32" i="13"/>
  <c r="DN33" i="13"/>
  <c r="DQ34" i="13" l="1"/>
  <c r="DL35" i="13"/>
  <c r="E17" i="16"/>
  <c r="E108" i="16" s="1"/>
  <c r="I46" i="16"/>
  <c r="G46" i="16" s="1"/>
  <c r="M22" i="16"/>
  <c r="P22" i="16" s="1"/>
  <c r="M14" i="16"/>
  <c r="P14" i="16" s="1"/>
  <c r="M7" i="16"/>
  <c r="M15" i="16"/>
  <c r="M11" i="16"/>
  <c r="M6" i="16"/>
  <c r="P6" i="16" s="1"/>
  <c r="M18" i="16"/>
  <c r="P18" i="16" s="1"/>
  <c r="M20" i="16"/>
  <c r="M16" i="16"/>
  <c r="U11" i="16"/>
  <c r="U10" i="16"/>
  <c r="M8" i="16"/>
  <c r="P8" i="16" s="1"/>
  <c r="P21" i="16"/>
  <c r="P17" i="16"/>
  <c r="P13" i="16"/>
  <c r="P15" i="16"/>
  <c r="P11" i="16"/>
  <c r="P7" i="16"/>
  <c r="U9" i="16"/>
  <c r="P20" i="16"/>
  <c r="P16" i="16"/>
  <c r="G184" i="12"/>
  <c r="G185" i="12" s="1"/>
  <c r="G186" i="12" s="1"/>
  <c r="AR49" i="13"/>
  <c r="DC26" i="13"/>
  <c r="Q135" i="8"/>
  <c r="V23" i="9"/>
  <c r="N144" i="12"/>
  <c r="N143" i="12"/>
  <c r="N142" i="12"/>
  <c r="N141" i="12"/>
  <c r="CG9" i="13"/>
  <c r="CC9" i="13" s="1"/>
  <c r="CC10" i="13" s="1"/>
  <c r="J47" i="16" l="1"/>
  <c r="O79" i="15"/>
  <c r="N79" i="15"/>
  <c r="O78" i="15"/>
  <c r="N78" i="15"/>
  <c r="O69" i="15"/>
  <c r="L69" i="15"/>
  <c r="O67" i="15" s="1"/>
  <c r="K69" i="15"/>
  <c r="N69" i="15" s="1"/>
  <c r="J69" i="15"/>
  <c r="J77" i="15" s="1"/>
  <c r="M68" i="15"/>
  <c r="M67" i="15"/>
  <c r="O66" i="15"/>
  <c r="O64" i="15"/>
  <c r="N64" i="15"/>
  <c r="M64" i="15"/>
  <c r="M63" i="15"/>
  <c r="M62" i="15"/>
  <c r="O61" i="15"/>
  <c r="M61" i="15"/>
  <c r="O60" i="15"/>
  <c r="N60" i="15"/>
  <c r="M60" i="15"/>
  <c r="M59" i="15"/>
  <c r="J53" i="15"/>
  <c r="O51" i="15" s="1"/>
  <c r="O50" i="15"/>
  <c r="O49" i="15"/>
  <c r="O48" i="15"/>
  <c r="O46" i="15"/>
  <c r="M3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P18" i="15"/>
  <c r="M18" i="15"/>
  <c r="L18" i="15"/>
  <c r="J18" i="15"/>
  <c r="B18" i="15"/>
  <c r="P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Q28" i="15" s="1"/>
  <c r="P13" i="15"/>
  <c r="P28" i="15" s="1"/>
  <c r="O13" i="15"/>
  <c r="O28" i="15" s="1"/>
  <c r="N13" i="15"/>
  <c r="N18" i="15" s="1"/>
  <c r="M13" i="15"/>
  <c r="M28" i="15" s="1"/>
  <c r="L13" i="15"/>
  <c r="L28" i="15" s="1"/>
  <c r="K13" i="15"/>
  <c r="K28" i="15" s="1"/>
  <c r="J13" i="15"/>
  <c r="J28" i="15" s="1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K27" i="14"/>
  <c r="J27" i="14"/>
  <c r="R27" i="14" s="1"/>
  <c r="E27" i="14"/>
  <c r="K26" i="14"/>
  <c r="S26" i="14" s="1"/>
  <c r="J26" i="14"/>
  <c r="R26" i="14" s="1"/>
  <c r="R25" i="14"/>
  <c r="K25" i="14"/>
  <c r="S25" i="14" s="1"/>
  <c r="S20" i="14"/>
  <c r="K20" i="14"/>
  <c r="J20" i="14"/>
  <c r="R20" i="14" s="1"/>
  <c r="S19" i="14"/>
  <c r="K19" i="14"/>
  <c r="J19" i="14"/>
  <c r="R19" i="14" s="1"/>
  <c r="F19" i="14"/>
  <c r="D19" i="14"/>
  <c r="R18" i="14"/>
  <c r="K18" i="14"/>
  <c r="S18" i="14" s="1"/>
  <c r="J18" i="14"/>
  <c r="S17" i="14"/>
  <c r="R17" i="14"/>
  <c r="U12" i="14"/>
  <c r="E12" i="14"/>
  <c r="U11" i="14"/>
  <c r="R11" i="14"/>
  <c r="J11" i="14"/>
  <c r="K11" i="14" s="1"/>
  <c r="U10" i="14"/>
  <c r="K10" i="14"/>
  <c r="S10" i="14" s="1"/>
  <c r="J10" i="14"/>
  <c r="R10" i="14" s="1"/>
  <c r="U9" i="14"/>
  <c r="R9" i="14"/>
  <c r="J9" i="14"/>
  <c r="U8" i="14"/>
  <c r="M8" i="14"/>
  <c r="D8" i="14"/>
  <c r="AV35" i="13"/>
  <c r="AS35" i="13"/>
  <c r="BE33" i="13"/>
  <c r="BD33" i="13"/>
  <c r="BB33" i="13"/>
  <c r="BG26" i="13" s="1"/>
  <c r="AV33" i="13"/>
  <c r="AS33" i="13"/>
  <c r="AX26" i="13" s="1"/>
  <c r="DC32" i="13"/>
  <c r="DG15" i="13" s="1"/>
  <c r="DC31" i="13"/>
  <c r="BE31" i="13"/>
  <c r="BD31" i="13"/>
  <c r="BB31" i="13"/>
  <c r="BG25" i="13" s="1"/>
  <c r="AV31" i="13"/>
  <c r="AS31" i="13"/>
  <c r="AX25" i="13" s="1"/>
  <c r="DC30" i="13"/>
  <c r="DG13" i="13" s="1"/>
  <c r="AP30" i="13"/>
  <c r="AR48" i="13" s="1"/>
  <c r="AN30" i="13"/>
  <c r="DC29" i="13"/>
  <c r="BE29" i="13"/>
  <c r="BD29" i="13"/>
  <c r="DB27" i="13" s="1"/>
  <c r="DB28" i="13" s="1"/>
  <c r="BB29" i="13"/>
  <c r="BG24" i="13" s="1"/>
  <c r="AV29" i="13"/>
  <c r="AU29" i="13"/>
  <c r="AU31" i="13" s="1"/>
  <c r="AU33" i="13" s="1"/>
  <c r="AU35" i="13" s="1"/>
  <c r="AS29" i="13"/>
  <c r="AX24" i="13" s="1"/>
  <c r="DF28" i="13"/>
  <c r="DC28" i="13"/>
  <c r="DG27" i="13"/>
  <c r="DC27" i="13"/>
  <c r="DG10" i="13" s="1"/>
  <c r="AX27" i="13"/>
  <c r="DL23" i="13"/>
  <c r="DQ23" i="13" s="1"/>
  <c r="DV23" i="13" s="1"/>
  <c r="AP23" i="13" a="1"/>
  <c r="AP27" i="13" s="1"/>
  <c r="R22" i="13"/>
  <c r="BE21" i="13" a="1"/>
  <c r="BE22" i="13" s="1"/>
  <c r="BD21" i="13"/>
  <c r="BD22" i="13" s="1"/>
  <c r="AV21" i="13" a="1"/>
  <c r="AU21" i="13"/>
  <c r="AU22" i="13" s="1"/>
  <c r="AU23" i="13" s="1"/>
  <c r="R20" i="13"/>
  <c r="BE18" i="13" a="1"/>
  <c r="BD18" i="13"/>
  <c r="BD19" i="13" s="1"/>
  <c r="AV18" i="13" a="1"/>
  <c r="AV18" i="13" s="1"/>
  <c r="AU18" i="13"/>
  <c r="R18" i="13"/>
  <c r="CI17" i="13"/>
  <c r="CM13" i="13" s="1"/>
  <c r="CA17" i="13"/>
  <c r="CE13" i="13" s="1"/>
  <c r="R16" i="13"/>
  <c r="CI15" i="13"/>
  <c r="CM12" i="13" s="1"/>
  <c r="CA15" i="13"/>
  <c r="CE12" i="13" s="1"/>
  <c r="BE15" i="13" a="1"/>
  <c r="BD15" i="13"/>
  <c r="BD16" i="13" s="1"/>
  <c r="AV15" i="13" a="1"/>
  <c r="AV15" i="13" s="1"/>
  <c r="AU15" i="13"/>
  <c r="DM12" i="13" s="1"/>
  <c r="G15" i="13"/>
  <c r="DV14" i="13"/>
  <c r="DQ14" i="13"/>
  <c r="DM14" i="13"/>
  <c r="DL14" i="13"/>
  <c r="DG14" i="13"/>
  <c r="G14" i="13"/>
  <c r="DV13" i="13"/>
  <c r="DQ13" i="13"/>
  <c r="DL13" i="13"/>
  <c r="CO13" i="13"/>
  <c r="CK17" i="13" s="1"/>
  <c r="CK18" i="13" s="1"/>
  <c r="CI13" i="13"/>
  <c r="CM11" i="13" s="1"/>
  <c r="CG13" i="13"/>
  <c r="CC17" i="13" s="1"/>
  <c r="CC18" i="13" s="1"/>
  <c r="CF13" i="13"/>
  <c r="CA13" i="13"/>
  <c r="CE11" i="13" s="1"/>
  <c r="G13" i="13"/>
  <c r="DV12" i="13"/>
  <c r="DQ12" i="13"/>
  <c r="DL12" i="13"/>
  <c r="DG12" i="13"/>
  <c r="CO12" i="13"/>
  <c r="CK15" i="13" s="1"/>
  <c r="CK16" i="13" s="1"/>
  <c r="CG12" i="13"/>
  <c r="CC15" i="13" s="1"/>
  <c r="CC16" i="13" s="1"/>
  <c r="CF12" i="13"/>
  <c r="BE12" i="13" a="1"/>
  <c r="BD12" i="13"/>
  <c r="BD13" i="13" s="1"/>
  <c r="BD14" i="13" s="1"/>
  <c r="BB12" i="13" a="1"/>
  <c r="AV12" i="13" a="1"/>
  <c r="AU12" i="13"/>
  <c r="AU13" i="13" s="1"/>
  <c r="AU14" i="13" s="1"/>
  <c r="AS12" i="13" a="1"/>
  <c r="AS23" i="13" s="1"/>
  <c r="G12" i="13"/>
  <c r="DV11" i="13"/>
  <c r="DQ11" i="13"/>
  <c r="DL11" i="13"/>
  <c r="DG11" i="13"/>
  <c r="CO11" i="13"/>
  <c r="CK13" i="13" s="1"/>
  <c r="CK14" i="13" s="1"/>
  <c r="CI11" i="13"/>
  <c r="CM10" i="13" s="1"/>
  <c r="CG11" i="13"/>
  <c r="CC13" i="13" s="1"/>
  <c r="CC14" i="13" s="1"/>
  <c r="CF11" i="13"/>
  <c r="CC11" i="13"/>
  <c r="CC12" i="13" s="1"/>
  <c r="CA11" i="13"/>
  <c r="CE10" i="13" s="1"/>
  <c r="G11" i="13"/>
  <c r="DV10" i="13"/>
  <c r="DQ10" i="13"/>
  <c r="DM10" i="13"/>
  <c r="R12" i="13" s="1"/>
  <c r="R14" i="13" s="1"/>
  <c r="DL10" i="13"/>
  <c r="CO10" i="13"/>
  <c r="CK11" i="13" s="1"/>
  <c r="CK12" i="13" s="1"/>
  <c r="CJ10" i="13"/>
  <c r="CJ12" i="13" s="1"/>
  <c r="CG10" i="13"/>
  <c r="CF10" i="13"/>
  <c r="R10" i="13"/>
  <c r="G10" i="13"/>
  <c r="DW9" i="13" a="1"/>
  <c r="DW13" i="13" s="1"/>
  <c r="CT31" i="13" s="1"/>
  <c r="DV9" i="13"/>
  <c r="DU9" i="13" a="1"/>
  <c r="DR9" i="13" a="1"/>
  <c r="DR14" i="13" s="1"/>
  <c r="DQ9" i="13"/>
  <c r="DP9" i="13" a="1"/>
  <c r="DL9" i="13"/>
  <c r="DK9" i="13" a="1"/>
  <c r="DK11" i="13" s="1"/>
  <c r="DK24" i="13" s="1"/>
  <c r="DG9" i="13"/>
  <c r="CO9" i="13"/>
  <c r="CK9" i="13" s="1"/>
  <c r="CK10" i="13" s="1"/>
  <c r="CI9" i="13"/>
  <c r="CM9" i="13" s="1"/>
  <c r="CF9" i="13"/>
  <c r="CA9" i="13"/>
  <c r="CE9" i="13" s="1"/>
  <c r="BE10" i="13"/>
  <c r="BE9" i="13" a="1"/>
  <c r="BE11" i="13" s="1"/>
  <c r="BE9" i="13"/>
  <c r="BD9" i="13"/>
  <c r="DB26" i="13" s="1"/>
  <c r="BB9" i="13" a="1"/>
  <c r="BB9" i="13" s="1"/>
  <c r="AV9" i="13" a="1"/>
  <c r="AV9" i="13"/>
  <c r="AU9" i="13"/>
  <c r="DM9" i="13" s="1"/>
  <c r="AS9" i="13" a="1"/>
  <c r="AP9" i="13" a="1"/>
  <c r="AP15" i="13" s="1"/>
  <c r="N20" i="13"/>
  <c r="N9" i="13" a="1"/>
  <c r="G9" i="13"/>
  <c r="O229" i="12"/>
  <c r="AB226" i="12"/>
  <c r="AA226" i="12"/>
  <c r="Z226" i="12"/>
  <c r="BH21" i="13" s="1" a="1"/>
  <c r="AB225" i="12"/>
  <c r="AA225" i="12"/>
  <c r="Z225" i="12"/>
  <c r="AB224" i="12"/>
  <c r="AA224" i="12"/>
  <c r="Z224" i="12"/>
  <c r="AB223" i="12"/>
  <c r="AA223" i="12"/>
  <c r="Z223" i="12"/>
  <c r="AB221" i="12"/>
  <c r="AA221" i="12"/>
  <c r="Z221" i="12"/>
  <c r="BH24" i="13" s="1" a="1"/>
  <c r="AB220" i="12"/>
  <c r="AA220" i="12"/>
  <c r="BH10" i="13" s="1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AY27" i="13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X188" i="12"/>
  <c r="X187" i="12"/>
  <c r="X186" i="12"/>
  <c r="X185" i="12"/>
  <c r="X184" i="12"/>
  <c r="K178" i="12"/>
  <c r="K179" i="12" s="1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N147" i="12"/>
  <c r="AG32" i="13" s="1"/>
  <c r="J147" i="12"/>
  <c r="N146" i="12"/>
  <c r="AG31" i="13" s="1"/>
  <c r="M146" i="12"/>
  <c r="N145" i="12"/>
  <c r="AG30" i="13" s="1"/>
  <c r="J145" i="12"/>
  <c r="AG29" i="13"/>
  <c r="K144" i="12"/>
  <c r="AG28" i="13"/>
  <c r="AG27" i="13"/>
  <c r="AG26" i="13"/>
  <c r="J140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CU89" i="12"/>
  <c r="CT89" i="12"/>
  <c r="CO89" i="12"/>
  <c r="CN89" i="12"/>
  <c r="DB89" i="12" s="1"/>
  <c r="CM89" i="12"/>
  <c r="DA89" i="12" s="1"/>
  <c r="CL89" i="12"/>
  <c r="CZ89" i="12" s="1"/>
  <c r="CK89" i="12"/>
  <c r="CY89" i="12" s="1"/>
  <c r="CJ89" i="12"/>
  <c r="CX89" i="12" s="1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Q89" i="12" s="1"/>
  <c r="CB89" i="12"/>
  <c r="CP89" i="12" s="1"/>
  <c r="DA88" i="12"/>
  <c r="CX88" i="12"/>
  <c r="CP88" i="12"/>
  <c r="CO88" i="12"/>
  <c r="DC88" i="12" s="1"/>
  <c r="CN88" i="12"/>
  <c r="DB88" i="12" s="1"/>
  <c r="CM88" i="12"/>
  <c r="CL88" i="12"/>
  <c r="CZ88" i="12" s="1"/>
  <c r="CK88" i="12"/>
  <c r="CY88" i="12" s="1"/>
  <c r="CJ88" i="12"/>
  <c r="CI88" i="12"/>
  <c r="CW88" i="12" s="1"/>
  <c r="CH88" i="12"/>
  <c r="CV88" i="12" s="1"/>
  <c r="CG88" i="12"/>
  <c r="CU88" i="12" s="1"/>
  <c r="CF88" i="12"/>
  <c r="CT88" i="12" s="1"/>
  <c r="CE88" i="12"/>
  <c r="CS88" i="12" s="1"/>
  <c r="CD88" i="12"/>
  <c r="CR88" i="12" s="1"/>
  <c r="CC88" i="12"/>
  <c r="CQ88" i="12" s="1"/>
  <c r="CB88" i="12"/>
  <c r="DP87" i="12"/>
  <c r="DN87" i="12"/>
  <c r="DL87" i="12"/>
  <c r="DJ87" i="12"/>
  <c r="DH87" i="12"/>
  <c r="DB87" i="12"/>
  <c r="CT87" i="12"/>
  <c r="CS87" i="12"/>
  <c r="CO87" i="12"/>
  <c r="DC87" i="12" s="1"/>
  <c r="CN87" i="12"/>
  <c r="CM87" i="12"/>
  <c r="DA87" i="12" s="1"/>
  <c r="CL87" i="12"/>
  <c r="CZ87" i="12" s="1"/>
  <c r="CK87" i="12"/>
  <c r="CY87" i="12" s="1"/>
  <c r="CJ87" i="12"/>
  <c r="CX87" i="12" s="1"/>
  <c r="CI87" i="12"/>
  <c r="CW87" i="12" s="1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CP87" i="12" s="1"/>
  <c r="DP86" i="12"/>
  <c r="DN86" i="12"/>
  <c r="DL86" i="12"/>
  <c r="DJ86" i="12"/>
  <c r="DH86" i="12"/>
  <c r="DF86" i="12"/>
  <c r="DB86" i="12"/>
  <c r="CX86" i="12"/>
  <c r="CP86" i="12"/>
  <c r="CO86" i="12"/>
  <c r="DC86" i="12" s="1"/>
  <c r="CN86" i="12"/>
  <c r="CM86" i="12"/>
  <c r="DA86" i="12" s="1"/>
  <c r="CL86" i="12"/>
  <c r="CZ86" i="12" s="1"/>
  <c r="CK86" i="12"/>
  <c r="CY86" i="12" s="1"/>
  <c r="CJ86" i="12"/>
  <c r="CI86" i="12"/>
  <c r="CW86" i="12" s="1"/>
  <c r="CH86" i="12"/>
  <c r="CV86" i="12" s="1"/>
  <c r="CG86" i="12"/>
  <c r="CU86" i="12" s="1"/>
  <c r="CF86" i="12"/>
  <c r="CT86" i="12" s="1"/>
  <c r="CE86" i="12"/>
  <c r="CS86" i="12" s="1"/>
  <c r="CD86" i="12"/>
  <c r="CR86" i="12" s="1"/>
  <c r="CC86" i="12"/>
  <c r="CQ86" i="12" s="1"/>
  <c r="CB86" i="12"/>
  <c r="DP85" i="12"/>
  <c r="DN85" i="12"/>
  <c r="DL85" i="12"/>
  <c r="DJ85" i="12"/>
  <c r="DH85" i="12"/>
  <c r="CZ85" i="12"/>
  <c r="CV85" i="12"/>
  <c r="CR85" i="12"/>
  <c r="CO85" i="12"/>
  <c r="DC85" i="12" s="1"/>
  <c r="CN85" i="12"/>
  <c r="DB85" i="12" s="1"/>
  <c r="CM85" i="12"/>
  <c r="DA85" i="12" s="1"/>
  <c r="CL85" i="12"/>
  <c r="CK85" i="12"/>
  <c r="CY85" i="12" s="1"/>
  <c r="CJ85" i="12"/>
  <c r="CX85" i="12" s="1"/>
  <c r="CI85" i="12"/>
  <c r="CW85" i="12" s="1"/>
  <c r="CH85" i="12"/>
  <c r="CG85" i="12"/>
  <c r="CU85" i="12" s="1"/>
  <c r="CF85" i="12"/>
  <c r="CT85" i="12" s="1"/>
  <c r="CE85" i="12"/>
  <c r="CS85" i="12" s="1"/>
  <c r="CD85" i="12"/>
  <c r="CC85" i="12"/>
  <c r="CQ85" i="12" s="1"/>
  <c r="CB85" i="12"/>
  <c r="CP85" i="12" s="1"/>
  <c r="DP84" i="12"/>
  <c r="DN84" i="12"/>
  <c r="DB84" i="12"/>
  <c r="CS84" i="12"/>
  <c r="CO84" i="12"/>
  <c r="DC84" i="12" s="1"/>
  <c r="CN84" i="12"/>
  <c r="CM84" i="12"/>
  <c r="DA84" i="12" s="1"/>
  <c r="CL84" i="12"/>
  <c r="CZ84" i="12" s="1"/>
  <c r="CK84" i="12"/>
  <c r="CY84" i="12" s="1"/>
  <c r="CJ84" i="12"/>
  <c r="CX84" i="12" s="1"/>
  <c r="CI84" i="12"/>
  <c r="CW84" i="12" s="1"/>
  <c r="CH84" i="12"/>
  <c r="CV84" i="12" s="1"/>
  <c r="CG84" i="12"/>
  <c r="CU84" i="12" s="1"/>
  <c r="CF84" i="12"/>
  <c r="CT84" i="12" s="1"/>
  <c r="CE84" i="12"/>
  <c r="CD84" i="12"/>
  <c r="CR84" i="12" s="1"/>
  <c r="CC84" i="12"/>
  <c r="CQ84" i="12" s="1"/>
  <c r="CB84" i="12"/>
  <c r="CP84" i="12" s="1"/>
  <c r="DL83" i="12"/>
  <c r="DJ83" i="12"/>
  <c r="DH83" i="12"/>
  <c r="DF83" i="12"/>
  <c r="DB83" i="12"/>
  <c r="CT83" i="12"/>
  <c r="CS83" i="12"/>
  <c r="CO83" i="12"/>
  <c r="DC83" i="12" s="1"/>
  <c r="CN83" i="12"/>
  <c r="CM83" i="12"/>
  <c r="DA83" i="12" s="1"/>
  <c r="CL83" i="12"/>
  <c r="CZ83" i="12" s="1"/>
  <c r="CK83" i="12"/>
  <c r="CY83" i="12" s="1"/>
  <c r="CJ83" i="12"/>
  <c r="CX83" i="12" s="1"/>
  <c r="CI83" i="12"/>
  <c r="CW83" i="12" s="1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CP83" i="12" s="1"/>
  <c r="K83" i="12"/>
  <c r="DP82" i="12"/>
  <c r="DN82" i="12"/>
  <c r="DL82" i="12"/>
  <c r="DJ82" i="12"/>
  <c r="DH82" i="12"/>
  <c r="DF82" i="12"/>
  <c r="CZ82" i="12"/>
  <c r="CV82" i="12"/>
  <c r="CO82" i="12"/>
  <c r="DC82" i="12" s="1"/>
  <c r="CN82" i="12"/>
  <c r="DB82" i="12" s="1"/>
  <c r="CM82" i="12"/>
  <c r="DA82" i="12" s="1"/>
  <c r="CL82" i="12"/>
  <c r="CK82" i="12"/>
  <c r="CY82" i="12" s="1"/>
  <c r="CJ82" i="12"/>
  <c r="CX82" i="12" s="1"/>
  <c r="CI82" i="12"/>
  <c r="CW82" i="12" s="1"/>
  <c r="CH82" i="12"/>
  <c r="CG82" i="12"/>
  <c r="CU82" i="12" s="1"/>
  <c r="CF82" i="12"/>
  <c r="CT82" i="12" s="1"/>
  <c r="CE82" i="12"/>
  <c r="CS82" i="12" s="1"/>
  <c r="CD82" i="12"/>
  <c r="CR82" i="12" s="1"/>
  <c r="CC82" i="12"/>
  <c r="CQ82" i="12" s="1"/>
  <c r="CB82" i="12"/>
  <c r="CP82" i="12" s="1"/>
  <c r="DN81" i="12"/>
  <c r="DL81" i="12"/>
  <c r="DI81" i="12"/>
  <c r="DH81" i="12"/>
  <c r="CV81" i="12"/>
  <c r="CS81" i="12"/>
  <c r="CO81" i="12"/>
  <c r="DC81" i="12" s="1"/>
  <c r="CN81" i="12"/>
  <c r="DB81" i="12" s="1"/>
  <c r="CM81" i="12"/>
  <c r="DA81" i="12" s="1"/>
  <c r="CL81" i="12"/>
  <c r="CZ81" i="12" s="1"/>
  <c r="CK81" i="12"/>
  <c r="CY81" i="12" s="1"/>
  <c r="CJ81" i="12"/>
  <c r="CX81" i="12" s="1"/>
  <c r="CI81" i="12"/>
  <c r="CW81" i="12" s="1"/>
  <c r="CH81" i="12"/>
  <c r="CG81" i="12"/>
  <c r="CU81" i="12" s="1"/>
  <c r="CF81" i="12"/>
  <c r="CT81" i="12" s="1"/>
  <c r="CE81" i="12"/>
  <c r="CD81" i="12"/>
  <c r="CR81" i="12" s="1"/>
  <c r="CC81" i="12"/>
  <c r="CQ81" i="12" s="1"/>
  <c r="CB81" i="12"/>
  <c r="CP81" i="12" s="1"/>
  <c r="DN80" i="12"/>
  <c r="DL80" i="12"/>
  <c r="DJ80" i="12"/>
  <c r="DH80" i="12"/>
  <c r="DA80" i="12"/>
  <c r="CO80" i="12"/>
  <c r="DC80" i="12" s="1"/>
  <c r="CN80" i="12"/>
  <c r="DB80" i="12" s="1"/>
  <c r="CM80" i="12"/>
  <c r="CL80" i="12"/>
  <c r="CZ80" i="12" s="1"/>
  <c r="CK80" i="12"/>
  <c r="CY80" i="12" s="1"/>
  <c r="CJ80" i="12"/>
  <c r="CX80" i="12" s="1"/>
  <c r="CI80" i="12"/>
  <c r="CW80" i="12" s="1"/>
  <c r="CH80" i="12"/>
  <c r="CV80" i="12" s="1"/>
  <c r="CG80" i="12"/>
  <c r="CU80" i="12" s="1"/>
  <c r="CF80" i="12"/>
  <c r="CT80" i="12" s="1"/>
  <c r="CE80" i="12"/>
  <c r="CS80" i="12" s="1"/>
  <c r="CD80" i="12"/>
  <c r="CR80" i="12" s="1"/>
  <c r="CC80" i="12"/>
  <c r="CQ80" i="12" s="1"/>
  <c r="CB80" i="12"/>
  <c r="CP80" i="12" s="1"/>
  <c r="DL79" i="12"/>
  <c r="DJ79" i="12"/>
  <c r="DH79" i="12"/>
  <c r="DF79" i="12"/>
  <c r="DA79" i="12"/>
  <c r="CW79" i="12"/>
  <c r="CV79" i="12"/>
  <c r="CS79" i="12"/>
  <c r="CO79" i="12"/>
  <c r="DC79" i="12" s="1"/>
  <c r="CN79" i="12"/>
  <c r="DB79" i="12" s="1"/>
  <c r="CM79" i="12"/>
  <c r="CL79" i="12"/>
  <c r="CZ79" i="12" s="1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R79" i="12" s="1"/>
  <c r="CC79" i="12"/>
  <c r="CQ79" i="12" s="1"/>
  <c r="CB79" i="12"/>
  <c r="CP79" i="12" s="1"/>
  <c r="DL78" i="12"/>
  <c r="DJ78" i="12"/>
  <c r="DH78" i="12"/>
  <c r="DC78" i="12"/>
  <c r="CZ78" i="12"/>
  <c r="CV78" i="12"/>
  <c r="CU78" i="12"/>
  <c r="CR78" i="12"/>
  <c r="CO78" i="12"/>
  <c r="CN78" i="12"/>
  <c r="DB78" i="12" s="1"/>
  <c r="CM78" i="12"/>
  <c r="DA78" i="12" s="1"/>
  <c r="CL78" i="12"/>
  <c r="CK78" i="12"/>
  <c r="CY78" i="12" s="1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Q78" i="12" s="1"/>
  <c r="CB78" i="12"/>
  <c r="CP78" i="12" s="1"/>
  <c r="U78" i="12"/>
  <c r="DN77" i="12"/>
  <c r="DL77" i="12"/>
  <c r="DJ77" i="12"/>
  <c r="DH77" i="12"/>
  <c r="CV77" i="12"/>
  <c r="CR77" i="12"/>
  <c r="CQ77" i="12"/>
  <c r="CO77" i="12"/>
  <c r="DC77" i="12" s="1"/>
  <c r="CN77" i="12"/>
  <c r="DB77" i="12" s="1"/>
  <c r="CM77" i="12"/>
  <c r="DA77" i="12" s="1"/>
  <c r="CL77" i="12"/>
  <c r="CZ77" i="12" s="1"/>
  <c r="CK77" i="12"/>
  <c r="CY77" i="12" s="1"/>
  <c r="CJ77" i="12"/>
  <c r="CX77" i="12" s="1"/>
  <c r="CI77" i="12"/>
  <c r="CW77" i="12" s="1"/>
  <c r="CH77" i="12"/>
  <c r="CG77" i="12"/>
  <c r="CU77" i="12" s="1"/>
  <c r="CF77" i="12"/>
  <c r="CT77" i="12" s="1"/>
  <c r="CE77" i="12"/>
  <c r="CS77" i="12" s="1"/>
  <c r="CD77" i="12"/>
  <c r="CC77" i="12"/>
  <c r="CB77" i="12"/>
  <c r="CP77" i="12" s="1"/>
  <c r="U77" i="12"/>
  <c r="DH76" i="12"/>
  <c r="CV76" i="12"/>
  <c r="CO76" i="12"/>
  <c r="DC76" i="12" s="1"/>
  <c r="CN76" i="12"/>
  <c r="DB76" i="12" s="1"/>
  <c r="CM76" i="12"/>
  <c r="DA76" i="12" s="1"/>
  <c r="CL76" i="12"/>
  <c r="CZ76" i="12" s="1"/>
  <c r="CK76" i="12"/>
  <c r="CY76" i="12" s="1"/>
  <c r="CJ76" i="12"/>
  <c r="CX76" i="12" s="1"/>
  <c r="CI76" i="12"/>
  <c r="CW76" i="12" s="1"/>
  <c r="CH76" i="12"/>
  <c r="CG76" i="12"/>
  <c r="CU76" i="12" s="1"/>
  <c r="CF76" i="12"/>
  <c r="CT76" i="12" s="1"/>
  <c r="CE76" i="12"/>
  <c r="CS76" i="12" s="1"/>
  <c r="CD76" i="12"/>
  <c r="CR76" i="12" s="1"/>
  <c r="CC76" i="12"/>
  <c r="CQ76" i="12" s="1"/>
  <c r="CB76" i="12"/>
  <c r="CP76" i="12" s="1"/>
  <c r="K76" i="12"/>
  <c r="DP75" i="12"/>
  <c r="DO75" i="12"/>
  <c r="DN75" i="12"/>
  <c r="DL75" i="12"/>
  <c r="DJ75" i="12"/>
  <c r="DH75" i="12"/>
  <c r="CZ75" i="12"/>
  <c r="CV75" i="12"/>
  <c r="CR75" i="12"/>
  <c r="CO75" i="12"/>
  <c r="DC75" i="12" s="1"/>
  <c r="CN75" i="12"/>
  <c r="DB75" i="12" s="1"/>
  <c r="CM75" i="12"/>
  <c r="DA75" i="12" s="1"/>
  <c r="CL75" i="12"/>
  <c r="CK75" i="12"/>
  <c r="CY75" i="12" s="1"/>
  <c r="CJ75" i="12"/>
  <c r="CX75" i="12" s="1"/>
  <c r="CI75" i="12"/>
  <c r="CW75" i="12" s="1"/>
  <c r="CH75" i="12"/>
  <c r="CG75" i="12"/>
  <c r="CU75" i="12" s="1"/>
  <c r="CF75" i="12"/>
  <c r="CT75" i="12" s="1"/>
  <c r="CE75" i="12"/>
  <c r="CS75" i="12" s="1"/>
  <c r="CD75" i="12"/>
  <c r="CC75" i="12"/>
  <c r="CQ75" i="12" s="1"/>
  <c r="CB75" i="12"/>
  <c r="CP75" i="12" s="1"/>
  <c r="DJ74" i="12"/>
  <c r="DH74" i="12"/>
  <c r="DF74" i="12"/>
  <c r="CU74" i="12"/>
  <c r="CO74" i="12"/>
  <c r="DC74" i="12" s="1"/>
  <c r="CN74" i="12"/>
  <c r="DB74" i="12" s="1"/>
  <c r="CM74" i="12"/>
  <c r="DA74" i="12" s="1"/>
  <c r="CL74" i="12"/>
  <c r="CZ74" i="12" s="1"/>
  <c r="CK74" i="12"/>
  <c r="CY74" i="12" s="1"/>
  <c r="CJ74" i="12"/>
  <c r="CX74" i="12" s="1"/>
  <c r="CI74" i="12"/>
  <c r="CW74" i="12" s="1"/>
  <c r="CH74" i="12"/>
  <c r="CV74" i="12" s="1"/>
  <c r="CG74" i="12"/>
  <c r="CF74" i="12"/>
  <c r="CT74" i="12" s="1"/>
  <c r="CE74" i="12"/>
  <c r="CS74" i="12" s="1"/>
  <c r="CD74" i="12"/>
  <c r="CR74" i="12" s="1"/>
  <c r="CC74" i="12"/>
  <c r="CQ74" i="12" s="1"/>
  <c r="CB74" i="12"/>
  <c r="CP74" i="12" s="1"/>
  <c r="K74" i="12"/>
  <c r="DP73" i="12"/>
  <c r="DN73" i="12"/>
  <c r="DL73" i="12"/>
  <c r="DJ73" i="12"/>
  <c r="DC73" i="12"/>
  <c r="CY73" i="12"/>
  <c r="CU73" i="12"/>
  <c r="CQ73" i="12"/>
  <c r="CO73" i="12"/>
  <c r="CN73" i="12"/>
  <c r="DB73" i="12" s="1"/>
  <c r="CM73" i="12"/>
  <c r="DA73" i="12" s="1"/>
  <c r="CL73" i="12"/>
  <c r="CZ73" i="12" s="1"/>
  <c r="CK73" i="12"/>
  <c r="CJ73" i="12"/>
  <c r="CX73" i="12" s="1"/>
  <c r="CI73" i="12"/>
  <c r="CW73" i="12" s="1"/>
  <c r="CH73" i="12"/>
  <c r="CV73" i="12" s="1"/>
  <c r="CG73" i="12"/>
  <c r="CF73" i="12"/>
  <c r="CT73" i="12" s="1"/>
  <c r="CE73" i="12"/>
  <c r="CS73" i="12" s="1"/>
  <c r="CD73" i="12"/>
  <c r="CR73" i="12" s="1"/>
  <c r="CC73" i="12"/>
  <c r="CB73" i="12"/>
  <c r="CP73" i="12" s="1"/>
  <c r="U73" i="12"/>
  <c r="K73" i="12"/>
  <c r="CZ72" i="12"/>
  <c r="CW72" i="12"/>
  <c r="CO72" i="12"/>
  <c r="DC72" i="12" s="1"/>
  <c r="CN72" i="12"/>
  <c r="DB72" i="12" s="1"/>
  <c r="CM72" i="12"/>
  <c r="DA72" i="12" s="1"/>
  <c r="CL72" i="12"/>
  <c r="CK72" i="12"/>
  <c r="CY72" i="12" s="1"/>
  <c r="CJ72" i="12"/>
  <c r="CX72" i="12" s="1"/>
  <c r="CI72" i="12"/>
  <c r="CH72" i="12"/>
  <c r="CV72" i="12" s="1"/>
  <c r="CG72" i="12"/>
  <c r="CU72" i="12" s="1"/>
  <c r="CF72" i="12"/>
  <c r="CT72" i="12" s="1"/>
  <c r="CE72" i="12"/>
  <c r="CS72" i="12" s="1"/>
  <c r="CD72" i="12"/>
  <c r="CR72" i="12" s="1"/>
  <c r="CC72" i="12"/>
  <c r="CQ72" i="12" s="1"/>
  <c r="CB72" i="12"/>
  <c r="CP72" i="12" s="1"/>
  <c r="DF71" i="12"/>
  <c r="DA71" i="12"/>
  <c r="CW71" i="12"/>
  <c r="CS71" i="12"/>
  <c r="CO71" i="12"/>
  <c r="DC71" i="12" s="1"/>
  <c r="CN71" i="12"/>
  <c r="DB71" i="12" s="1"/>
  <c r="CM71" i="12"/>
  <c r="CL71" i="12"/>
  <c r="CZ71" i="12" s="1"/>
  <c r="CK71" i="12"/>
  <c r="CY71" i="12" s="1"/>
  <c r="CJ71" i="12"/>
  <c r="CX71" i="12" s="1"/>
  <c r="CI71" i="12"/>
  <c r="CH71" i="12"/>
  <c r="CV71" i="12" s="1"/>
  <c r="CG71" i="12"/>
  <c r="CU71" i="12" s="1"/>
  <c r="CF71" i="12"/>
  <c r="CT71" i="12" s="1"/>
  <c r="CE71" i="12"/>
  <c r="CD71" i="12"/>
  <c r="CR71" i="12" s="1"/>
  <c r="CC71" i="12"/>
  <c r="CQ71" i="12" s="1"/>
  <c r="CB71" i="12"/>
  <c r="CP71" i="12" s="1"/>
  <c r="DP70" i="12"/>
  <c r="DN70" i="12"/>
  <c r="DL70" i="12"/>
  <c r="DJ70" i="12"/>
  <c r="DH70" i="12"/>
  <c r="CX70" i="12"/>
  <c r="CU70" i="12"/>
  <c r="CO70" i="12"/>
  <c r="DC70" i="12" s="1"/>
  <c r="CN70" i="12"/>
  <c r="DB70" i="12" s="1"/>
  <c r="CM70" i="12"/>
  <c r="DA70" i="12" s="1"/>
  <c r="CL70" i="12"/>
  <c r="CZ70" i="12" s="1"/>
  <c r="CK70" i="12"/>
  <c r="CY70" i="12" s="1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R70" i="12" s="1"/>
  <c r="CC70" i="12"/>
  <c r="CQ70" i="12" s="1"/>
  <c r="CB70" i="12"/>
  <c r="CP70" i="12" s="1"/>
  <c r="DC69" i="12"/>
  <c r="CY69" i="12"/>
  <c r="CU69" i="12"/>
  <c r="CR69" i="12"/>
  <c r="CQ69" i="12"/>
  <c r="CO69" i="12"/>
  <c r="CN69" i="12"/>
  <c r="DB69" i="12" s="1"/>
  <c r="CM69" i="12"/>
  <c r="DA69" i="12" s="1"/>
  <c r="CL69" i="12"/>
  <c r="CZ69" i="12" s="1"/>
  <c r="CK69" i="12"/>
  <c r="CJ69" i="12"/>
  <c r="CX69" i="12" s="1"/>
  <c r="CI69" i="12"/>
  <c r="CW69" i="12" s="1"/>
  <c r="CH69" i="12"/>
  <c r="CV69" i="12" s="1"/>
  <c r="CG69" i="12"/>
  <c r="CF69" i="12"/>
  <c r="CT69" i="12" s="1"/>
  <c r="CE69" i="12"/>
  <c r="CS69" i="12" s="1"/>
  <c r="CD69" i="12"/>
  <c r="CC69" i="12"/>
  <c r="CB69" i="12"/>
  <c r="CP69" i="12" s="1"/>
  <c r="CV68" i="12"/>
  <c r="CU68" i="12"/>
  <c r="CO68" i="12"/>
  <c r="DC68" i="12" s="1"/>
  <c r="CN68" i="12"/>
  <c r="DB68" i="12" s="1"/>
  <c r="CM68" i="12"/>
  <c r="DA68" i="12" s="1"/>
  <c r="CL68" i="12"/>
  <c r="CZ68" i="12" s="1"/>
  <c r="CK68" i="12"/>
  <c r="CY68" i="12" s="1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R68" i="12" s="1"/>
  <c r="CC68" i="12"/>
  <c r="CQ68" i="12" s="1"/>
  <c r="CB68" i="12"/>
  <c r="CP68" i="12" s="1"/>
  <c r="DF67" i="12"/>
  <c r="CZ67" i="12"/>
  <c r="CV67" i="12"/>
  <c r="CO67" i="12"/>
  <c r="DC67" i="12" s="1"/>
  <c r="CN67" i="12"/>
  <c r="DB67" i="12" s="1"/>
  <c r="CM67" i="12"/>
  <c r="DA67" i="12" s="1"/>
  <c r="CL67" i="12"/>
  <c r="CK67" i="12"/>
  <c r="CY67" i="12" s="1"/>
  <c r="CJ67" i="12"/>
  <c r="CX67" i="12" s="1"/>
  <c r="CI67" i="12"/>
  <c r="CW67" i="12" s="1"/>
  <c r="CH67" i="12"/>
  <c r="CG67" i="12"/>
  <c r="CU67" i="12" s="1"/>
  <c r="CF67" i="12"/>
  <c r="CT67" i="12" s="1"/>
  <c r="CE67" i="12"/>
  <c r="CS67" i="12" s="1"/>
  <c r="CD67" i="12"/>
  <c r="CR67" i="12" s="1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Y55" i="12"/>
  <c r="N87" i="12" s="1"/>
  <c r="AE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Y54" i="12"/>
  <c r="N86" i="12" s="1"/>
  <c r="X54" i="12"/>
  <c r="V86" i="12" s="1"/>
  <c r="W54" i="12"/>
  <c r="U86" i="12" s="1"/>
  <c r="V54" i="12"/>
  <c r="T86" i="12" s="1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Y48" i="12"/>
  <c r="N80" i="12" s="1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Y46" i="12"/>
  <c r="N78" i="12" s="1"/>
  <c r="X46" i="12"/>
  <c r="V78" i="12" s="1"/>
  <c r="W46" i="12"/>
  <c r="V46" i="12"/>
  <c r="T78" i="12" s="1"/>
  <c r="U46" i="12"/>
  <c r="S78" i="12" s="1"/>
  <c r="T46" i="12"/>
  <c r="R78" i="12" s="1"/>
  <c r="S46" i="12"/>
  <c r="R46" i="12"/>
  <c r="Q46" i="12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R72" i="12" s="1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Y38" i="12"/>
  <c r="N70" i="12" s="1"/>
  <c r="X38" i="12"/>
  <c r="V70" i="12" s="1"/>
  <c r="Q70" i="12" s="1"/>
  <c r="W38" i="12"/>
  <c r="U70" i="12" s="1"/>
  <c r="V38" i="12"/>
  <c r="T70" i="12" s="1"/>
  <c r="U38" i="12"/>
  <c r="S70" i="12" s="1"/>
  <c r="T38" i="12"/>
  <c r="R70" i="12" s="1"/>
  <c r="S38" i="12"/>
  <c r="R38" i="12"/>
  <c r="Q38" i="12"/>
  <c r="Y37" i="12"/>
  <c r="N69" i="12" s="1"/>
  <c r="X37" i="12"/>
  <c r="V69" i="12" s="1"/>
  <c r="W37" i="12"/>
  <c r="U69" i="12" s="1"/>
  <c r="V37" i="12"/>
  <c r="T69" i="12" s="1"/>
  <c r="U37" i="12"/>
  <c r="S69" i="12" s="1"/>
  <c r="T37" i="12"/>
  <c r="R69" i="12" s="1"/>
  <c r="S37" i="12"/>
  <c r="R37" i="12"/>
  <c r="Q37" i="12"/>
  <c r="Y36" i="12"/>
  <c r="N68" i="12" s="1"/>
  <c r="X36" i="12"/>
  <c r="V68" i="12" s="1"/>
  <c r="W36" i="12"/>
  <c r="U68" i="12" s="1"/>
  <c r="V36" i="12"/>
  <c r="T68" i="12" s="1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AB27" i="12"/>
  <c r="AE27" i="12" s="1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P22" i="12"/>
  <c r="P52" i="12" s="1"/>
  <c r="O22" i="12"/>
  <c r="N22" i="12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P20" i="12"/>
  <c r="AB20" i="12" s="1"/>
  <c r="AE20" i="12" s="1"/>
  <c r="O20" i="12"/>
  <c r="O50" i="12" s="1"/>
  <c r="N20" i="12"/>
  <c r="Z20" i="12" s="1"/>
  <c r="AC20" i="12" s="1"/>
  <c r="AF20" i="12" s="1"/>
  <c r="Z19" i="12"/>
  <c r="AC19" i="12" s="1"/>
  <c r="AF19" i="12" s="1"/>
  <c r="P19" i="12"/>
  <c r="O19" i="12"/>
  <c r="O49" i="12" s="1"/>
  <c r="N19" i="12"/>
  <c r="N49" i="12" s="1"/>
  <c r="Z49" i="12" s="1"/>
  <c r="O81" i="12" s="1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O17" i="12"/>
  <c r="O47" i="12" s="1"/>
  <c r="N17" i="12"/>
  <c r="N47" i="12" s="1"/>
  <c r="Z47" i="12" s="1"/>
  <c r="O79" i="12" s="1"/>
  <c r="P16" i="12"/>
  <c r="AB16" i="12" s="1"/>
  <c r="AE16" i="12" s="1"/>
  <c r="O16" i="12"/>
  <c r="O46" i="12" s="1"/>
  <c r="N16" i="12"/>
  <c r="Z16" i="12" s="1"/>
  <c r="AC16" i="12" s="1"/>
  <c r="AF16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K14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P11" i="12"/>
  <c r="AB11" i="12" s="1"/>
  <c r="AE11" i="12" s="1"/>
  <c r="O11" i="12"/>
  <c r="O41" i="12" s="1"/>
  <c r="N11" i="12"/>
  <c r="K11" i="12"/>
  <c r="Z10" i="12"/>
  <c r="AC10" i="12" s="1"/>
  <c r="AF10" i="12" s="1"/>
  <c r="P10" i="12"/>
  <c r="O10" i="12"/>
  <c r="O40" i="12" s="1"/>
  <c r="N10" i="12"/>
  <c r="N40" i="12" s="1"/>
  <c r="Z40" i="12" s="1"/>
  <c r="O72" i="12" s="1"/>
  <c r="P9" i="12"/>
  <c r="P39" i="12" s="1"/>
  <c r="O9" i="12"/>
  <c r="O39" i="12" s="1"/>
  <c r="N9" i="12"/>
  <c r="Z8" i="12"/>
  <c r="AC8" i="12" s="1"/>
  <c r="AF8" i="12" s="1"/>
  <c r="P8" i="12"/>
  <c r="AB8" i="12" s="1"/>
  <c r="AE8" i="12" s="1"/>
  <c r="O8" i="12"/>
  <c r="O38" i="12" s="1"/>
  <c r="N8" i="12"/>
  <c r="N38" i="12" s="1"/>
  <c r="P7" i="12"/>
  <c r="P37" i="12" s="1"/>
  <c r="O7" i="12"/>
  <c r="O37" i="12" s="1"/>
  <c r="N7" i="12"/>
  <c r="AB6" i="12"/>
  <c r="AE6" i="12" s="1"/>
  <c r="Z6" i="12"/>
  <c r="AC6" i="12" s="1"/>
  <c r="AF6" i="12" s="1"/>
  <c r="P6" i="12"/>
  <c r="P36" i="12" s="1"/>
  <c r="O6" i="12"/>
  <c r="O36" i="12" s="1"/>
  <c r="N6" i="12"/>
  <c r="N36" i="12" s="1"/>
  <c r="AB5" i="12"/>
  <c r="AE5" i="12" s="1"/>
  <c r="P5" i="12"/>
  <c r="O5" i="12"/>
  <c r="N5" i="12"/>
  <c r="N28" i="12" s="1"/>
  <c r="M4" i="12"/>
  <c r="Z154" i="11"/>
  <c r="W139" i="11"/>
  <c r="W166" i="11" s="1"/>
  <c r="Y138" i="11"/>
  <c r="U138" i="11"/>
  <c r="M138" i="11"/>
  <c r="W137" i="11"/>
  <c r="W164" i="11" s="1"/>
  <c r="S137" i="11"/>
  <c r="S164" i="11" s="1"/>
  <c r="U136" i="11"/>
  <c r="U163" i="11" s="1"/>
  <c r="Q136" i="11"/>
  <c r="Q163" i="11" s="1"/>
  <c r="M136" i="11"/>
  <c r="Y134" i="11"/>
  <c r="Y161" i="11" s="1"/>
  <c r="W133" i="11"/>
  <c r="W160" i="11" s="1"/>
  <c r="U132" i="11"/>
  <c r="U159" i="11" s="1"/>
  <c r="V130" i="11"/>
  <c r="V157" i="11" s="1"/>
  <c r="Q130" i="11"/>
  <c r="Q157" i="11" s="1"/>
  <c r="O129" i="11"/>
  <c r="O156" i="11" s="1"/>
  <c r="M129" i="11"/>
  <c r="W128" i="11"/>
  <c r="W155" i="11" s="1"/>
  <c r="O124" i="11"/>
  <c r="O151" i="11" s="1"/>
  <c r="M120" i="11"/>
  <c r="Y118" i="11"/>
  <c r="Y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T110" i="11"/>
  <c r="S110" i="11"/>
  <c r="R110" i="11"/>
  <c r="Q110" i="1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Q138" i="11" s="1"/>
  <c r="P109" i="11"/>
  <c r="P138" i="11" s="1"/>
  <c r="O109" i="11"/>
  <c r="O138" i="11" s="1"/>
  <c r="N109" i="11"/>
  <c r="N138" i="11" s="1"/>
  <c r="M109" i="1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Y136" i="11" s="1"/>
  <c r="Y163" i="11" s="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W135" i="11" s="1"/>
  <c r="W162" i="11" s="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T105" i="11"/>
  <c r="T134" i="11" s="1"/>
  <c r="T161" i="11" s="1"/>
  <c r="S105" i="11"/>
  <c r="S134" i="11" s="1"/>
  <c r="S161" i="11" s="1"/>
  <c r="R105" i="11"/>
  <c r="R134" i="11" s="1"/>
  <c r="R161" i="11" s="1"/>
  <c r="Q105" i="11"/>
  <c r="P105" i="11"/>
  <c r="P134" i="11" s="1"/>
  <c r="P161" i="11" s="1"/>
  <c r="O105" i="11"/>
  <c r="O134" i="11" s="1"/>
  <c r="O161" i="11" s="1"/>
  <c r="N105" i="11"/>
  <c r="N134" i="11" s="1"/>
  <c r="N161" i="11" s="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Z132" i="11" s="1"/>
  <c r="Z159" i="11" s="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N102" i="11"/>
  <c r="M102" i="11"/>
  <c r="Z101" i="11"/>
  <c r="Z130" i="11" s="1"/>
  <c r="Z157" i="11" s="1"/>
  <c r="Y101" i="1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T129" i="11" s="1"/>
  <c r="T156" i="11" s="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U99" i="11"/>
  <c r="U128" i="11" s="1"/>
  <c r="U155" i="11" s="1"/>
  <c r="T99" i="11"/>
  <c r="S99" i="11"/>
  <c r="S128" i="11" s="1"/>
  <c r="S155" i="11" s="1"/>
  <c r="R99" i="11"/>
  <c r="Q99" i="11"/>
  <c r="Q128" i="11" s="1"/>
  <c r="Q155" i="11" s="1"/>
  <c r="P99" i="11"/>
  <c r="O99" i="11"/>
  <c r="N99" i="11"/>
  <c r="M99" i="11"/>
  <c r="M128" i="11" s="1"/>
  <c r="Z98" i="11"/>
  <c r="Z127" i="11" s="1"/>
  <c r="Y98" i="11"/>
  <c r="X98" i="11"/>
  <c r="X127" i="11" s="1"/>
  <c r="X154" i="11" s="1"/>
  <c r="W98" i="11"/>
  <c r="W127" i="11" s="1"/>
  <c r="W154" i="11" s="1"/>
  <c r="V98" i="11"/>
  <c r="U98" i="11"/>
  <c r="U127" i="11" s="1"/>
  <c r="U154" i="11" s="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Y126" i="11" s="1"/>
  <c r="Y153" i="11" s="1"/>
  <c r="X97" i="11"/>
  <c r="X126" i="11" s="1"/>
  <c r="X153" i="11" s="1"/>
  <c r="W97" i="11"/>
  <c r="V97" i="11"/>
  <c r="U97" i="11"/>
  <c r="T97" i="11"/>
  <c r="S97" i="11"/>
  <c r="S126" i="11" s="1"/>
  <c r="S153" i="11" s="1"/>
  <c r="R97" i="11"/>
  <c r="Q97" i="11"/>
  <c r="Q126" i="11" s="1"/>
  <c r="Q153" i="11" s="1"/>
  <c r="P97" i="11"/>
  <c r="O97" i="11"/>
  <c r="N97" i="11"/>
  <c r="M97" i="11"/>
  <c r="M126" i="11" s="1"/>
  <c r="Z96" i="11"/>
  <c r="Y96" i="11"/>
  <c r="Y125" i="11" s="1"/>
  <c r="Y152" i="11" s="1"/>
  <c r="X96" i="11"/>
  <c r="X125" i="11" s="1"/>
  <c r="X152" i="11" s="1"/>
  <c r="W96" i="11"/>
  <c r="W125" i="11" s="1"/>
  <c r="W152" i="11" s="1"/>
  <c r="V96" i="11"/>
  <c r="U96" i="11"/>
  <c r="T96" i="11"/>
  <c r="T125" i="11" s="1"/>
  <c r="T152" i="11" s="1"/>
  <c r="S96" i="11"/>
  <c r="S125" i="11" s="1"/>
  <c r="S152" i="11" s="1"/>
  <c r="R96" i="11"/>
  <c r="Q96" i="11"/>
  <c r="Q125" i="11" s="1"/>
  <c r="Q152" i="11" s="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U124" i="11" s="1"/>
  <c r="U151" i="11" s="1"/>
  <c r="T95" i="11"/>
  <c r="S95" i="11"/>
  <c r="S124" i="11" s="1"/>
  <c r="S151" i="11" s="1"/>
  <c r="R95" i="11"/>
  <c r="Q95" i="11"/>
  <c r="Q124" i="11" s="1"/>
  <c r="Q151" i="11" s="1"/>
  <c r="P95" i="11"/>
  <c r="O95" i="11"/>
  <c r="N95" i="1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S123" i="11" s="1"/>
  <c r="S150" i="11" s="1"/>
  <c r="R94" i="11"/>
  <c r="Q94" i="11"/>
  <c r="P94" i="11"/>
  <c r="P123" i="11" s="1"/>
  <c r="P150" i="11" s="1"/>
  <c r="O94" i="11"/>
  <c r="O123" i="11" s="1"/>
  <c r="O150" i="11" s="1"/>
  <c r="N94" i="11"/>
  <c r="M94" i="11"/>
  <c r="M123" i="11" s="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U93" i="11"/>
  <c r="T93" i="11"/>
  <c r="S93" i="11"/>
  <c r="R93" i="11"/>
  <c r="Q93" i="11"/>
  <c r="Q122" i="11" s="1"/>
  <c r="Q149" i="11" s="1"/>
  <c r="P93" i="11"/>
  <c r="O93" i="11"/>
  <c r="N93" i="1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T121" i="11" s="1"/>
  <c r="T148" i="11" s="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O121" i="11" s="1"/>
  <c r="O148" i="11" s="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R120" i="11" s="1"/>
  <c r="R147" i="11" s="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Z146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R146" i="11" s="1"/>
  <c r="Q90" i="11"/>
  <c r="P90" i="11"/>
  <c r="O90" i="1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T89" i="11"/>
  <c r="T118" i="11" s="1"/>
  <c r="T145" i="11" s="1"/>
  <c r="S89" i="11"/>
  <c r="S118" i="11" s="1"/>
  <c r="S145" i="11" s="1"/>
  <c r="R89" i="11"/>
  <c r="R118" i="11" s="1"/>
  <c r="R145" i="11" s="1"/>
  <c r="Q89" i="11"/>
  <c r="P89" i="11"/>
  <c r="P118" i="11" s="1"/>
  <c r="P145" i="11" s="1"/>
  <c r="O89" i="11"/>
  <c r="O118" i="11" s="1"/>
  <c r="O145" i="11" s="1"/>
  <c r="N89" i="11"/>
  <c r="N118" i="11" s="1"/>
  <c r="N145" i="11" s="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G74" i="11"/>
  <c r="F74" i="11"/>
  <c r="AQ73" i="11"/>
  <c r="AB73" i="11"/>
  <c r="AP73" i="11" s="1"/>
  <c r="Z27" i="11" s="1"/>
  <c r="AN27" i="11" s="1"/>
  <c r="AA73" i="11"/>
  <c r="F73" i="11"/>
  <c r="G73" i="11" s="1"/>
  <c r="H73" i="11" s="1"/>
  <c r="L73" i="11" s="1"/>
  <c r="AP72" i="11"/>
  <c r="AB72" i="11"/>
  <c r="AA72" i="11"/>
  <c r="H72" i="11"/>
  <c r="L72" i="11" s="1"/>
  <c r="F72" i="11"/>
  <c r="G72" i="11" s="1"/>
  <c r="AB71" i="11"/>
  <c r="AP71" i="11" s="1"/>
  <c r="Z21" i="11" s="1"/>
  <c r="AN21" i="11" s="1"/>
  <c r="AA71" i="11"/>
  <c r="I71" i="11"/>
  <c r="F71" i="11"/>
  <c r="J71" i="11" s="1"/>
  <c r="G71" i="11" s="1"/>
  <c r="H71" i="11" s="1"/>
  <c r="L71" i="11" s="1"/>
  <c r="AI70" i="11"/>
  <c r="S25" i="11" s="1"/>
  <c r="AG25" i="11" s="1"/>
  <c r="AB70" i="11"/>
  <c r="AA70" i="11"/>
  <c r="J70" i="11"/>
  <c r="G70" i="11" s="1"/>
  <c r="F70" i="11"/>
  <c r="AQ69" i="11"/>
  <c r="AP69" i="11"/>
  <c r="AF69" i="11"/>
  <c r="P20" i="11" s="1"/>
  <c r="AD20" i="11" s="1"/>
  <c r="AB69" i="11"/>
  <c r="AA69" i="11"/>
  <c r="F69" i="11"/>
  <c r="J69" i="11" s="1"/>
  <c r="G69" i="11" s="1"/>
  <c r="AB68" i="11"/>
  <c r="AA68" i="1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B67" i="11"/>
  <c r="AI67" i="11" s="1"/>
  <c r="S13" i="11" s="1"/>
  <c r="AA67" i="11"/>
  <c r="F67" i="11"/>
  <c r="G67" i="11" s="1"/>
  <c r="H67" i="11" s="1"/>
  <c r="L67" i="11" s="1"/>
  <c r="AQ66" i="11"/>
  <c r="AP66" i="11"/>
  <c r="Z11" i="11" s="1"/>
  <c r="AO66" i="11"/>
  <c r="AN66" i="11"/>
  <c r="AM66" i="11"/>
  <c r="AL66" i="11"/>
  <c r="AK66" i="11"/>
  <c r="AJ66" i="11"/>
  <c r="AE66" i="11"/>
  <c r="AB66" i="11"/>
  <c r="AH66" i="11" s="1"/>
  <c r="AA66" i="11"/>
  <c r="F66" i="11"/>
  <c r="J66" i="11" s="1"/>
  <c r="G66" i="11" s="1"/>
  <c r="H66" i="11" s="1"/>
  <c r="L66" i="11" s="1"/>
  <c r="AQ65" i="11"/>
  <c r="AP65" i="11"/>
  <c r="AO65" i="11"/>
  <c r="AN65" i="11"/>
  <c r="AB65" i="11"/>
  <c r="AE65" i="11" s="1"/>
  <c r="AA65" i="11"/>
  <c r="J65" i="11"/>
  <c r="G65" i="11" s="1"/>
  <c r="F65" i="11"/>
  <c r="AQ64" i="11"/>
  <c r="AP64" i="11"/>
  <c r="AO64" i="11"/>
  <c r="AE64" i="11"/>
  <c r="O18" i="11" s="1"/>
  <c r="AC18" i="11" s="1"/>
  <c r="AB64" i="11"/>
  <c r="AA64" i="11"/>
  <c r="F64" i="11"/>
  <c r="J64" i="11" s="1"/>
  <c r="G64" i="11" s="1"/>
  <c r="AQ63" i="11"/>
  <c r="AP63" i="11"/>
  <c r="AO63" i="11"/>
  <c r="AN63" i="11"/>
  <c r="AB63" i="11"/>
  <c r="AA63" i="11"/>
  <c r="AI63" i="11" s="1"/>
  <c r="F63" i="11"/>
  <c r="J63" i="11" s="1"/>
  <c r="G63" i="11" s="1"/>
  <c r="AQ62" i="11"/>
  <c r="AP62" i="11"/>
  <c r="AO62" i="11"/>
  <c r="Y22" i="11" s="1"/>
  <c r="AN62" i="11"/>
  <c r="AF62" i="11"/>
  <c r="AB62" i="11"/>
  <c r="AA62" i="1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B61" i="11"/>
  <c r="AA61" i="11"/>
  <c r="AG61" i="11" s="1"/>
  <c r="L61" i="11"/>
  <c r="I61" i="11"/>
  <c r="F61" i="11"/>
  <c r="G61" i="11" s="1"/>
  <c r="H61" i="11" s="1"/>
  <c r="AB60" i="11"/>
  <c r="AA60" i="11"/>
  <c r="AQ60" i="11" s="1"/>
  <c r="L60" i="11"/>
  <c r="I60" i="11"/>
  <c r="F60" i="11"/>
  <c r="G60" i="11" s="1"/>
  <c r="H60" i="11" s="1"/>
  <c r="AQ59" i="11"/>
  <c r="AA12" i="11" s="1"/>
  <c r="AO12" i="11" s="1"/>
  <c r="AP59" i="11"/>
  <c r="AO59" i="11"/>
  <c r="AN59" i="11"/>
  <c r="AM59" i="11"/>
  <c r="AL59" i="11"/>
  <c r="AK59" i="11"/>
  <c r="AJ59" i="11"/>
  <c r="AI59" i="11"/>
  <c r="AB59" i="11"/>
  <c r="AA59" i="11"/>
  <c r="AG59" i="11" s="1"/>
  <c r="F59" i="11"/>
  <c r="J59" i="11" s="1"/>
  <c r="G59" i="11" s="1"/>
  <c r="AQ58" i="11"/>
  <c r="AP58" i="11"/>
  <c r="Z23" i="11" s="1"/>
  <c r="AO58" i="11"/>
  <c r="AN58" i="11"/>
  <c r="AM58" i="11"/>
  <c r="AB58" i="11"/>
  <c r="AA58" i="11"/>
  <c r="AK58" i="11" s="1"/>
  <c r="G58" i="11"/>
  <c r="H58" i="11" s="1"/>
  <c r="L58" i="11" s="1"/>
  <c r="F58" i="11"/>
  <c r="J58" i="11" s="1"/>
  <c r="AN57" i="11"/>
  <c r="AJ57" i="11"/>
  <c r="AF57" i="11"/>
  <c r="AE57" i="11"/>
  <c r="AB57" i="11"/>
  <c r="AL57" i="11" s="1"/>
  <c r="AA57" i="11"/>
  <c r="F57" i="11"/>
  <c r="J57" i="11" s="1"/>
  <c r="G57" i="11" s="1"/>
  <c r="AQ56" i="11"/>
  <c r="AP56" i="11"/>
  <c r="AO56" i="11"/>
  <c r="AN56" i="11"/>
  <c r="X23" i="11" s="1"/>
  <c r="AL23" i="11" s="1"/>
  <c r="AM56" i="11"/>
  <c r="AL56" i="11"/>
  <c r="AK56" i="11"/>
  <c r="AJ56" i="11"/>
  <c r="AB56" i="11"/>
  <c r="AA56" i="11"/>
  <c r="AF56" i="11" s="1"/>
  <c r="H56" i="11"/>
  <c r="L56" i="11" s="1"/>
  <c r="F56" i="11"/>
  <c r="J56" i="11" s="1"/>
  <c r="G56" i="11" s="1"/>
  <c r="AQ55" i="11"/>
  <c r="AP55" i="11"/>
  <c r="Z10" i="11" s="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P54" i="11"/>
  <c r="AO54" i="11"/>
  <c r="AN54" i="11"/>
  <c r="AM54" i="11"/>
  <c r="AL54" i="11"/>
  <c r="AK54" i="11"/>
  <c r="U10" i="11" s="1"/>
  <c r="AJ54" i="11"/>
  <c r="AI54" i="11"/>
  <c r="AH54" i="11"/>
  <c r="AG54" i="11"/>
  <c r="AE54" i="11"/>
  <c r="AB54" i="11"/>
  <c r="AA54" i="11"/>
  <c r="F54" i="11"/>
  <c r="M10" i="11" s="1"/>
  <c r="AB71" i="12" s="1"/>
  <c r="AB53" i="11"/>
  <c r="AA53" i="11"/>
  <c r="AE53" i="11" s="1"/>
  <c r="J53" i="11"/>
  <c r="G53" i="11" s="1"/>
  <c r="F53" i="11"/>
  <c r="AQ52" i="11"/>
  <c r="AJ52" i="11"/>
  <c r="AB52" i="11"/>
  <c r="AA52" i="11"/>
  <c r="AE52" i="11" s="1"/>
  <c r="J52" i="11"/>
  <c r="G52" i="11" s="1"/>
  <c r="F52" i="11"/>
  <c r="AQ51" i="11"/>
  <c r="AP51" i="11"/>
  <c r="AO51" i="11"/>
  <c r="AN51" i="11"/>
  <c r="AM51" i="11"/>
  <c r="AL51" i="11"/>
  <c r="AK51" i="11"/>
  <c r="AB51" i="11"/>
  <c r="AA51" i="11"/>
  <c r="F51" i="11"/>
  <c r="J51" i="11" s="1"/>
  <c r="G51" i="11" s="1"/>
  <c r="AQ50" i="11"/>
  <c r="AP50" i="11"/>
  <c r="Z6" i="11" s="1"/>
  <c r="AO50" i="11"/>
  <c r="Y6" i="11" s="1"/>
  <c r="AN50" i="11"/>
  <c r="AM50" i="11"/>
  <c r="W6" i="11" s="1"/>
  <c r="AL50" i="11"/>
  <c r="V6" i="11" s="1"/>
  <c r="AK50" i="11"/>
  <c r="AJ50" i="11"/>
  <c r="T6" i="11" s="1"/>
  <c r="AI50" i="11"/>
  <c r="S6" i="11" s="1"/>
  <c r="AH50" i="11"/>
  <c r="R6" i="11" s="1"/>
  <c r="AB50" i="11"/>
  <c r="AA50" i="11"/>
  <c r="AG50" i="11" s="1"/>
  <c r="Q6" i="11" s="1"/>
  <c r="AE6" i="11" s="1"/>
  <c r="F50" i="11"/>
  <c r="G50" i="11" s="1"/>
  <c r="AQ49" i="11"/>
  <c r="AP49" i="11"/>
  <c r="AO49" i="11"/>
  <c r="Y15" i="11" s="1"/>
  <c r="AB49" i="11"/>
  <c r="AN49" i="11" s="1"/>
  <c r="X15" i="11" s="1"/>
  <c r="AL15" i="11" s="1"/>
  <c r="AA49" i="11"/>
  <c r="F49" i="11"/>
  <c r="J49" i="11" s="1"/>
  <c r="G49" i="11" s="1"/>
  <c r="AQ48" i="11"/>
  <c r="AP48" i="11"/>
  <c r="AO48" i="11"/>
  <c r="AN48" i="11"/>
  <c r="AM48" i="11"/>
  <c r="AB48" i="11"/>
  <c r="AE48" i="11" s="1"/>
  <c r="AA48" i="11"/>
  <c r="F48" i="11"/>
  <c r="M15" i="11" s="1"/>
  <c r="AB76" i="12" s="1"/>
  <c r="AN47" i="11"/>
  <c r="AF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X14" i="11" s="1"/>
  <c r="AL14" i="11" s="1"/>
  <c r="AB46" i="11"/>
  <c r="AA46" i="11"/>
  <c r="AM46" i="11" s="1"/>
  <c r="F46" i="11"/>
  <c r="M14" i="11" s="1"/>
  <c r="AQ45" i="11"/>
  <c r="AP45" i="11"/>
  <c r="AO45" i="11"/>
  <c r="AN45" i="11"/>
  <c r="AM45" i="11"/>
  <c r="AL45" i="11"/>
  <c r="AB45" i="11"/>
  <c r="AA45" i="11"/>
  <c r="AI45" i="11" s="1"/>
  <c r="F45" i="11"/>
  <c r="G45" i="11" s="1"/>
  <c r="AN44" i="11"/>
  <c r="X19" i="11" s="1"/>
  <c r="AL19" i="11" s="1"/>
  <c r="AM44" i="11"/>
  <c r="AF44" i="11"/>
  <c r="AE44" i="11"/>
  <c r="AB44" i="11"/>
  <c r="AA44" i="11"/>
  <c r="AP44" i="11" s="1"/>
  <c r="Z19" i="11" s="1"/>
  <c r="AN19" i="11" s="1"/>
  <c r="F44" i="11"/>
  <c r="M19" i="11" s="1"/>
  <c r="AQ43" i="11"/>
  <c r="AA19" i="11" s="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A42" i="11"/>
  <c r="AJ42" i="11" s="1"/>
  <c r="T7" i="11" s="1"/>
  <c r="AH7" i="11" s="1"/>
  <c r="BA6" i="11" s="1"/>
  <c r="F42" i="11"/>
  <c r="G42" i="11" s="1"/>
  <c r="AQ41" i="11"/>
  <c r="AP41" i="11"/>
  <c r="AO41" i="11"/>
  <c r="Y17" i="11" s="1"/>
  <c r="AN41" i="11"/>
  <c r="X17" i="11" s="1"/>
  <c r="AB41" i="11"/>
  <c r="AL41" i="11" s="1"/>
  <c r="AA41" i="11"/>
  <c r="F41" i="11"/>
  <c r="J41" i="11" s="1"/>
  <c r="G41" i="11" s="1"/>
  <c r="AQ40" i="11"/>
  <c r="AA17" i="11" s="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A40" i="11"/>
  <c r="AG40" i="11" s="1"/>
  <c r="F40" i="11"/>
  <c r="M17" i="11" s="1"/>
  <c r="AB78" i="12" s="1"/>
  <c r="AQ39" i="11"/>
  <c r="AA16" i="11" s="1"/>
  <c r="AB39" i="11"/>
  <c r="AA39" i="11"/>
  <c r="AP39" i="11" s="1"/>
  <c r="Z16" i="11" s="1"/>
  <c r="AN16" i="11" s="1"/>
  <c r="F39" i="11"/>
  <c r="E38" i="11"/>
  <c r="AA28" i="11"/>
  <c r="Z28" i="11"/>
  <c r="AN28" i="11" s="1"/>
  <c r="Y28" i="11"/>
  <c r="AM28" i="11" s="1"/>
  <c r="X28" i="11"/>
  <c r="AL28" i="11" s="1"/>
  <c r="W28" i="11"/>
  <c r="M28" i="11"/>
  <c r="AB89" i="12" s="1"/>
  <c r="AA27" i="11"/>
  <c r="AO27" i="11" s="1"/>
  <c r="M27" i="11"/>
  <c r="AB88" i="12" s="1"/>
  <c r="Z26" i="11"/>
  <c r="AN26" i="11" s="1"/>
  <c r="M26" i="11"/>
  <c r="AB87" i="12" s="1"/>
  <c r="M25" i="11"/>
  <c r="AB86" i="12" s="1"/>
  <c r="M24" i="11"/>
  <c r="AB85" i="12" s="1"/>
  <c r="AA23" i="11"/>
  <c r="AA22" i="11"/>
  <c r="Z22" i="11"/>
  <c r="X22" i="11"/>
  <c r="W22" i="11"/>
  <c r="M21" i="11"/>
  <c r="AB82" i="12" s="1"/>
  <c r="AA20" i="11"/>
  <c r="Z20" i="11"/>
  <c r="M20" i="11"/>
  <c r="AB81" i="12" s="1"/>
  <c r="AA18" i="11"/>
  <c r="Z18" i="11"/>
  <c r="Y18" i="11"/>
  <c r="M18" i="11"/>
  <c r="AB79" i="12" s="1"/>
  <c r="AA15" i="11"/>
  <c r="Y13" i="11"/>
  <c r="X13" i="11"/>
  <c r="M13" i="11"/>
  <c r="AB74" i="12" s="1"/>
  <c r="M12" i="11"/>
  <c r="AB73" i="12" s="1"/>
  <c r="AK11" i="11"/>
  <c r="AA11" i="11"/>
  <c r="Y11" i="11"/>
  <c r="X11" i="11"/>
  <c r="W11" i="11"/>
  <c r="M11" i="11"/>
  <c r="AB72" i="12" s="1"/>
  <c r="Y10" i="11"/>
  <c r="X10" i="11"/>
  <c r="V10" i="11"/>
  <c r="T10" i="11"/>
  <c r="R10" i="11"/>
  <c r="Q10" i="11"/>
  <c r="AA8" i="11"/>
  <c r="Z8" i="11"/>
  <c r="X8" i="11"/>
  <c r="W8" i="11"/>
  <c r="V8" i="11"/>
  <c r="T8" i="11"/>
  <c r="S8" i="11"/>
  <c r="R8" i="11"/>
  <c r="Q8" i="11"/>
  <c r="AE8" i="11" s="1"/>
  <c r="P8" i="11"/>
  <c r="AD8" i="11" s="1"/>
  <c r="M8" i="11"/>
  <c r="AB69" i="12" s="1"/>
  <c r="AA7" i="11"/>
  <c r="Z7" i="11"/>
  <c r="X7" i="11"/>
  <c r="W7" i="11"/>
  <c r="M7" i="11"/>
  <c r="AB68" i="12" s="1"/>
  <c r="AA6" i="11"/>
  <c r="X6" i="11"/>
  <c r="U6" i="1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L81" i="10"/>
  <c r="N81" i="10" s="1"/>
  <c r="O81" i="10" s="1"/>
  <c r="J65" i="10"/>
  <c r="J64" i="10"/>
  <c r="J63" i="10"/>
  <c r="J62" i="10"/>
  <c r="J61" i="10"/>
  <c r="J66" i="10" s="1"/>
  <c r="K65" i="10" s="1"/>
  <c r="M35" i="10"/>
  <c r="L35" i="10"/>
  <c r="K35" i="10"/>
  <c r="W35" i="10" s="1"/>
  <c r="J35" i="10"/>
  <c r="M34" i="10"/>
  <c r="L34" i="10"/>
  <c r="K34" i="10"/>
  <c r="W34" i="10" s="1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L26" i="10"/>
  <c r="K26" i="10"/>
  <c r="W26" i="10" s="1"/>
  <c r="J26" i="10"/>
  <c r="M25" i="10"/>
  <c r="G63" i="10" s="1"/>
  <c r="L25" i="10"/>
  <c r="K25" i="10"/>
  <c r="W25" i="10" s="1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H20" i="10"/>
  <c r="J20" i="10" s="1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6" i="9"/>
  <c r="O197" i="9" s="1"/>
  <c r="O170" i="9"/>
  <c r="U23" i="9" s="1"/>
  <c r="N170" i="9"/>
  <c r="O166" i="9"/>
  <c r="N166" i="9"/>
  <c r="O159" i="9"/>
  <c r="O44" i="9" s="1"/>
  <c r="O158" i="9"/>
  <c r="P166" i="9" s="1"/>
  <c r="O151" i="9"/>
  <c r="R146" i="9"/>
  <c r="N145" i="9"/>
  <c r="N151" i="9" s="1"/>
  <c r="X142" i="9"/>
  <c r="Y142" i="9" s="1"/>
  <c r="P159" i="9" s="1"/>
  <c r="Y141" i="9"/>
  <c r="P158" i="9" s="1"/>
  <c r="Q135" i="9"/>
  <c r="X136" i="9" s="1"/>
  <c r="X137" i="9" s="1"/>
  <c r="I133" i="9"/>
  <c r="O132" i="9"/>
  <c r="I132" i="9"/>
  <c r="O131" i="9" s="1"/>
  <c r="E132" i="9"/>
  <c r="H131" i="9"/>
  <c r="P123" i="9"/>
  <c r="N117" i="9"/>
  <c r="N118" i="9" s="1"/>
  <c r="N123" i="9" s="1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N72" i="9"/>
  <c r="N97" i="9" s="1"/>
  <c r="O64" i="9"/>
  <c r="O65" i="9" s="1"/>
  <c r="P89" i="9" s="1"/>
  <c r="Q63" i="9"/>
  <c r="O63" i="9"/>
  <c r="P55" i="9" s="1"/>
  <c r="P61" i="9"/>
  <c r="P77" i="9" s="1"/>
  <c r="P60" i="9"/>
  <c r="P58" i="9"/>
  <c r="P75" i="9" s="1"/>
  <c r="P57" i="9"/>
  <c r="P74" i="9" s="1"/>
  <c r="P56" i="9"/>
  <c r="P73" i="9" s="1"/>
  <c r="D47" i="9"/>
  <c r="O153" i="9" s="1"/>
  <c r="B47" i="9"/>
  <c r="D46" i="9"/>
  <c r="O123" i="9" s="1"/>
  <c r="B46" i="9"/>
  <c r="O43" i="9"/>
  <c r="O42" i="9"/>
  <c r="N41" i="9"/>
  <c r="Y40" i="9"/>
  <c r="Z38" i="9" s="1"/>
  <c r="P34" i="9"/>
  <c r="P33" i="9"/>
  <c r="P22" i="9"/>
  <c r="O41" i="9" s="1"/>
  <c r="N22" i="9"/>
  <c r="T23" i="9" s="1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U23" i="8" s="1"/>
  <c r="O166" i="8"/>
  <c r="N166" i="8"/>
  <c r="N170" i="8" s="1"/>
  <c r="O159" i="8"/>
  <c r="O44" i="8" s="1"/>
  <c r="P158" i="8"/>
  <c r="Q145" i="8" s="1"/>
  <c r="O158" i="8"/>
  <c r="P166" i="8" s="1"/>
  <c r="O151" i="8"/>
  <c r="R146" i="8"/>
  <c r="N145" i="8"/>
  <c r="X142" i="8"/>
  <c r="Y142" i="8" s="1"/>
  <c r="P159" i="8" s="1"/>
  <c r="Y141" i="8"/>
  <c r="O132" i="8"/>
  <c r="Q132" i="8" s="1"/>
  <c r="X131" i="8" s="1"/>
  <c r="E132" i="8"/>
  <c r="G132" i="8" s="1"/>
  <c r="G131" i="8"/>
  <c r="P123" i="8"/>
  <c r="N118" i="8"/>
  <c r="N123" i="8" s="1"/>
  <c r="P111" i="8"/>
  <c r="O108" i="8"/>
  <c r="P108" i="8" s="1"/>
  <c r="R118" i="8" s="1"/>
  <c r="R100" i="8"/>
  <c r="O98" i="8"/>
  <c r="O86" i="8"/>
  <c r="R72" i="8"/>
  <c r="R79" i="8" s="1"/>
  <c r="N72" i="8"/>
  <c r="N97" i="8" s="1"/>
  <c r="O63" i="8"/>
  <c r="N63" i="8"/>
  <c r="P60" i="8"/>
  <c r="Q59" i="8"/>
  <c r="P58" i="8"/>
  <c r="P75" i="8" s="1"/>
  <c r="Q57" i="8"/>
  <c r="P56" i="8"/>
  <c r="P73" i="8" s="1"/>
  <c r="Q55" i="8"/>
  <c r="D47" i="8"/>
  <c r="B47" i="8"/>
  <c r="D46" i="8"/>
  <c r="O123" i="8" s="1"/>
  <c r="O152" i="8" s="1"/>
  <c r="B46" i="8"/>
  <c r="O43" i="8"/>
  <c r="O42" i="8"/>
  <c r="O41" i="8"/>
  <c r="N41" i="8"/>
  <c r="O34" i="8"/>
  <c r="O33" i="8"/>
  <c r="S33" i="8" s="1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O23" i="8" s="1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H52" i="7"/>
  <c r="E36" i="7"/>
  <c r="D36" i="7"/>
  <c r="E33" i="7"/>
  <c r="D33" i="7"/>
  <c r="E16" i="7"/>
  <c r="E9" i="7"/>
  <c r="E15" i="7" s="1"/>
  <c r="O11" i="8" s="1"/>
  <c r="D9" i="7"/>
  <c r="D15" i="7" s="1"/>
  <c r="O11" i="9" s="1"/>
  <c r="F8" i="7"/>
  <c r="F7" i="7"/>
  <c r="B26" i="6"/>
  <c r="G17" i="6"/>
  <c r="G18" i="6" s="1"/>
  <c r="G19" i="6" s="1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H11" i="5"/>
  <c r="P11" i="5" s="1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J94" i="4"/>
  <c r="J93" i="4"/>
  <c r="K86" i="4"/>
  <c r="K87" i="4" s="1"/>
  <c r="L87" i="4" s="1"/>
  <c r="L85" i="4"/>
  <c r="S67" i="4"/>
  <c r="R67" i="4"/>
  <c r="Q67" i="4"/>
  <c r="P67" i="4"/>
  <c r="O67" i="4"/>
  <c r="N67" i="4"/>
  <c r="M67" i="4"/>
  <c r="L67" i="4"/>
  <c r="I66" i="4"/>
  <c r="DP34" i="13" s="1"/>
  <c r="J54" i="4"/>
  <c r="K67" i="4" s="1"/>
  <c r="I53" i="4"/>
  <c r="E44" i="4"/>
  <c r="E45" i="4" s="1"/>
  <c r="E46" i="4" s="1"/>
  <c r="L53" i="4" s="1"/>
  <c r="D38" i="4"/>
  <c r="K21" i="4" a="1"/>
  <c r="K30" i="4" s="1"/>
  <c r="S18" i="4"/>
  <c r="T18" i="4" s="1"/>
  <c r="R17" i="4"/>
  <c r="S17" i="4" s="1"/>
  <c r="T17" i="4" s="1"/>
  <c r="S16" i="4"/>
  <c r="T16" i="4" s="1"/>
  <c r="S15" i="4"/>
  <c r="T15" i="4" s="1"/>
  <c r="S14" i="4"/>
  <c r="T14" i="4" s="1"/>
  <c r="S13" i="4"/>
  <c r="T13" i="4" s="1"/>
  <c r="S12" i="4"/>
  <c r="T12" i="4" s="1"/>
  <c r="S11" i="4"/>
  <c r="T11" i="4" s="1"/>
  <c r="S10" i="4"/>
  <c r="T10" i="4" s="1"/>
  <c r="S9" i="4"/>
  <c r="T9" i="4" s="1"/>
  <c r="S8" i="4"/>
  <c r="T8" i="4" s="1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G214" i="3"/>
  <c r="K214" i="3" s="1"/>
  <c r="P213" i="3"/>
  <c r="N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G210" i="3"/>
  <c r="K210" i="3" s="1"/>
  <c r="P209" i="3"/>
  <c r="N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G206" i="3"/>
  <c r="K206" i="3" s="1"/>
  <c r="P205" i="3"/>
  <c r="N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G202" i="3"/>
  <c r="K202" i="3" s="1"/>
  <c r="P201" i="3"/>
  <c r="N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G198" i="3"/>
  <c r="K198" i="3" s="1"/>
  <c r="P197" i="3"/>
  <c r="N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G194" i="3"/>
  <c r="K194" i="3" s="1"/>
  <c r="P193" i="3"/>
  <c r="N193" i="3"/>
  <c r="G193" i="3"/>
  <c r="J193" i="3" s="1"/>
  <c r="P192" i="3"/>
  <c r="N192" i="3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H189" i="3"/>
  <c r="I189" i="3" s="1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G186" i="3"/>
  <c r="P185" i="3"/>
  <c r="N185" i="3"/>
  <c r="I185" i="3"/>
  <c r="H185" i="3"/>
  <c r="G185" i="3"/>
  <c r="P184" i="3"/>
  <c r="N184" i="3"/>
  <c r="H184" i="3"/>
  <c r="I184" i="3" s="1"/>
  <c r="G184" i="3"/>
  <c r="P183" i="3"/>
  <c r="N183" i="3"/>
  <c r="H183" i="3"/>
  <c r="I183" i="3" s="1"/>
  <c r="G131" i="3" s="1"/>
  <c r="G183" i="3"/>
  <c r="P182" i="3"/>
  <c r="N182" i="3"/>
  <c r="H182" i="3"/>
  <c r="I182" i="3" s="1"/>
  <c r="G182" i="3"/>
  <c r="P181" i="3"/>
  <c r="N181" i="3"/>
  <c r="H181" i="3"/>
  <c r="I181" i="3" s="1"/>
  <c r="J181" i="3" s="1"/>
  <c r="G181" i="3"/>
  <c r="P180" i="3"/>
  <c r="N180" i="3"/>
  <c r="H180" i="3"/>
  <c r="I180" i="3" s="1"/>
  <c r="G180" i="3"/>
  <c r="P179" i="3"/>
  <c r="N179" i="3"/>
  <c r="H179" i="3"/>
  <c r="I179" i="3" s="1"/>
  <c r="K179" i="3" s="1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G176" i="3"/>
  <c r="P175" i="3"/>
  <c r="N175" i="3"/>
  <c r="H175" i="3"/>
  <c r="I175" i="3" s="1"/>
  <c r="G175" i="3"/>
  <c r="P173" i="3"/>
  <c r="N173" i="3"/>
  <c r="E173" i="3"/>
  <c r="P172" i="3"/>
  <c r="N172" i="3"/>
  <c r="E172" i="3"/>
  <c r="P171" i="3"/>
  <c r="N171" i="3"/>
  <c r="E171" i="3"/>
  <c r="P170" i="3"/>
  <c r="N170" i="3"/>
  <c r="E170" i="3"/>
  <c r="P169" i="3"/>
  <c r="N169" i="3"/>
  <c r="E169" i="3"/>
  <c r="P168" i="3"/>
  <c r="N168" i="3"/>
  <c r="E168" i="3"/>
  <c r="P167" i="3"/>
  <c r="N167" i="3"/>
  <c r="E167" i="3"/>
  <c r="P166" i="3"/>
  <c r="T129" i="3" s="1"/>
  <c r="N166" i="3"/>
  <c r="S111" i="3" s="1"/>
  <c r="E166" i="3"/>
  <c r="P165" i="3"/>
  <c r="N165" i="3"/>
  <c r="E165" i="3"/>
  <c r="P164" i="3"/>
  <c r="N164" i="3"/>
  <c r="E164" i="3"/>
  <c r="P163" i="3"/>
  <c r="N163" i="3"/>
  <c r="E163" i="3"/>
  <c r="P162" i="3"/>
  <c r="N162" i="3"/>
  <c r="E162" i="3"/>
  <c r="P161" i="3"/>
  <c r="N161" i="3"/>
  <c r="G161" i="3"/>
  <c r="K161" i="3" s="1"/>
  <c r="E161" i="3"/>
  <c r="P160" i="3"/>
  <c r="N160" i="3"/>
  <c r="E160" i="3"/>
  <c r="P159" i="3"/>
  <c r="N159" i="3"/>
  <c r="E159" i="3"/>
  <c r="P158" i="3"/>
  <c r="N158" i="3"/>
  <c r="E158" i="3"/>
  <c r="P157" i="3"/>
  <c r="N157" i="3"/>
  <c r="G157" i="3"/>
  <c r="K157" i="3" s="1"/>
  <c r="E157" i="3"/>
  <c r="H152" i="3"/>
  <c r="H149" i="3"/>
  <c r="R148" i="3"/>
  <c r="H146" i="3"/>
  <c r="I172" i="3" s="1"/>
  <c r="H143" i="3"/>
  <c r="G173" i="3" s="1"/>
  <c r="K173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E137" i="3"/>
  <c r="D137" i="3"/>
  <c r="L136" i="3"/>
  <c r="G135" i="3"/>
  <c r="E135" i="3"/>
  <c r="D135" i="3"/>
  <c r="L134" i="3"/>
  <c r="L133" i="3"/>
  <c r="F52" i="3" s="1"/>
  <c r="L132" i="3"/>
  <c r="L137" i="3" s="1"/>
  <c r="H132" i="3"/>
  <c r="H122" i="3" s="1"/>
  <c r="F132" i="3"/>
  <c r="F135" i="3" s="1"/>
  <c r="L131" i="3"/>
  <c r="K130" i="3"/>
  <c r="J130" i="3"/>
  <c r="H130" i="3"/>
  <c r="F130" i="3"/>
  <c r="I130" i="3" s="1"/>
  <c r="K129" i="3"/>
  <c r="I129" i="3"/>
  <c r="F129" i="3"/>
  <c r="H129" i="3" s="1"/>
  <c r="J129" i="3" s="1"/>
  <c r="L128" i="3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F54" i="3" s="1"/>
  <c r="F56" i="3" s="1"/>
  <c r="G122" i="3"/>
  <c r="F122" i="3"/>
  <c r="E122" i="3"/>
  <c r="H121" i="3"/>
  <c r="G121" i="3"/>
  <c r="E121" i="3"/>
  <c r="K120" i="3"/>
  <c r="F120" i="3"/>
  <c r="L119" i="3"/>
  <c r="G119" i="3"/>
  <c r="F119" i="3" s="1"/>
  <c r="L118" i="3"/>
  <c r="L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K112" i="3"/>
  <c r="I112" i="3"/>
  <c r="F112" i="3"/>
  <c r="H112" i="3" s="1"/>
  <c r="J112" i="3" s="1"/>
  <c r="L111" i="3"/>
  <c r="S110" i="3"/>
  <c r="L110" i="3"/>
  <c r="G110" i="3"/>
  <c r="K110" i="3" s="1"/>
  <c r="S109" i="3"/>
  <c r="L109" i="3"/>
  <c r="W105" i="3"/>
  <c r="I101" i="3"/>
  <c r="I102" i="3" s="1"/>
  <c r="N100" i="3"/>
  <c r="I100" i="3"/>
  <c r="N99" i="3"/>
  <c r="N55" i="3"/>
  <c r="N54" i="3"/>
  <c r="N53" i="3"/>
  <c r="F53" i="3"/>
  <c r="G14" i="3" s="1"/>
  <c r="N52" i="3"/>
  <c r="N51" i="3"/>
  <c r="F51" i="3"/>
  <c r="G12" i="3" s="1"/>
  <c r="N50" i="3"/>
  <c r="F50" i="3"/>
  <c r="N49" i="3"/>
  <c r="F49" i="3"/>
  <c r="G10" i="3" s="1"/>
  <c r="N46" i="3"/>
  <c r="F46" i="3"/>
  <c r="E46" i="3"/>
  <c r="F7" i="3" s="1"/>
  <c r="N45" i="3"/>
  <c r="I45" i="3"/>
  <c r="F45" i="3"/>
  <c r="G6" i="3" s="1"/>
  <c r="AL35" i="3"/>
  <c r="AL34" i="3"/>
  <c r="AL30" i="3"/>
  <c r="AL31" i="3" s="1"/>
  <c r="G25" i="3"/>
  <c r="G24" i="3"/>
  <c r="AN23" i="3"/>
  <c r="AN22" i="3"/>
  <c r="AL20" i="3"/>
  <c r="AN20" i="3" s="1"/>
  <c r="AN19" i="3"/>
  <c r="AN18" i="3"/>
  <c r="AL14" i="3"/>
  <c r="G13" i="3"/>
  <c r="G11" i="3"/>
  <c r="J7" i="3"/>
  <c r="G7" i="3"/>
  <c r="N111" i="2" a="1"/>
  <c r="N117" i="2" s="1"/>
  <c r="N104" i="2" a="1"/>
  <c r="N110" i="2" s="1"/>
  <c r="N97" i="2" a="1"/>
  <c r="N103" i="2" s="1"/>
  <c r="N80" i="2" a="1"/>
  <c r="N86" i="2" s="1"/>
  <c r="CW15" i="13" s="1"/>
  <c r="N73" i="2" a="1"/>
  <c r="N79" i="2" s="1"/>
  <c r="N54" i="2" a="1"/>
  <c r="N59" i="2" s="1"/>
  <c r="N44" i="2" a="1"/>
  <c r="N52" i="2" s="1"/>
  <c r="O34" i="2" a="1"/>
  <c r="O41" i="2" s="1"/>
  <c r="N34" i="2" a="1"/>
  <c r="N40" i="2" s="1"/>
  <c r="O24" i="2" a="1"/>
  <c r="O33" i="2" s="1"/>
  <c r="N24" i="2" a="1"/>
  <c r="N32" i="2" s="1"/>
  <c r="E24" i="2" a="1"/>
  <c r="E31" i="2" s="1"/>
  <c r="D24" i="2" a="1"/>
  <c r="D30" i="2" s="1"/>
  <c r="D122" i="1"/>
  <c r="D114" i="1" a="1"/>
  <c r="D117" i="1" s="1"/>
  <c r="D81" i="1"/>
  <c r="D80" i="1" a="1"/>
  <c r="D86" i="1" s="1"/>
  <c r="E70" i="1" a="1"/>
  <c r="E79" i="1" s="1"/>
  <c r="D71" i="1"/>
  <c r="BV11" i="13" s="1"/>
  <c r="DB12" i="13" s="1"/>
  <c r="D70" i="1" a="1"/>
  <c r="D78" i="1" s="1"/>
  <c r="E60" i="1" a="1"/>
  <c r="E67" i="1" s="1"/>
  <c r="D69" i="1"/>
  <c r="D63" i="1"/>
  <c r="D61" i="1"/>
  <c r="D60" i="1" a="1"/>
  <c r="D66" i="1" s="1"/>
  <c r="E50" i="1" a="1"/>
  <c r="E59" i="1" s="1"/>
  <c r="D50" i="1" a="1"/>
  <c r="D58" i="1" s="1"/>
  <c r="E40" i="1" a="1"/>
  <c r="E47" i="1" s="1"/>
  <c r="D40" i="1" a="1"/>
  <c r="D46" i="1" s="1"/>
  <c r="AJ21" i="13" s="1"/>
  <c r="Z30" i="1" a="1"/>
  <c r="Z34" i="1" s="1"/>
  <c r="I104" i="5" s="1"/>
  <c r="E30" i="1" a="1"/>
  <c r="E37" i="1" s="1"/>
  <c r="D30" i="1" a="1"/>
  <c r="D36" i="1" s="1"/>
  <c r="AJ20" i="13" s="1"/>
  <c r="O27" i="1" a="1"/>
  <c r="O30" i="1" s="1"/>
  <c r="AA25" i="1" a="1"/>
  <c r="AA28" i="1" s="1"/>
  <c r="Z25" i="1" a="1"/>
  <c r="Z26" i="1" s="1"/>
  <c r="AL20" i="1" a="1"/>
  <c r="AL28" i="1" s="1"/>
  <c r="AK20" i="1" a="1"/>
  <c r="AK27" i="1" s="1"/>
  <c r="AA20" i="1" a="1"/>
  <c r="AA21" i="1" s="1"/>
  <c r="Z20" i="1" a="1"/>
  <c r="Z23" i="1" s="1"/>
  <c r="O20" i="1" a="1"/>
  <c r="O23" i="1" s="1"/>
  <c r="E20" i="1" a="1"/>
  <c r="E26" i="1" s="1"/>
  <c r="D20" i="1" a="1"/>
  <c r="D29" i="1" s="1"/>
  <c r="N97" i="2" l="1"/>
  <c r="AV19" i="13"/>
  <c r="D56" i="1"/>
  <c r="AT35" i="13"/>
  <c r="D51" i="1"/>
  <c r="E52" i="1"/>
  <c r="D72" i="1"/>
  <c r="BV13" i="13" s="1"/>
  <c r="DB14" i="13" s="1"/>
  <c r="D30" i="1"/>
  <c r="D52" i="1"/>
  <c r="N74" i="2"/>
  <c r="N105" i="2"/>
  <c r="N112" i="2"/>
  <c r="N76" i="2"/>
  <c r="N102" i="2"/>
  <c r="N107" i="2"/>
  <c r="N114" i="2"/>
  <c r="N104" i="2"/>
  <c r="N109" i="2"/>
  <c r="AS17" i="13"/>
  <c r="AA20" i="1"/>
  <c r="AL26" i="1"/>
  <c r="D37" i="1"/>
  <c r="Z32" i="1"/>
  <c r="I102" i="5" s="1"/>
  <c r="D77" i="1"/>
  <c r="D80" i="1"/>
  <c r="D85" i="1"/>
  <c r="D89" i="1"/>
  <c r="AP10" i="13"/>
  <c r="DW10" i="13"/>
  <c r="CT27" i="13" s="1"/>
  <c r="CT28" i="13" s="1"/>
  <c r="AA22" i="1"/>
  <c r="AL21" i="1"/>
  <c r="E56" i="1"/>
  <c r="E72" i="1"/>
  <c r="AL27" i="1"/>
  <c r="AA23" i="1"/>
  <c r="AL22" i="1"/>
  <c r="D33" i="1"/>
  <c r="Z31" i="1"/>
  <c r="I101" i="5" s="1"/>
  <c r="D57" i="1"/>
  <c r="D76" i="1"/>
  <c r="BV21" i="13" s="1"/>
  <c r="DB20" i="13" s="1"/>
  <c r="E76" i="1"/>
  <c r="D83" i="1"/>
  <c r="D13" i="17"/>
  <c r="D13" i="16"/>
  <c r="D7" i="17"/>
  <c r="D7" i="16"/>
  <c r="J189" i="3"/>
  <c r="K189" i="3"/>
  <c r="G128" i="3"/>
  <c r="D26" i="1"/>
  <c r="E27" i="1"/>
  <c r="AL20" i="1"/>
  <c r="AL23" i="1"/>
  <c r="AL29" i="1"/>
  <c r="Z28" i="1"/>
  <c r="AA27" i="1"/>
  <c r="Z30" i="1"/>
  <c r="I100" i="5" s="1"/>
  <c r="Z33" i="1"/>
  <c r="I103" i="5" s="1"/>
  <c r="D43" i="1"/>
  <c r="D50" i="1"/>
  <c r="D53" i="1"/>
  <c r="D59" i="1"/>
  <c r="D60" i="1"/>
  <c r="D65" i="1"/>
  <c r="D70" i="1"/>
  <c r="BV9" i="13" s="1"/>
  <c r="DB10" i="13" s="1"/>
  <c r="D73" i="1"/>
  <c r="BV15" i="13" s="1"/>
  <c r="DB16" i="13" s="1"/>
  <c r="D79" i="1"/>
  <c r="D27" i="2"/>
  <c r="N26" i="2"/>
  <c r="L37" i="13" s="1"/>
  <c r="Q13" i="13" s="1"/>
  <c r="U11" i="13" s="1"/>
  <c r="N31" i="2"/>
  <c r="O30" i="2"/>
  <c r="N37" i="2"/>
  <c r="N46" i="2"/>
  <c r="N51" i="2"/>
  <c r="N73" i="2"/>
  <c r="N78" i="2"/>
  <c r="N83" i="2"/>
  <c r="CW12" i="13" s="1"/>
  <c r="N98" i="2"/>
  <c r="N111" i="2"/>
  <c r="N116" i="2"/>
  <c r="D12" i="17"/>
  <c r="D12" i="16"/>
  <c r="G15" i="3"/>
  <c r="E26" i="6" s="1"/>
  <c r="G117" i="3"/>
  <c r="F121" i="3"/>
  <c r="L121" i="3"/>
  <c r="K175" i="3"/>
  <c r="G136" i="3"/>
  <c r="F136" i="3" s="1"/>
  <c r="K181" i="3"/>
  <c r="K193" i="3"/>
  <c r="J194" i="3"/>
  <c r="K197" i="3"/>
  <c r="J198" i="3"/>
  <c r="K201" i="3"/>
  <c r="J202" i="3"/>
  <c r="K205" i="3"/>
  <c r="J206" i="3"/>
  <c r="K209" i="3"/>
  <c r="J210" i="3"/>
  <c r="K213" i="3"/>
  <c r="J214" i="3"/>
  <c r="P34" i="8"/>
  <c r="X108" i="8"/>
  <c r="X110" i="8" s="1"/>
  <c r="X111" i="8" s="1"/>
  <c r="X112" i="8" s="1"/>
  <c r="X113" i="8" s="1"/>
  <c r="S34" i="8"/>
  <c r="P152" i="9"/>
  <c r="Q131" i="9"/>
  <c r="X130" i="9" s="1"/>
  <c r="H42" i="11"/>
  <c r="L42" i="11" s="1"/>
  <c r="D47" i="1"/>
  <c r="D31" i="2"/>
  <c r="N29" i="2"/>
  <c r="L79" i="13" s="1"/>
  <c r="Q19" i="13" s="1"/>
  <c r="U14" i="13" s="1"/>
  <c r="N41" i="2"/>
  <c r="N49" i="2"/>
  <c r="CS32" i="13"/>
  <c r="CS21" i="13"/>
  <c r="D8" i="17"/>
  <c r="D9" i="17" s="1"/>
  <c r="D10" i="17" s="1"/>
  <c r="D8" i="16"/>
  <c r="D9" i="16" s="1"/>
  <c r="D10" i="16" s="1"/>
  <c r="D14" i="17"/>
  <c r="D14" i="16"/>
  <c r="D16" i="17"/>
  <c r="D16" i="16"/>
  <c r="C8" i="17"/>
  <c r="C8" i="16"/>
  <c r="H137" i="3"/>
  <c r="J132" i="3"/>
  <c r="I171" i="3"/>
  <c r="I170" i="3"/>
  <c r="I168" i="3"/>
  <c r="I160" i="3"/>
  <c r="I162" i="3"/>
  <c r="J185" i="3"/>
  <c r="K185" i="3"/>
  <c r="D22" i="1"/>
  <c r="E23" i="1"/>
  <c r="Z27" i="1"/>
  <c r="AA26" i="1"/>
  <c r="D41" i="1"/>
  <c r="D25" i="2"/>
  <c r="D33" i="2"/>
  <c r="N25" i="2"/>
  <c r="L23" i="13" s="1"/>
  <c r="Q11" i="13" s="1"/>
  <c r="U10" i="13" s="1"/>
  <c r="N30" i="2"/>
  <c r="L93" i="13" s="1"/>
  <c r="Q21" i="13" s="1"/>
  <c r="U15" i="13" s="1"/>
  <c r="O26" i="2"/>
  <c r="N35" i="2"/>
  <c r="N43" i="2"/>
  <c r="N45" i="2"/>
  <c r="N50" i="2"/>
  <c r="N56" i="2"/>
  <c r="N81" i="2"/>
  <c r="CW10" i="13" s="1"/>
  <c r="D17" i="17"/>
  <c r="J177" i="16"/>
  <c r="D17" i="16"/>
  <c r="I158" i="3"/>
  <c r="N158" i="8"/>
  <c r="N146" i="8"/>
  <c r="E20" i="1"/>
  <c r="AL25" i="1"/>
  <c r="Z25" i="1"/>
  <c r="AA25" i="1"/>
  <c r="D40" i="1"/>
  <c r="D45" i="1"/>
  <c r="D55" i="1"/>
  <c r="D67" i="1"/>
  <c r="D75" i="1"/>
  <c r="BV19" i="13" s="1"/>
  <c r="D87" i="1"/>
  <c r="D24" i="2"/>
  <c r="D29" i="2"/>
  <c r="N24" i="2"/>
  <c r="L9" i="13" s="1"/>
  <c r="Q9" i="13" s="1"/>
  <c r="U9" i="13" s="1"/>
  <c r="N27" i="2"/>
  <c r="L51" i="13" s="1"/>
  <c r="Q15" i="13" s="1"/>
  <c r="U12" i="13" s="1"/>
  <c r="N33" i="2"/>
  <c r="N34" i="2"/>
  <c r="N39" i="2"/>
  <c r="N44" i="2"/>
  <c r="N47" i="2"/>
  <c r="N53" i="2"/>
  <c r="N80" i="2"/>
  <c r="CW9" i="13" s="1"/>
  <c r="N85" i="2"/>
  <c r="CW14" i="13" s="1"/>
  <c r="N100" i="2"/>
  <c r="D11" i="17"/>
  <c r="D11" i="16"/>
  <c r="D15" i="17"/>
  <c r="D15" i="16"/>
  <c r="G113" i="3"/>
  <c r="F113" i="3" s="1"/>
  <c r="H120" i="3"/>
  <c r="J120" i="3" s="1"/>
  <c r="I120" i="3"/>
  <c r="L122" i="3"/>
  <c r="I132" i="3"/>
  <c r="F137" i="3"/>
  <c r="G170" i="3"/>
  <c r="K170" i="3" s="1"/>
  <c r="G169" i="3"/>
  <c r="K169" i="3" s="1"/>
  <c r="I164" i="3"/>
  <c r="G165" i="3"/>
  <c r="K165" i="3" s="1"/>
  <c r="I166" i="3"/>
  <c r="S129" i="3"/>
  <c r="P33" i="8"/>
  <c r="O135" i="8" s="1"/>
  <c r="O90" i="8"/>
  <c r="Q56" i="8"/>
  <c r="P72" i="9"/>
  <c r="AE39" i="11"/>
  <c r="O16" i="11" s="1"/>
  <c r="AC16" i="11" s="1"/>
  <c r="AM39" i="11"/>
  <c r="W16" i="11" s="1"/>
  <c r="AK16" i="11" s="1"/>
  <c r="AI44" i="11"/>
  <c r="S19" i="11" s="1"/>
  <c r="AG19" i="11" s="1"/>
  <c r="W14" i="11"/>
  <c r="AK14" i="11" s="1"/>
  <c r="AJ47" i="11"/>
  <c r="AF48" i="11"/>
  <c r="AI49" i="11"/>
  <c r="AE50" i="11"/>
  <c r="O6" i="11" s="1"/>
  <c r="AC6" i="11" s="1"/>
  <c r="AJ53" i="11"/>
  <c r="J54" i="11"/>
  <c r="G54" i="11" s="1"/>
  <c r="AF58" i="11"/>
  <c r="P23" i="11" s="1"/>
  <c r="AD23" i="11" s="1"/>
  <c r="AE59" i="11"/>
  <c r="AE60" i="11"/>
  <c r="AN60" i="11"/>
  <c r="X12" i="11" s="1"/>
  <c r="AL12" i="11" s="1"/>
  <c r="AK62" i="11"/>
  <c r="AE62" i="11"/>
  <c r="O22" i="11" s="1"/>
  <c r="AJ62" i="11"/>
  <c r="AE63" i="11"/>
  <c r="AK64" i="11"/>
  <c r="U18" i="11" s="1"/>
  <c r="AI18" i="11" s="1"/>
  <c r="BB9" i="11" s="1"/>
  <c r="AN64" i="11"/>
  <c r="X18" i="11" s="1"/>
  <c r="AL18" i="11" s="1"/>
  <c r="AF64" i="11"/>
  <c r="P18" i="11" s="1"/>
  <c r="AD18" i="11" s="1"/>
  <c r="AW9" i="11" s="1"/>
  <c r="AJ64" i="11"/>
  <c r="T18" i="11" s="1"/>
  <c r="AH18" i="11" s="1"/>
  <c r="BA9" i="11" s="1"/>
  <c r="O11" i="11"/>
  <c r="AG13" i="11"/>
  <c r="AO69" i="11"/>
  <c r="Y20" i="11" s="1"/>
  <c r="AM20" i="11" s="1"/>
  <c r="AJ69" i="11"/>
  <c r="T20" i="11" s="1"/>
  <c r="AH20" i="11" s="1"/>
  <c r="AN70" i="11"/>
  <c r="X25" i="11" s="1"/>
  <c r="AL25" i="11" s="1"/>
  <c r="AE70" i="11"/>
  <c r="O25" i="11" s="1"/>
  <c r="AQ70" i="11"/>
  <c r="AA25" i="11" s="1"/>
  <c r="AO25" i="11" s="1"/>
  <c r="P45" i="12"/>
  <c r="AB15" i="12"/>
  <c r="AE15" i="12" s="1"/>
  <c r="P61" i="8"/>
  <c r="P77" i="8" s="1"/>
  <c r="P90" i="8"/>
  <c r="P59" i="9"/>
  <c r="P76" i="9" s="1"/>
  <c r="G64" i="10"/>
  <c r="K64" i="10"/>
  <c r="M9" i="11"/>
  <c r="AB70" i="12" s="1"/>
  <c r="AC70" i="12" s="1"/>
  <c r="AK28" i="11"/>
  <c r="AO28" i="11"/>
  <c r="AF39" i="11"/>
  <c r="P16" i="11" s="1"/>
  <c r="AD16" i="11" s="1"/>
  <c r="AN39" i="11"/>
  <c r="X16" i="11" s="1"/>
  <c r="AL16" i="11" s="1"/>
  <c r="BE8" i="11" s="1"/>
  <c r="AF40" i="11"/>
  <c r="AJ41" i="11"/>
  <c r="T17" i="11" s="1"/>
  <c r="AH17" i="11" s="1"/>
  <c r="AJ44" i="11"/>
  <c r="AE47" i="11"/>
  <c r="AM47" i="11"/>
  <c r="AL48" i="11"/>
  <c r="AI48" i="11"/>
  <c r="S15" i="11" s="1"/>
  <c r="AG15" i="11" s="1"/>
  <c r="AK49" i="11"/>
  <c r="AM49" i="11"/>
  <c r="W15" i="11" s="1"/>
  <c r="AK15" i="11" s="1"/>
  <c r="AI51" i="11"/>
  <c r="AP53" i="11"/>
  <c r="Z9" i="11" s="1"/>
  <c r="AN9" i="11" s="1"/>
  <c r="BG7" i="11" s="1"/>
  <c r="AG56" i="11"/>
  <c r="AM57" i="11"/>
  <c r="W23" i="11" s="1"/>
  <c r="AK23" i="11" s="1"/>
  <c r="AG58" i="11"/>
  <c r="AF59" i="11"/>
  <c r="AF60" i="11"/>
  <c r="AL62" i="11"/>
  <c r="AL64" i="11"/>
  <c r="V18" i="11" s="1"/>
  <c r="AJ18" i="11" s="1"/>
  <c r="BC9" i="11" s="1"/>
  <c r="AM64" i="11"/>
  <c r="W18" i="11" s="1"/>
  <c r="AK18" i="11" s="1"/>
  <c r="BD9" i="11" s="1"/>
  <c r="AI65" i="11"/>
  <c r="AE67" i="11"/>
  <c r="O13" i="11" s="1"/>
  <c r="AP68" i="11"/>
  <c r="Z24" i="11" s="1"/>
  <c r="AN24" i="11" s="1"/>
  <c r="AP70" i="11"/>
  <c r="Z25" i="11" s="1"/>
  <c r="AN25" i="11" s="1"/>
  <c r="AL71" i="11"/>
  <c r="V21" i="11" s="1"/>
  <c r="AJ21" i="11" s="1"/>
  <c r="AQ72" i="11"/>
  <c r="AA26" i="11" s="1"/>
  <c r="AO26" i="11" s="1"/>
  <c r="AH72" i="11"/>
  <c r="R26" i="11" s="1"/>
  <c r="AF26" i="11" s="1"/>
  <c r="AL73" i="11"/>
  <c r="V27" i="11" s="1"/>
  <c r="AJ27" i="11" s="1"/>
  <c r="I74" i="11"/>
  <c r="U122" i="11"/>
  <c r="U149" i="11" s="1"/>
  <c r="U126" i="11"/>
  <c r="U153" i="11" s="1"/>
  <c r="N41" i="12"/>
  <c r="Z41" i="12" s="1"/>
  <c r="O73" i="12" s="1"/>
  <c r="Z11" i="12"/>
  <c r="AC11" i="12" s="1"/>
  <c r="AF11" i="12" s="1"/>
  <c r="AB13" i="12"/>
  <c r="AE13" i="12" s="1"/>
  <c r="AI39" i="11"/>
  <c r="S16" i="11" s="1"/>
  <c r="AG16" i="11" s="1"/>
  <c r="W19" i="11"/>
  <c r="AK19" i="11" s="1"/>
  <c r="AJ48" i="11"/>
  <c r="AO60" i="11"/>
  <c r="Y12" i="11" s="1"/>
  <c r="AM12" i="11" s="1"/>
  <c r="AJ60" i="11"/>
  <c r="T12" i="11" s="1"/>
  <c r="AH12" i="11" s="1"/>
  <c r="AI60" i="11"/>
  <c r="S12" i="11" s="1"/>
  <c r="AG12" i="11" s="1"/>
  <c r="AK63" i="11"/>
  <c r="U22" i="11" s="1"/>
  <c r="AI22" i="11" s="1"/>
  <c r="AF63" i="11"/>
  <c r="P22" i="11" s="1"/>
  <c r="AD22" i="11" s="1"/>
  <c r="AJ63" i="11"/>
  <c r="H74" i="11"/>
  <c r="L74" i="11" s="1"/>
  <c r="Q119" i="11"/>
  <c r="Q146" i="11" s="1"/>
  <c r="N122" i="11"/>
  <c r="N149" i="11" s="1"/>
  <c r="R122" i="11"/>
  <c r="R149" i="11" s="1"/>
  <c r="V122" i="11"/>
  <c r="V149" i="11" s="1"/>
  <c r="N124" i="11"/>
  <c r="N151" i="11" s="1"/>
  <c r="R124" i="11"/>
  <c r="R151" i="11" s="1"/>
  <c r="N126" i="11"/>
  <c r="N153" i="11" s="1"/>
  <c r="R126" i="11"/>
  <c r="R153" i="11" s="1"/>
  <c r="V126" i="11"/>
  <c r="V153" i="11" s="1"/>
  <c r="N128" i="11"/>
  <c r="N155" i="11" s="1"/>
  <c r="R128" i="11"/>
  <c r="R155" i="11" s="1"/>
  <c r="V128" i="11"/>
  <c r="V155" i="11" s="1"/>
  <c r="X131" i="11"/>
  <c r="X158" i="11" s="1"/>
  <c r="Q139" i="11"/>
  <c r="U139" i="11"/>
  <c r="P40" i="12"/>
  <c r="AB10" i="12"/>
  <c r="AE10" i="12" s="1"/>
  <c r="P49" i="12"/>
  <c r="AB19" i="12"/>
  <c r="AE19" i="12" s="1"/>
  <c r="K12" i="17"/>
  <c r="L12" i="17" s="1"/>
  <c r="M12" i="17" s="1"/>
  <c r="P12" i="17" s="1"/>
  <c r="K12" i="16"/>
  <c r="L12" i="16" s="1"/>
  <c r="M12" i="16" s="1"/>
  <c r="P12" i="16" s="1"/>
  <c r="AN24" i="3"/>
  <c r="I176" i="3"/>
  <c r="I186" i="3"/>
  <c r="K186" i="3" s="1"/>
  <c r="P153" i="9"/>
  <c r="O152" i="9"/>
  <c r="G65" i="10"/>
  <c r="K62" i="10"/>
  <c r="M23" i="11"/>
  <c r="AB84" i="12" s="1"/>
  <c r="AF84" i="12" s="1"/>
  <c r="AJ39" i="11"/>
  <c r="T16" i="11" s="1"/>
  <c r="AH16" i="11" s="1"/>
  <c r="AL42" i="11"/>
  <c r="V7" i="11" s="1"/>
  <c r="AJ7" i="11" s="1"/>
  <c r="BC6" i="11" s="1"/>
  <c r="G46" i="11"/>
  <c r="AI47" i="11"/>
  <c r="AQ47" i="11"/>
  <c r="AA14" i="11" s="1"/>
  <c r="AO14" i="11" s="1"/>
  <c r="BH8" i="11" s="1"/>
  <c r="AE49" i="11"/>
  <c r="O15" i="11" s="1"/>
  <c r="AC15" i="11" s="1"/>
  <c r="Z15" i="11"/>
  <c r="AF50" i="11"/>
  <c r="P6" i="11" s="1"/>
  <c r="AD6" i="11" s="1"/>
  <c r="AP6" i="11" s="1"/>
  <c r="AM53" i="11"/>
  <c r="AM60" i="11"/>
  <c r="W12" i="11" s="1"/>
  <c r="AK12" i="11" s="1"/>
  <c r="AE61" i="11"/>
  <c r="O8" i="11" s="1"/>
  <c r="AC8" i="11" s="1"/>
  <c r="AI62" i="11"/>
  <c r="S22" i="11" s="1"/>
  <c r="AG22" i="11" s="1"/>
  <c r="AL63" i="11"/>
  <c r="AI64" i="11"/>
  <c r="S18" i="11" s="1"/>
  <c r="AG18" i="11" s="1"/>
  <c r="AZ9" i="11" s="1"/>
  <c r="AK65" i="11"/>
  <c r="U11" i="11" s="1"/>
  <c r="AI11" i="11" s="1"/>
  <c r="AH65" i="11"/>
  <c r="R11" i="11" s="1"/>
  <c r="AF11" i="11" s="1"/>
  <c r="AN69" i="11"/>
  <c r="X20" i="11" s="1"/>
  <c r="AL20" i="11" s="1"/>
  <c r="AM70" i="11"/>
  <c r="W25" i="11" s="1"/>
  <c r="AK25" i="11" s="1"/>
  <c r="AQ71" i="11"/>
  <c r="AA21" i="11" s="1"/>
  <c r="AO21" i="11" s="1"/>
  <c r="AH71" i="11"/>
  <c r="R21" i="11" s="1"/>
  <c r="AF21" i="11" s="1"/>
  <c r="AL72" i="11"/>
  <c r="V26" i="11" s="1"/>
  <c r="AJ26" i="11" s="1"/>
  <c r="AM73" i="11"/>
  <c r="W27" i="11" s="1"/>
  <c r="AK27" i="11" s="1"/>
  <c r="AH73" i="11"/>
  <c r="R27" i="11" s="1"/>
  <c r="AF27" i="11" s="1"/>
  <c r="O122" i="11"/>
  <c r="O149" i="11" s="1"/>
  <c r="S122" i="11"/>
  <c r="S149" i="11" s="1"/>
  <c r="Q123" i="11"/>
  <c r="Q150" i="11" s="1"/>
  <c r="U125" i="11"/>
  <c r="U152" i="11" s="1"/>
  <c r="O126" i="11"/>
  <c r="O153" i="11" s="1"/>
  <c r="W126" i="11"/>
  <c r="W153" i="11" s="1"/>
  <c r="Y127" i="11"/>
  <c r="Y154" i="11" s="1"/>
  <c r="O128" i="11"/>
  <c r="O155" i="11" s="1"/>
  <c r="Z14" i="12"/>
  <c r="AC14" i="12" s="1"/>
  <c r="AF14" i="12" s="1"/>
  <c r="N44" i="12"/>
  <c r="Z44" i="12" s="1"/>
  <c r="O76" i="12" s="1"/>
  <c r="AB17" i="12"/>
  <c r="AE17" i="12" s="1"/>
  <c r="P47" i="12"/>
  <c r="N46" i="12"/>
  <c r="Z46" i="12" s="1"/>
  <c r="O78" i="12" s="1"/>
  <c r="X78" i="12" s="1"/>
  <c r="O28" i="12"/>
  <c r="Z38" i="12"/>
  <c r="O70" i="12" s="1"/>
  <c r="AB21" i="12"/>
  <c r="AE21" i="12" s="1"/>
  <c r="Z53" i="12"/>
  <c r="O85" i="12" s="1"/>
  <c r="AF85" i="12" s="1"/>
  <c r="AG85" i="12" s="1"/>
  <c r="P41" i="12"/>
  <c r="K9" i="17"/>
  <c r="L9" i="17" s="1"/>
  <c r="M9" i="17" s="1"/>
  <c r="P9" i="17" s="1"/>
  <c r="V9" i="17" s="1"/>
  <c r="W9" i="17" s="1"/>
  <c r="X9" i="17" s="1"/>
  <c r="G35" i="17" s="1"/>
  <c r="K9" i="16"/>
  <c r="L9" i="16" s="1"/>
  <c r="M9" i="16" s="1"/>
  <c r="P9" i="16" s="1"/>
  <c r="V9" i="16" s="1"/>
  <c r="W9" i="16" s="1"/>
  <c r="X9" i="16" s="1"/>
  <c r="G35" i="16" s="1"/>
  <c r="G43" i="16" s="1"/>
  <c r="I43" i="16" s="1"/>
  <c r="J43" i="16" s="1"/>
  <c r="K19" i="17"/>
  <c r="L19" i="17" s="1"/>
  <c r="M19" i="17" s="1"/>
  <c r="P19" i="17" s="1"/>
  <c r="V10" i="17" s="1"/>
  <c r="W10" i="17" s="1"/>
  <c r="X10" i="17" s="1"/>
  <c r="G36" i="17" s="1"/>
  <c r="K19" i="16"/>
  <c r="L19" i="16" s="1"/>
  <c r="M19" i="16" s="1"/>
  <c r="P19" i="16" s="1"/>
  <c r="V10" i="16" s="1"/>
  <c r="W10" i="16" s="1"/>
  <c r="X10" i="16" s="1"/>
  <c r="G36" i="16" s="1"/>
  <c r="L142" i="12"/>
  <c r="L157" i="12"/>
  <c r="L184" i="12" s="1"/>
  <c r="L194" i="12" s="1"/>
  <c r="L209" i="12" s="1"/>
  <c r="L221" i="12" s="1"/>
  <c r="L162" i="12"/>
  <c r="L189" i="12" s="1"/>
  <c r="L199" i="12" s="1"/>
  <c r="L214" i="12" s="1"/>
  <c r="L226" i="12" s="1"/>
  <c r="L147" i="12"/>
  <c r="AV12" i="13"/>
  <c r="AV13" i="13"/>
  <c r="AU16" i="13"/>
  <c r="AU17" i="13" s="1"/>
  <c r="S11" i="14"/>
  <c r="L11" i="14"/>
  <c r="T11" i="14" s="1"/>
  <c r="AM52" i="11"/>
  <c r="W9" i="11" s="1"/>
  <c r="AK9" i="11" s="1"/>
  <c r="BD7" i="11" s="1"/>
  <c r="S10" i="11"/>
  <c r="W10" i="11"/>
  <c r="AA10" i="11"/>
  <c r="AO57" i="11"/>
  <c r="Y23" i="11" s="1"/>
  <c r="AI57" i="11"/>
  <c r="AH59" i="11"/>
  <c r="AP60" i="11"/>
  <c r="Z12" i="11" s="1"/>
  <c r="AN12" i="11" s="1"/>
  <c r="AG66" i="11"/>
  <c r="AI66" i="11"/>
  <c r="Q118" i="11"/>
  <c r="Q145" i="11" s="1"/>
  <c r="U118" i="11"/>
  <c r="U145" i="11" s="1"/>
  <c r="O119" i="11"/>
  <c r="O146" i="11" s="1"/>
  <c r="Y130" i="11"/>
  <c r="Y157" i="11" s="1"/>
  <c r="O131" i="11"/>
  <c r="O158" i="11" s="1"/>
  <c r="Q134" i="11"/>
  <c r="Q161" i="11" s="1"/>
  <c r="U134" i="11"/>
  <c r="U161" i="11" s="1"/>
  <c r="M165" i="11"/>
  <c r="Q165" i="11" s="1"/>
  <c r="P35" i="12"/>
  <c r="P28" i="12"/>
  <c r="AA78" i="12"/>
  <c r="AA84" i="12"/>
  <c r="DU13" i="13"/>
  <c r="DU11" i="13"/>
  <c r="BB20" i="13"/>
  <c r="BB14" i="13"/>
  <c r="AU19" i="13"/>
  <c r="AU20" i="13" s="1"/>
  <c r="DM13" i="13"/>
  <c r="M98" i="12"/>
  <c r="M120" i="12" s="1"/>
  <c r="N5" i="17"/>
  <c r="N5" i="16"/>
  <c r="Q69" i="12"/>
  <c r="L144" i="12"/>
  <c r="L159" i="12"/>
  <c r="L186" i="12" s="1"/>
  <c r="L196" i="12" s="1"/>
  <c r="L211" i="12" s="1"/>
  <c r="L223" i="12" s="1"/>
  <c r="BH15" i="13" a="1"/>
  <c r="BB22" i="13"/>
  <c r="L9" i="14"/>
  <c r="BH12" i="13" a="1"/>
  <c r="BH14" i="13" s="1"/>
  <c r="DK13" i="13"/>
  <c r="DK26" i="13" s="1"/>
  <c r="DK10" i="13"/>
  <c r="DK23" i="13" s="1"/>
  <c r="DK14" i="13"/>
  <c r="DK27" i="13" s="1"/>
  <c r="Q85" i="12"/>
  <c r="AC85" i="12" s="1"/>
  <c r="Z55" i="12"/>
  <c r="O87" i="12" s="1"/>
  <c r="Z56" i="12"/>
  <c r="O88" i="12" s="1"/>
  <c r="Z57" i="12"/>
  <c r="O89" i="12" s="1"/>
  <c r="K10" i="17"/>
  <c r="L10" i="17" s="1"/>
  <c r="M10" i="17" s="1"/>
  <c r="P10" i="17" s="1"/>
  <c r="V11" i="17" s="1"/>
  <c r="W11" i="17" s="1"/>
  <c r="X11" i="17" s="1"/>
  <c r="G37" i="17" s="1"/>
  <c r="K10" i="16"/>
  <c r="L10" i="16" s="1"/>
  <c r="M10" i="16" s="1"/>
  <c r="P10" i="16" s="1"/>
  <c r="M142" i="12"/>
  <c r="K155" i="12"/>
  <c r="K182" i="12" s="1"/>
  <c r="K192" i="12" s="1"/>
  <c r="K207" i="12" s="1"/>
  <c r="K219" i="12" s="1"/>
  <c r="J158" i="12"/>
  <c r="J185" i="12" s="1"/>
  <c r="J195" i="12" s="1"/>
  <c r="J210" i="12" s="1"/>
  <c r="J222" i="12" s="1"/>
  <c r="BH18" i="13" a="1"/>
  <c r="CM29" i="13" a="1"/>
  <c r="K18" i="15"/>
  <c r="K17" i="15" s="1"/>
  <c r="O18" i="15"/>
  <c r="J36" i="15" s="1" a="1"/>
  <c r="N28" i="15"/>
  <c r="J78" i="15"/>
  <c r="M78" i="15" s="1"/>
  <c r="Q78" i="15" s="1"/>
  <c r="L10" i="14"/>
  <c r="T10" i="14" s="1"/>
  <c r="N59" i="15"/>
  <c r="N63" i="15"/>
  <c r="N68" i="15"/>
  <c r="K70" i="15"/>
  <c r="J79" i="15"/>
  <c r="M79" i="15" s="1"/>
  <c r="Q79" i="15" s="1"/>
  <c r="J141" i="12"/>
  <c r="AP13" i="13"/>
  <c r="AO60" i="13" s="1"/>
  <c r="DW14" i="13"/>
  <c r="CT32" i="13" s="1"/>
  <c r="J8" i="14"/>
  <c r="K9" i="14"/>
  <c r="Q18" i="15"/>
  <c r="Q17" i="15" s="1"/>
  <c r="O47" i="15"/>
  <c r="O59" i="15"/>
  <c r="N62" i="15"/>
  <c r="O63" i="15"/>
  <c r="M66" i="15"/>
  <c r="N67" i="15"/>
  <c r="O68" i="15"/>
  <c r="M69" i="15"/>
  <c r="L70" i="15"/>
  <c r="N17" i="15"/>
  <c r="N61" i="15"/>
  <c r="O62" i="15"/>
  <c r="N66" i="15"/>
  <c r="L86" i="4"/>
  <c r="M86" i="4" s="1"/>
  <c r="AI117" i="4" s="1"/>
  <c r="K29" i="4"/>
  <c r="K16" i="4"/>
  <c r="M134" i="4"/>
  <c r="Q134" i="4"/>
  <c r="K11" i="4"/>
  <c r="K24" i="4"/>
  <c r="M87" i="4"/>
  <c r="W118" i="4" s="1"/>
  <c r="I36" i="16"/>
  <c r="J36" i="16" s="1"/>
  <c r="G44" i="16"/>
  <c r="I44" i="16" s="1"/>
  <c r="J44" i="16" s="1"/>
  <c r="I35" i="16"/>
  <c r="J35" i="16" s="1"/>
  <c r="AQ60" i="13"/>
  <c r="AT16" i="13"/>
  <c r="AP11" i="13"/>
  <c r="AO52" i="13" s="1"/>
  <c r="DU10" i="13"/>
  <c r="AS13" i="13"/>
  <c r="BB13" i="13"/>
  <c r="BB21" i="13"/>
  <c r="AP24" i="13"/>
  <c r="AT31" i="13" s="1"/>
  <c r="DU14" i="13"/>
  <c r="DW11" i="13"/>
  <c r="CT29" i="13" s="1"/>
  <c r="DM11" i="13"/>
  <c r="AS21" i="13"/>
  <c r="AV14" i="13"/>
  <c r="BB17" i="13"/>
  <c r="AV16" i="13"/>
  <c r="AP26" i="13"/>
  <c r="AQ56" i="13" s="1"/>
  <c r="CM24" i="13" a="1"/>
  <c r="CM24" i="13" s="1"/>
  <c r="BB18" i="13"/>
  <c r="AP23" i="13"/>
  <c r="L94" i="10"/>
  <c r="E8" i="8"/>
  <c r="E8" i="9"/>
  <c r="J9" i="3"/>
  <c r="J10" i="3" s="1"/>
  <c r="F15" i="9"/>
  <c r="G8" i="6"/>
  <c r="I177" i="16" s="1"/>
  <c r="F15" i="8"/>
  <c r="J184" i="3"/>
  <c r="K184" i="3"/>
  <c r="L66" i="4"/>
  <c r="M66" i="4" s="1"/>
  <c r="N66" i="4" s="1"/>
  <c r="O66" i="4" s="1"/>
  <c r="P66" i="4" s="1"/>
  <c r="Q66" i="4" s="1"/>
  <c r="R66" i="4" s="1"/>
  <c r="S66" i="4" s="1"/>
  <c r="M53" i="4"/>
  <c r="N53" i="4" s="1"/>
  <c r="O53" i="4" s="1"/>
  <c r="P53" i="4" s="1"/>
  <c r="Q53" i="4" s="1"/>
  <c r="R53" i="4" s="1"/>
  <c r="S53" i="4" s="1"/>
  <c r="AL15" i="3"/>
  <c r="I113" i="3"/>
  <c r="H113" i="3"/>
  <c r="J113" i="3" s="1"/>
  <c r="G16" i="3"/>
  <c r="J180" i="3"/>
  <c r="K180" i="3"/>
  <c r="S118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J190" i="3"/>
  <c r="K190" i="3"/>
  <c r="G133" i="3"/>
  <c r="C26" i="6"/>
  <c r="F11" i="9"/>
  <c r="F11" i="8"/>
  <c r="I119" i="3"/>
  <c r="H119" i="3"/>
  <c r="J119" i="3" s="1"/>
  <c r="J170" i="3"/>
  <c r="K182" i="3"/>
  <c r="J182" i="3"/>
  <c r="G124" i="3"/>
  <c r="G134" i="3"/>
  <c r="J188" i="3"/>
  <c r="K188" i="3"/>
  <c r="O24" i="1"/>
  <c r="E44" i="1"/>
  <c r="E48" i="1"/>
  <c r="D118" i="1"/>
  <c r="F13" i="9"/>
  <c r="F13" i="8"/>
  <c r="O66" i="7" s="1"/>
  <c r="G6" i="6"/>
  <c r="M118" i="4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15" i="1"/>
  <c r="D119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N54" i="2"/>
  <c r="N57" i="2"/>
  <c r="N77" i="2"/>
  <c r="N84" i="2"/>
  <c r="CW13" i="13" s="1"/>
  <c r="N101" i="2"/>
  <c r="N108" i="2"/>
  <c r="N115" i="2"/>
  <c r="AO75" i="13"/>
  <c r="AO44" i="13" s="1"/>
  <c r="V19" i="13"/>
  <c r="G9" i="6"/>
  <c r="H177" i="1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34" i="4"/>
  <c r="N118" i="4"/>
  <c r="N134" i="4"/>
  <c r="AL118" i="4"/>
  <c r="P11" i="9"/>
  <c r="Q22" i="9"/>
  <c r="AP8" i="11"/>
  <c r="H43" i="11"/>
  <c r="L43" i="11" s="1"/>
  <c r="H50" i="11"/>
  <c r="L50" i="11" s="1"/>
  <c r="H53" i="11"/>
  <c r="I53" i="11"/>
  <c r="H55" i="11"/>
  <c r="L55" i="11" s="1"/>
  <c r="I55" i="11"/>
  <c r="H62" i="11"/>
  <c r="L62" i="11" s="1"/>
  <c r="L68" i="11"/>
  <c r="I68" i="11"/>
  <c r="Z24" i="1"/>
  <c r="E64" i="1"/>
  <c r="E68" i="1"/>
  <c r="O38" i="2"/>
  <c r="F16" i="9"/>
  <c r="G14" i="6"/>
  <c r="F16" i="8"/>
  <c r="K114" i="3"/>
  <c r="K119" i="3"/>
  <c r="J135" i="3"/>
  <c r="K136" i="3"/>
  <c r="B145" i="3"/>
  <c r="N98" i="9"/>
  <c r="N99" i="9"/>
  <c r="N100" i="9"/>
  <c r="H41" i="11"/>
  <c r="L41" i="11" s="1"/>
  <c r="H64" i="11"/>
  <c r="L64" i="11" s="1"/>
  <c r="D20" i="1"/>
  <c r="D23" i="1"/>
  <c r="D27" i="1"/>
  <c r="E24" i="1"/>
  <c r="E28" i="1"/>
  <c r="O21" i="1"/>
  <c r="Z21" i="1"/>
  <c r="AK21" i="1"/>
  <c r="AK29" i="1"/>
  <c r="O28" i="1"/>
  <c r="AA24" i="1"/>
  <c r="AK22" i="1"/>
  <c r="AK26" i="1"/>
  <c r="AN70" i="13" s="1"/>
  <c r="E54" i="1"/>
  <c r="E58" i="1"/>
  <c r="E62" i="1"/>
  <c r="E66" i="1"/>
  <c r="E74" i="1"/>
  <c r="E78" i="1"/>
  <c r="D116" i="1"/>
  <c r="D120" i="1"/>
  <c r="E26" i="2"/>
  <c r="E30" i="2"/>
  <c r="O28" i="2"/>
  <c r="O32" i="2"/>
  <c r="O36" i="2"/>
  <c r="O40" i="2"/>
  <c r="N58" i="2"/>
  <c r="AO79" i="13"/>
  <c r="AP44" i="13" s="1"/>
  <c r="F12" i="9"/>
  <c r="F12" i="8"/>
  <c r="D26" i="6"/>
  <c r="F14" i="9"/>
  <c r="F14" i="8"/>
  <c r="G7" i="6"/>
  <c r="F17" i="8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38" i="4"/>
  <c r="L138" i="4"/>
  <c r="P137" i="4"/>
  <c r="R50" i="4" s="1"/>
  <c r="R63" i="4" s="1"/>
  <c r="L137" i="4"/>
  <c r="N50" i="4" s="1"/>
  <c r="N63" i="4" s="1"/>
  <c r="P133" i="4"/>
  <c r="R49" i="4" s="1"/>
  <c r="R62" i="4" s="1"/>
  <c r="L133" i="4"/>
  <c r="N49" i="4" s="1"/>
  <c r="N62" i="4" s="1"/>
  <c r="P132" i="4"/>
  <c r="R48" i="4" s="1"/>
  <c r="R61" i="4" s="1"/>
  <c r="L132" i="4"/>
  <c r="N48" i="4" s="1"/>
  <c r="N61" i="4" s="1"/>
  <c r="P131" i="4"/>
  <c r="R47" i="4" s="1"/>
  <c r="R60" i="4" s="1"/>
  <c r="L131" i="4"/>
  <c r="N47" i="4" s="1"/>
  <c r="N60" i="4" s="1"/>
  <c r="P130" i="4"/>
  <c r="R46" i="4" s="1"/>
  <c r="R59" i="4" s="1"/>
  <c r="L130" i="4"/>
  <c r="N46" i="4" s="1"/>
  <c r="N59" i="4" s="1"/>
  <c r="P129" i="4"/>
  <c r="R45" i="4" s="1"/>
  <c r="R58" i="4" s="1"/>
  <c r="L129" i="4"/>
  <c r="N45" i="4" s="1"/>
  <c r="N58" i="4" s="1"/>
  <c r="P128" i="4"/>
  <c r="R44" i="4" s="1"/>
  <c r="R57" i="4" s="1"/>
  <c r="L128" i="4"/>
  <c r="N44" i="4" s="1"/>
  <c r="N57" i="4" s="1"/>
  <c r="P127" i="4"/>
  <c r="R43" i="4" s="1"/>
  <c r="R56" i="4" s="1"/>
  <c r="L127" i="4"/>
  <c r="N43" i="4" s="1"/>
  <c r="N56" i="4" s="1"/>
  <c r="P126" i="4"/>
  <c r="R42" i="4" s="1"/>
  <c r="R55" i="4" s="1"/>
  <c r="L126" i="4"/>
  <c r="N42" i="4" s="1"/>
  <c r="N55" i="4" s="1"/>
  <c r="O138" i="4"/>
  <c r="K138" i="4"/>
  <c r="O137" i="4"/>
  <c r="Q50" i="4" s="1"/>
  <c r="Q63" i="4" s="1"/>
  <c r="K137" i="4"/>
  <c r="M50" i="4" s="1"/>
  <c r="M63" i="4" s="1"/>
  <c r="O133" i="4"/>
  <c r="Q49" i="4" s="1"/>
  <c r="Q62" i="4" s="1"/>
  <c r="K133" i="4"/>
  <c r="M49" i="4" s="1"/>
  <c r="M62" i="4" s="1"/>
  <c r="O132" i="4"/>
  <c r="Q48" i="4" s="1"/>
  <c r="Q61" i="4" s="1"/>
  <c r="K132" i="4"/>
  <c r="M48" i="4" s="1"/>
  <c r="M61" i="4" s="1"/>
  <c r="O131" i="4"/>
  <c r="Q47" i="4" s="1"/>
  <c r="Q60" i="4" s="1"/>
  <c r="K131" i="4"/>
  <c r="M47" i="4" s="1"/>
  <c r="M60" i="4" s="1"/>
  <c r="O130" i="4"/>
  <c r="Q46" i="4" s="1"/>
  <c r="Q59" i="4" s="1"/>
  <c r="K130" i="4"/>
  <c r="M46" i="4" s="1"/>
  <c r="M59" i="4" s="1"/>
  <c r="O129" i="4"/>
  <c r="Q45" i="4" s="1"/>
  <c r="Q58" i="4" s="1"/>
  <c r="K129" i="4"/>
  <c r="M45" i="4" s="1"/>
  <c r="M58" i="4" s="1"/>
  <c r="O128" i="4"/>
  <c r="Q44" i="4" s="1"/>
  <c r="Q57" i="4" s="1"/>
  <c r="K128" i="4"/>
  <c r="M44" i="4" s="1"/>
  <c r="M57" i="4" s="1"/>
  <c r="O127" i="4"/>
  <c r="Q43" i="4" s="1"/>
  <c r="Q56" i="4" s="1"/>
  <c r="K127" i="4"/>
  <c r="M43" i="4" s="1"/>
  <c r="M56" i="4" s="1"/>
  <c r="O126" i="4"/>
  <c r="Q42" i="4" s="1"/>
  <c r="Q55" i="4" s="1"/>
  <c r="K126" i="4"/>
  <c r="M42" i="4" s="1"/>
  <c r="M55" i="4" s="1"/>
  <c r="N138" i="4"/>
  <c r="J138" i="4"/>
  <c r="N137" i="4"/>
  <c r="P50" i="4" s="1"/>
  <c r="P63" i="4" s="1"/>
  <c r="J137" i="4"/>
  <c r="L50" i="4" s="1"/>
  <c r="L63" i="4" s="1"/>
  <c r="N133" i="4"/>
  <c r="P49" i="4" s="1"/>
  <c r="P62" i="4" s="1"/>
  <c r="J133" i="4"/>
  <c r="L49" i="4" s="1"/>
  <c r="N132" i="4"/>
  <c r="P48" i="4" s="1"/>
  <c r="P61" i="4" s="1"/>
  <c r="J132" i="4"/>
  <c r="L48" i="4" s="1"/>
  <c r="L61" i="4" s="1"/>
  <c r="N131" i="4"/>
  <c r="P47" i="4" s="1"/>
  <c r="P60" i="4" s="1"/>
  <c r="J131" i="4"/>
  <c r="L47" i="4" s="1"/>
  <c r="L60" i="4" s="1"/>
  <c r="N130" i="4"/>
  <c r="P46" i="4" s="1"/>
  <c r="P59" i="4" s="1"/>
  <c r="J130" i="4"/>
  <c r="L46" i="4" s="1"/>
  <c r="L59" i="4" s="1"/>
  <c r="N129" i="4"/>
  <c r="P45" i="4" s="1"/>
  <c r="P58" i="4" s="1"/>
  <c r="J129" i="4"/>
  <c r="L45" i="4" s="1"/>
  <c r="L58" i="4" s="1"/>
  <c r="N128" i="4"/>
  <c r="P44" i="4" s="1"/>
  <c r="P57" i="4" s="1"/>
  <c r="J128" i="4"/>
  <c r="L44" i="4" s="1"/>
  <c r="L57" i="4" s="1"/>
  <c r="N127" i="4"/>
  <c r="P43" i="4" s="1"/>
  <c r="P56" i="4" s="1"/>
  <c r="J127" i="4"/>
  <c r="L43" i="4" s="1"/>
  <c r="N126" i="4"/>
  <c r="P42" i="4" s="1"/>
  <c r="P55" i="4" s="1"/>
  <c r="J126" i="4"/>
  <c r="L42" i="4" s="1"/>
  <c r="Q138" i="4"/>
  <c r="M138" i="4"/>
  <c r="Q137" i="4"/>
  <c r="S50" i="4" s="1"/>
  <c r="S63" i="4" s="1"/>
  <c r="M137" i="4"/>
  <c r="O50" i="4" s="1"/>
  <c r="O63" i="4" s="1"/>
  <c r="Q133" i="4"/>
  <c r="S49" i="4" s="1"/>
  <c r="S62" i="4" s="1"/>
  <c r="M133" i="4"/>
  <c r="O49" i="4" s="1"/>
  <c r="O62" i="4" s="1"/>
  <c r="Q132" i="4"/>
  <c r="S48" i="4" s="1"/>
  <c r="S61" i="4" s="1"/>
  <c r="M132" i="4"/>
  <c r="O48" i="4" s="1"/>
  <c r="O61" i="4" s="1"/>
  <c r="Q131" i="4"/>
  <c r="S47" i="4" s="1"/>
  <c r="S60" i="4" s="1"/>
  <c r="M131" i="4"/>
  <c r="O47" i="4" s="1"/>
  <c r="O60" i="4" s="1"/>
  <c r="Q130" i="4"/>
  <c r="S46" i="4" s="1"/>
  <c r="S59" i="4" s="1"/>
  <c r="M130" i="4"/>
  <c r="O46" i="4" s="1"/>
  <c r="O59" i="4" s="1"/>
  <c r="Q129" i="4"/>
  <c r="S45" i="4" s="1"/>
  <c r="S58" i="4" s="1"/>
  <c r="M129" i="4"/>
  <c r="O45" i="4" s="1"/>
  <c r="O58" i="4" s="1"/>
  <c r="Q128" i="4"/>
  <c r="S44" i="4" s="1"/>
  <c r="S57" i="4" s="1"/>
  <c r="M128" i="4"/>
  <c r="O44" i="4" s="1"/>
  <c r="O57" i="4" s="1"/>
  <c r="Q127" i="4"/>
  <c r="S43" i="4" s="1"/>
  <c r="S56" i="4" s="1"/>
  <c r="M127" i="4"/>
  <c r="O43" i="4" s="1"/>
  <c r="O56" i="4" s="1"/>
  <c r="Q126" i="4"/>
  <c r="S42" i="4" s="1"/>
  <c r="S55" i="4" s="1"/>
  <c r="M126" i="4"/>
  <c r="O42" i="4" s="1"/>
  <c r="O55" i="4" s="1"/>
  <c r="K17" i="4"/>
  <c r="K13" i="4"/>
  <c r="K9" i="4"/>
  <c r="K14" i="4"/>
  <c r="K31" i="4"/>
  <c r="K27" i="4"/>
  <c r="K23" i="4"/>
  <c r="K26" i="4"/>
  <c r="K134" i="4"/>
  <c r="O134" i="4"/>
  <c r="P36" i="8"/>
  <c r="Q79" i="9"/>
  <c r="M21" i="12"/>
  <c r="M51" i="12"/>
  <c r="M83" i="12" s="1"/>
  <c r="BD10" i="11"/>
  <c r="AB75" i="12"/>
  <c r="H47" i="11"/>
  <c r="L47" i="11" s="1"/>
  <c r="H52" i="11"/>
  <c r="I52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G76" i="12" s="1"/>
  <c r="AD76" i="12"/>
  <c r="H63" i="11"/>
  <c r="L63" i="11" s="1"/>
  <c r="D24" i="1"/>
  <c r="D28" i="1"/>
  <c r="E21" i="1"/>
  <c r="E25" i="1"/>
  <c r="E29" i="1"/>
  <c r="O22" i="1"/>
  <c r="O26" i="1"/>
  <c r="Z22" i="1"/>
  <c r="O29" i="1"/>
  <c r="D31" i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D114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N55" i="2"/>
  <c r="N75" i="2"/>
  <c r="N82" i="2"/>
  <c r="CW11" i="13" s="1"/>
  <c r="N99" i="2"/>
  <c r="N106" i="2"/>
  <c r="N113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34" i="4"/>
  <c r="T118" i="4"/>
  <c r="P134" i="4"/>
  <c r="DW27" i="13"/>
  <c r="DM26" i="13"/>
  <c r="DW24" i="13"/>
  <c r="DR27" i="13"/>
  <c r="DW25" i="13"/>
  <c r="DR24" i="13"/>
  <c r="DW22" i="13"/>
  <c r="DR22" i="13"/>
  <c r="DM22" i="13"/>
  <c r="DM27" i="13"/>
  <c r="DW26" i="13"/>
  <c r="DR25" i="13"/>
  <c r="DM24" i="13"/>
  <c r="DR23" i="13"/>
  <c r="DM23" i="13"/>
  <c r="DM25" i="13"/>
  <c r="DR26" i="13"/>
  <c r="DW23" i="13"/>
  <c r="P170" i="8"/>
  <c r="P170" i="9"/>
  <c r="N98" i="8"/>
  <c r="N99" i="8"/>
  <c r="N100" i="8"/>
  <c r="G66" i="10"/>
  <c r="H65" i="10" s="1"/>
  <c r="M14" i="12"/>
  <c r="M44" i="12"/>
  <c r="M76" i="12" s="1"/>
  <c r="K63" i="10"/>
  <c r="AV9" i="11"/>
  <c r="AB80" i="12"/>
  <c r="BG8" i="11"/>
  <c r="AB6" i="11"/>
  <c r="H51" i="11"/>
  <c r="I51" i="11" s="1"/>
  <c r="H57" i="11"/>
  <c r="L57" i="11" s="1"/>
  <c r="AC11" i="11"/>
  <c r="Y117" i="4"/>
  <c r="AO117" i="4"/>
  <c r="Q135" i="4" s="1"/>
  <c r="S51" i="4" s="1"/>
  <c r="S64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F79" i="12"/>
  <c r="AD79" i="12"/>
  <c r="AE79" i="12" s="1"/>
  <c r="AD89" i="12"/>
  <c r="AE89" i="12" s="1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N52" i="1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W73" i="12"/>
  <c r="Z73" i="12"/>
  <c r="Y73" i="12"/>
  <c r="X73" i="12"/>
  <c r="P73" i="12"/>
  <c r="X76" i="12"/>
  <c r="P76" i="12"/>
  <c r="W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17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E70" i="12" s="1"/>
  <c r="AF72" i="12"/>
  <c r="AG72" i="12" s="1"/>
  <c r="AD72" i="12"/>
  <c r="AD73" i="12"/>
  <c r="AF73" i="12"/>
  <c r="AG73" i="12" s="1"/>
  <c r="AC82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Q68" i="11"/>
  <c r="AA24" i="11" s="1"/>
  <c r="AO24" i="11" s="1"/>
  <c r="AM68" i="11"/>
  <c r="W24" i="11" s="1"/>
  <c r="AK24" i="11" s="1"/>
  <c r="BD11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Z78" i="12"/>
  <c r="Q58" i="8"/>
  <c r="Q63" i="8" s="1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H45" i="11"/>
  <c r="L45" i="11" s="1"/>
  <c r="AH45" i="11"/>
  <c r="H46" i="11"/>
  <c r="L46" i="11" s="1"/>
  <c r="AH46" i="11"/>
  <c r="AL46" i="11"/>
  <c r="AG47" i="11"/>
  <c r="AK47" i="11"/>
  <c r="AO47" i="11"/>
  <c r="Y14" i="11" s="1"/>
  <c r="AM14" i="11" s="1"/>
  <c r="BF8" i="11" s="1"/>
  <c r="G48" i="11"/>
  <c r="AG48" i="11"/>
  <c r="AK48" i="11"/>
  <c r="AF49" i="11"/>
  <c r="P15" i="11" s="1"/>
  <c r="AJ49" i="11"/>
  <c r="AE51" i="11"/>
  <c r="O9" i="11" s="1"/>
  <c r="AJ51" i="1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Q67" i="12"/>
  <c r="W77" i="12"/>
  <c r="Z77" i="12"/>
  <c r="Y77" i="12"/>
  <c r="X77" i="12"/>
  <c r="P77" i="12"/>
  <c r="Y80" i="12"/>
  <c r="X80" i="12"/>
  <c r="P80" i="12"/>
  <c r="W80" i="12"/>
  <c r="Z80" i="12"/>
  <c r="P117" i="4"/>
  <c r="L135" i="4" s="1"/>
  <c r="N51" i="4" s="1"/>
  <c r="N64" i="4" s="1"/>
  <c r="AF117" i="4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G88" i="12" s="1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AL44" i="11"/>
  <c r="V19" i="11" s="1"/>
  <c r="AJ19" i="11" s="1"/>
  <c r="AE45" i="11"/>
  <c r="AE46" i="11"/>
  <c r="O14" i="11" s="1"/>
  <c r="AI46" i="1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AH56" i="11"/>
  <c r="AI58" i="11"/>
  <c r="AE58" i="11"/>
  <c r="AL58" i="11"/>
  <c r="V23" i="11" s="1"/>
  <c r="AJ23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Y70" i="12"/>
  <c r="X72" i="12"/>
  <c r="P72" i="12"/>
  <c r="W72" i="12"/>
  <c r="Y72" i="12"/>
  <c r="Z72" i="12"/>
  <c r="N43" i="12"/>
  <c r="Z43" i="12" s="1"/>
  <c r="O75" i="12" s="1"/>
  <c r="AH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H70" i="12"/>
  <c r="N50" i="12"/>
  <c r="Z50" i="12" s="1"/>
  <c r="O82" i="12" s="1"/>
  <c r="AF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P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AC79" i="12" s="1"/>
  <c r="P48" i="12"/>
  <c r="Q80" i="12"/>
  <c r="Q81" i="12"/>
  <c r="AC81" i="12" s="1"/>
  <c r="AH83" i="12"/>
  <c r="AH85" i="12"/>
  <c r="Z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E76" i="12"/>
  <c r="AH76" i="12"/>
  <c r="AH79" i="12"/>
  <c r="AE81" i="12"/>
  <c r="AH81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Q84" i="12"/>
  <c r="AC84" i="12" s="1"/>
  <c r="Q86" i="12"/>
  <c r="AC86" i="12" s="1"/>
  <c r="AH89" i="12"/>
  <c r="R67" i="12"/>
  <c r="AH80" i="12"/>
  <c r="R105" i="12"/>
  <c r="V105" i="12"/>
  <c r="Q87" i="12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BD11" i="13"/>
  <c r="BD10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7" i="13"/>
  <c r="DR12" i="13"/>
  <c r="DR9" i="13"/>
  <c r="DR11" i="13"/>
  <c r="CB14" i="13" s="1"/>
  <c r="BE17" i="13"/>
  <c r="BE16" i="13"/>
  <c r="BE15" i="13"/>
  <c r="DB31" i="13"/>
  <c r="BD20" i="13"/>
  <c r="CJ18" i="13" s="1"/>
  <c r="N195" i="12"/>
  <c r="CN25" i="13" s="1"/>
  <c r="CN29" i="13" s="1" a="1"/>
  <c r="AP12" i="13"/>
  <c r="AP9" i="13"/>
  <c r="AP14" i="13"/>
  <c r="DR10" i="13"/>
  <c r="CB12" i="13" s="1"/>
  <c r="CB10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DR13" i="13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O17" i="15"/>
  <c r="DK9" i="13"/>
  <c r="DK22" i="13" s="1"/>
  <c r="DK12" i="13"/>
  <c r="DK25" i="13" s="1"/>
  <c r="DU9" i="13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AF9" i="13" l="1" a="1"/>
  <c r="AO9" i="13" a="1"/>
  <c r="AL32" i="1" a="1"/>
  <c r="DE9" i="13" a="1"/>
  <c r="DE10" i="13" s="1"/>
  <c r="CS28" i="13"/>
  <c r="CS13" i="13"/>
  <c r="V9" i="13" a="1"/>
  <c r="V11" i="13" s="1"/>
  <c r="AH78" i="12"/>
  <c r="BB78" i="12" s="1"/>
  <c r="X85" i="12"/>
  <c r="AB117" i="4"/>
  <c r="W78" i="12"/>
  <c r="AD71" i="12"/>
  <c r="AE71" i="12" s="1"/>
  <c r="N11" i="17"/>
  <c r="N11" i="16"/>
  <c r="N8" i="17"/>
  <c r="N8" i="16"/>
  <c r="AK117" i="4"/>
  <c r="U117" i="4"/>
  <c r="M135" i="4" s="1"/>
  <c r="O51" i="4" s="1"/>
  <c r="O64" i="4" s="1"/>
  <c r="AD78" i="12"/>
  <c r="AE78" i="12" s="1"/>
  <c r="N19" i="17"/>
  <c r="N19" i="16"/>
  <c r="AE117" i="4"/>
  <c r="O135" i="4" s="1"/>
  <c r="Q51" i="4" s="1"/>
  <c r="Q64" i="4" s="1"/>
  <c r="L55" i="4"/>
  <c r="P16" i="3"/>
  <c r="I50" i="11"/>
  <c r="AH117" i="4"/>
  <c r="V117" i="4"/>
  <c r="J117" i="4"/>
  <c r="J135" i="4" s="1"/>
  <c r="L51" i="4" s="1"/>
  <c r="L64" i="4" s="1"/>
  <c r="T9" i="14"/>
  <c r="L8" i="14"/>
  <c r="T8" i="14" s="1"/>
  <c r="P12" i="11"/>
  <c r="AD12" i="11" s="1"/>
  <c r="O12" i="11"/>
  <c r="AC12" i="11" s="1"/>
  <c r="CS26" i="13"/>
  <c r="CS9" i="13"/>
  <c r="CS27" i="13"/>
  <c r="CS11" i="13"/>
  <c r="J137" i="3"/>
  <c r="J122" i="3"/>
  <c r="J121" i="3"/>
  <c r="CS29" i="13"/>
  <c r="CS15" i="13"/>
  <c r="K128" i="3"/>
  <c r="E50" i="3"/>
  <c r="F11" i="3" s="1"/>
  <c r="CB16" i="13"/>
  <c r="CB18" i="13"/>
  <c r="N9" i="17"/>
  <c r="N9" i="16"/>
  <c r="N21" i="17"/>
  <c r="N21" i="16"/>
  <c r="AZ7" i="11"/>
  <c r="N17" i="17"/>
  <c r="N17" i="16"/>
  <c r="I36" i="17"/>
  <c r="J36" i="17" s="1"/>
  <c r="G44" i="17"/>
  <c r="I44" i="17" s="1"/>
  <c r="J44" i="17" s="1"/>
  <c r="C9" i="13" a="1"/>
  <c r="CM25" i="13"/>
  <c r="CM28" i="13"/>
  <c r="BH12" i="13"/>
  <c r="Y85" i="12"/>
  <c r="L117" i="4"/>
  <c r="T15" i="11"/>
  <c r="AH15" i="11" s="1"/>
  <c r="N6" i="17"/>
  <c r="N6" i="16"/>
  <c r="CM26" i="13"/>
  <c r="BH13" i="13"/>
  <c r="AH86" i="12"/>
  <c r="V165" i="11"/>
  <c r="AH82" i="12"/>
  <c r="BC82" i="12" s="1"/>
  <c r="Z85" i="12"/>
  <c r="X165" i="11"/>
  <c r="Q23" i="11"/>
  <c r="AE23" i="11" s="1"/>
  <c r="BC10" i="11"/>
  <c r="AN117" i="4"/>
  <c r="X117" i="4"/>
  <c r="S165" i="11"/>
  <c r="R14" i="11"/>
  <c r="AF14" i="11" s="1"/>
  <c r="BF10" i="11"/>
  <c r="N15" i="17"/>
  <c r="N15" i="16"/>
  <c r="Y78" i="12"/>
  <c r="P78" i="12"/>
  <c r="BH11" i="11"/>
  <c r="AF86" i="12"/>
  <c r="AF70" i="12"/>
  <c r="AG70" i="12" s="1"/>
  <c r="N18" i="17"/>
  <c r="N18" i="16"/>
  <c r="AD85" i="12"/>
  <c r="AE85" i="12" s="1"/>
  <c r="N20" i="17"/>
  <c r="N20" i="16"/>
  <c r="N13" i="17"/>
  <c r="N13" i="16"/>
  <c r="AG117" i="4"/>
  <c r="Q117" i="4"/>
  <c r="AF78" i="12"/>
  <c r="H63" i="10"/>
  <c r="H61" i="10"/>
  <c r="S117" i="4"/>
  <c r="AN9" i="13" a="1"/>
  <c r="AN14" i="13" s="1"/>
  <c r="I59" i="11"/>
  <c r="O117" i="4"/>
  <c r="AM117" i="4"/>
  <c r="AD117" i="4"/>
  <c r="R117" i="4"/>
  <c r="C13" i="17"/>
  <c r="E13" i="17" s="1"/>
  <c r="F109" i="17" s="1"/>
  <c r="C13" i="16"/>
  <c r="H64" i="10"/>
  <c r="J186" i="3"/>
  <c r="C15" i="17"/>
  <c r="E15" i="17" s="1"/>
  <c r="F110" i="17" s="1"/>
  <c r="C15" i="16"/>
  <c r="AA117" i="4"/>
  <c r="I35" i="17"/>
  <c r="J35" i="17" s="1"/>
  <c r="G43" i="17"/>
  <c r="I43" i="17" s="1"/>
  <c r="J43" i="17" s="1"/>
  <c r="T22" i="11"/>
  <c r="AH22" i="11" s="1"/>
  <c r="N14" i="17"/>
  <c r="N14" i="16"/>
  <c r="N10" i="16"/>
  <c r="N10" i="17"/>
  <c r="CS30" i="13"/>
  <c r="CS17" i="13"/>
  <c r="J12" i="14"/>
  <c r="T136" i="12" s="1"/>
  <c r="R8" i="14"/>
  <c r="R12" i="14" s="1"/>
  <c r="T132" i="12"/>
  <c r="I37" i="17"/>
  <c r="J37" i="17" s="1"/>
  <c r="G45" i="17"/>
  <c r="I45" i="17" s="1"/>
  <c r="J45" i="17" s="1"/>
  <c r="S11" i="11"/>
  <c r="AG11" i="11" s="1"/>
  <c r="CS31" i="13"/>
  <c r="CS19" i="13"/>
  <c r="E61" i="17"/>
  <c r="E51" i="17"/>
  <c r="E52" i="17" s="1"/>
  <c r="E53" i="17" s="1"/>
  <c r="E8" i="17"/>
  <c r="G102" i="17" s="1"/>
  <c r="F112" i="17" s="1"/>
  <c r="J59" i="17"/>
  <c r="C9" i="17"/>
  <c r="N16" i="17"/>
  <c r="N16" i="16"/>
  <c r="W165" i="11"/>
  <c r="Q105" i="12"/>
  <c r="R165" i="11"/>
  <c r="AZ10" i="11"/>
  <c r="W85" i="12"/>
  <c r="AD67" i="12"/>
  <c r="P67" i="12"/>
  <c r="T165" i="11"/>
  <c r="R22" i="11"/>
  <c r="AF22" i="11" s="1"/>
  <c r="P11" i="11"/>
  <c r="AD11" i="11" s="1"/>
  <c r="AP11" i="11" s="1"/>
  <c r="BC11" i="11"/>
  <c r="O23" i="11"/>
  <c r="S14" i="11"/>
  <c r="AG14" i="11" s="1"/>
  <c r="AZ8" i="11" s="1"/>
  <c r="R19" i="11"/>
  <c r="AF19" i="11" s="1"/>
  <c r="AY10" i="11" s="1"/>
  <c r="N7" i="17"/>
  <c r="N7" i="16"/>
  <c r="AJ117" i="4"/>
  <c r="P135" i="4" s="1"/>
  <c r="R51" i="4" s="1"/>
  <c r="R64" i="4" s="1"/>
  <c r="T117" i="4"/>
  <c r="O165" i="11"/>
  <c r="T9" i="11"/>
  <c r="AH9" i="11" s="1"/>
  <c r="BA7" i="11" s="1"/>
  <c r="U15" i="11"/>
  <c r="AI15" i="11" s="1"/>
  <c r="N22" i="17"/>
  <c r="N22" i="16"/>
  <c r="AG78" i="12"/>
  <c r="AW11" i="11"/>
  <c r="Q14" i="11"/>
  <c r="AE14" i="11" s="1"/>
  <c r="AX8" i="11" s="1"/>
  <c r="X9" i="11"/>
  <c r="AL9" i="11" s="1"/>
  <c r="BE7" i="11" s="1"/>
  <c r="AW10" i="11"/>
  <c r="AU7" i="11"/>
  <c r="AC117" i="4"/>
  <c r="M117" i="4"/>
  <c r="I46" i="11"/>
  <c r="N12" i="17"/>
  <c r="N12" i="16"/>
  <c r="AE9" i="13" a="1"/>
  <c r="AP16" i="13" a="1"/>
  <c r="D9" i="13" a="1"/>
  <c r="D15" i="13" s="1"/>
  <c r="R21" i="13" s="1"/>
  <c r="I43" i="11"/>
  <c r="K117" i="4"/>
  <c r="K135" i="4" s="1"/>
  <c r="M51" i="4" s="1"/>
  <c r="M64" i="4" s="1"/>
  <c r="Z117" i="4"/>
  <c r="N135" i="4" s="1"/>
  <c r="P51" i="4" s="1"/>
  <c r="P64" i="4" s="1"/>
  <c r="N117" i="4"/>
  <c r="BM9" i="13" a="1"/>
  <c r="BM9" i="13" s="1"/>
  <c r="BQ9" i="13" s="1" a="1"/>
  <c r="BQ9" i="13" s="1"/>
  <c r="W117" i="4"/>
  <c r="K8" i="14"/>
  <c r="S8" i="14" s="1"/>
  <c r="S9" i="14"/>
  <c r="V11" i="16"/>
  <c r="W11" i="16" s="1"/>
  <c r="X11" i="16" s="1"/>
  <c r="G37" i="16" s="1"/>
  <c r="V22" i="11"/>
  <c r="AJ22" i="11" s="1"/>
  <c r="H54" i="11"/>
  <c r="L54" i="11" s="1"/>
  <c r="I54" i="11"/>
  <c r="E61" i="16"/>
  <c r="E51" i="16"/>
  <c r="E52" i="16" s="1"/>
  <c r="E53" i="16" s="1"/>
  <c r="C9" i="16"/>
  <c r="E8" i="16"/>
  <c r="I42" i="11"/>
  <c r="X118" i="4"/>
  <c r="AM118" i="4"/>
  <c r="AN118" i="4"/>
  <c r="AK118" i="4"/>
  <c r="U118" i="4"/>
  <c r="M136" i="4" s="1"/>
  <c r="O52" i="4" s="1"/>
  <c r="O65" i="4" s="1"/>
  <c r="AA118" i="4"/>
  <c r="P118" i="4"/>
  <c r="L136" i="4" s="1"/>
  <c r="N52" i="4" s="1"/>
  <c r="N65" i="4" s="1"/>
  <c r="AD118" i="4"/>
  <c r="AF118" i="4"/>
  <c r="AI118" i="4"/>
  <c r="AC118" i="4"/>
  <c r="V118" i="4"/>
  <c r="AJ118" i="4"/>
  <c r="P136" i="4" s="1"/>
  <c r="R52" i="4" s="1"/>
  <c r="R65" i="4" s="1"/>
  <c r="AO118" i="4"/>
  <c r="Q136" i="4" s="1"/>
  <c r="S52" i="4" s="1"/>
  <c r="S65" i="4" s="1"/>
  <c r="AB118" i="4"/>
  <c r="L118" i="4"/>
  <c r="AE118" i="4"/>
  <c r="O136" i="4" s="1"/>
  <c r="Q52" i="4" s="1"/>
  <c r="Q65" i="4" s="1"/>
  <c r="Q118" i="4"/>
  <c r="AH118" i="4"/>
  <c r="Z118" i="4"/>
  <c r="N136" i="4" s="1"/>
  <c r="P52" i="4" s="1"/>
  <c r="P65" i="4" s="1"/>
  <c r="AG118" i="4"/>
  <c r="O118" i="4"/>
  <c r="R118" i="4"/>
  <c r="J118" i="4"/>
  <c r="J136" i="4" s="1"/>
  <c r="L52" i="4" s="1"/>
  <c r="L65" i="4" s="1"/>
  <c r="Y118" i="4"/>
  <c r="K118" i="4"/>
  <c r="K136" i="4" s="1"/>
  <c r="M52" i="4" s="1"/>
  <c r="M65" i="4" s="1"/>
  <c r="L56" i="4"/>
  <c r="L62" i="4"/>
  <c r="E57" i="4"/>
  <c r="E58" i="4" s="1"/>
  <c r="E59" i="4" s="1"/>
  <c r="AT13" i="13"/>
  <c r="AQ43" i="13"/>
  <c r="AT10" i="13"/>
  <c r="Y9" i="13" a="1"/>
  <c r="Y9" i="13" s="1"/>
  <c r="BG9" i="13" a="1"/>
  <c r="BG14" i="13" s="1"/>
  <c r="DU22" i="13" a="1"/>
  <c r="AQ48" i="13"/>
  <c r="U166" i="11"/>
  <c r="Q166" i="11"/>
  <c r="O166" i="11"/>
  <c r="AE12" i="13"/>
  <c r="AI14" i="13" s="1"/>
  <c r="AE9" i="13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BR12" i="13" s="1"/>
  <c r="AO9" i="13"/>
  <c r="BR9" i="13" s="1"/>
  <c r="AO13" i="13"/>
  <c r="BR13" i="13" s="1"/>
  <c r="AO11" i="13"/>
  <c r="BR11" i="13" s="1"/>
  <c r="AO15" i="13"/>
  <c r="BR15" i="13" s="1"/>
  <c r="AO10" i="13"/>
  <c r="BR10" i="13" s="1"/>
  <c r="AO14" i="13"/>
  <c r="BR14" i="13" s="1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E9" i="13"/>
  <c r="AC19" i="11"/>
  <c r="AN26" i="13"/>
  <c r="AN10" i="13"/>
  <c r="AN13" i="13"/>
  <c r="AN28" i="13"/>
  <c r="AN27" i="13"/>
  <c r="AN2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AQ70" i="13"/>
  <c r="AQ53" i="13"/>
  <c r="AQ57" i="13"/>
  <c r="AQ61" i="13"/>
  <c r="AQ49" i="13"/>
  <c r="AQ65" i="13"/>
  <c r="J163" i="3"/>
  <c r="K163" i="3"/>
  <c r="V13" i="13"/>
  <c r="V10" i="13"/>
  <c r="V14" i="13"/>
  <c r="AO61" i="13"/>
  <c r="AO65" i="13"/>
  <c r="AO49" i="13"/>
  <c r="AO70" i="13"/>
  <c r="AO53" i="13"/>
  <c r="AO57" i="13"/>
  <c r="F133" i="3"/>
  <c r="E52" i="3"/>
  <c r="F13" i="3" s="1"/>
  <c r="K133" i="3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F78" i="12"/>
  <c r="BE78" i="12"/>
  <c r="BD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F82" i="12"/>
  <c r="BE82" i="12"/>
  <c r="BD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AV8" i="11" s="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BA8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0" i="13"/>
  <c r="R11" i="13" s="1"/>
  <c r="D14" i="13"/>
  <c r="R19" i="13" s="1"/>
  <c r="D9" i="13"/>
  <c r="R9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G81" i="11"/>
  <c r="L51" i="11"/>
  <c r="BI9" i="11"/>
  <c r="J21" i="4" a="1"/>
  <c r="J8" i="4" a="1"/>
  <c r="AD75" i="12"/>
  <c r="AE75" i="12" s="1"/>
  <c r="AC75" i="12"/>
  <c r="AF75" i="12"/>
  <c r="AB16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AN15" i="13" l="1"/>
  <c r="AN12" i="13"/>
  <c r="AN29" i="13"/>
  <c r="DE11" i="13"/>
  <c r="DA13" i="13" s="1"/>
  <c r="DE12" i="13"/>
  <c r="DE13" i="13"/>
  <c r="AN16" i="13"/>
  <c r="AN9" i="13"/>
  <c r="AN18" i="13"/>
  <c r="DE15" i="13"/>
  <c r="AN11" i="13"/>
  <c r="AN17" i="13"/>
  <c r="AN24" i="13"/>
  <c r="AN22" i="13"/>
  <c r="I37" i="16"/>
  <c r="J37" i="16" s="1"/>
  <c r="J38" i="16" s="1"/>
  <c r="G45" i="16"/>
  <c r="I45" i="16" s="1"/>
  <c r="J45" i="16" s="1"/>
  <c r="J46" i="16" s="1"/>
  <c r="J46" i="17"/>
  <c r="BH82" i="12"/>
  <c r="BI82" i="12"/>
  <c r="BJ82" i="12"/>
  <c r="BC78" i="12"/>
  <c r="BH78" i="12"/>
  <c r="BI78" i="12"/>
  <c r="BJ78" i="12"/>
  <c r="AB11" i="11"/>
  <c r="BG23" i="13"/>
  <c r="BG17" i="13"/>
  <c r="F75" i="17"/>
  <c r="E75" i="17" s="1"/>
  <c r="F74" i="17"/>
  <c r="J58" i="17"/>
  <c r="E93" i="17" s="1"/>
  <c r="J93" i="17" s="1"/>
  <c r="E82" i="17" s="1"/>
  <c r="F73" i="17"/>
  <c r="E73" i="17" s="1"/>
  <c r="E121" i="17" s="1"/>
  <c r="J38" i="17"/>
  <c r="C12" i="13"/>
  <c r="C11" i="13"/>
  <c r="C9" i="13"/>
  <c r="C14" i="13"/>
  <c r="C15" i="13"/>
  <c r="C10" i="13"/>
  <c r="C13" i="13"/>
  <c r="C12" i="17"/>
  <c r="E12" i="17" s="1"/>
  <c r="F108" i="17" s="1"/>
  <c r="C12" i="16"/>
  <c r="E12" i="9"/>
  <c r="E12" i="8"/>
  <c r="O65" i="7" s="1"/>
  <c r="E62" i="17"/>
  <c r="E9" i="17"/>
  <c r="C10" i="17"/>
  <c r="E10" i="17" s="1"/>
  <c r="E119" i="17"/>
  <c r="AB15" i="11"/>
  <c r="Y15" i="13"/>
  <c r="AW82" i="12"/>
  <c r="AX82" i="12"/>
  <c r="AY82" i="12"/>
  <c r="BG78" i="12"/>
  <c r="AW78" i="12"/>
  <c r="AX78" i="12"/>
  <c r="C14" i="17"/>
  <c r="E14" i="17" s="1"/>
  <c r="C14" i="16"/>
  <c r="V12" i="13"/>
  <c r="V15" i="13"/>
  <c r="BG16" i="13"/>
  <c r="BG10" i="13"/>
  <c r="E62" i="16"/>
  <c r="E9" i="16"/>
  <c r="C10" i="16"/>
  <c r="E10" i="16" s="1"/>
  <c r="AP16" i="13"/>
  <c r="AP64" i="13"/>
  <c r="AP48" i="13"/>
  <c r="AT34" i="13"/>
  <c r="AP60" i="13"/>
  <c r="AT33" i="13"/>
  <c r="AP56" i="13"/>
  <c r="AT23" i="13"/>
  <c r="AP69" i="13"/>
  <c r="AP52" i="13"/>
  <c r="AT17" i="13"/>
  <c r="AT14" i="13"/>
  <c r="AT20" i="13"/>
  <c r="E112" i="17"/>
  <c r="BG20" i="13"/>
  <c r="E86" i="16"/>
  <c r="E117" i="16"/>
  <c r="E85" i="16"/>
  <c r="E118" i="17"/>
  <c r="Z121" i="12" a="1"/>
  <c r="Z122" i="12" s="1"/>
  <c r="AB12" i="11"/>
  <c r="AH103" i="12"/>
  <c r="AW7" i="11"/>
  <c r="D12" i="13"/>
  <c r="R15" i="13" s="1"/>
  <c r="AP15" i="11"/>
  <c r="P17" i="3"/>
  <c r="P18" i="3" s="1"/>
  <c r="P19" i="3" s="1"/>
  <c r="P20" i="3" s="1"/>
  <c r="P24" i="3" s="1"/>
  <c r="C11" i="17"/>
  <c r="E11" i="17" s="1"/>
  <c r="F107" i="17" s="1"/>
  <c r="C11" i="16"/>
  <c r="Y12" i="13"/>
  <c r="AZ82" i="12"/>
  <c r="BA82" i="12"/>
  <c r="BB82" i="12"/>
  <c r="AZ78" i="12"/>
  <c r="BA78" i="12"/>
  <c r="V9" i="13"/>
  <c r="AN20" i="13"/>
  <c r="AN21" i="13"/>
  <c r="AN23" i="13"/>
  <c r="AN19" i="13"/>
  <c r="AB19" i="11"/>
  <c r="BG19" i="13"/>
  <c r="BG18" i="13"/>
  <c r="E15" i="16"/>
  <c r="F106" i="16"/>
  <c r="E13" i="16"/>
  <c r="F105" i="16"/>
  <c r="AA99" i="12"/>
  <c r="R156" i="12" s="1"/>
  <c r="BW10" i="13" s="1"/>
  <c r="BW9" i="13" s="1"/>
  <c r="Y11" i="13"/>
  <c r="BG9" i="13"/>
  <c r="BG12" i="13"/>
  <c r="BG21" i="13"/>
  <c r="BG22" i="13"/>
  <c r="DA9" i="13"/>
  <c r="DA26" i="13"/>
  <c r="Y14" i="13"/>
  <c r="Y13" i="13"/>
  <c r="DA15" i="13"/>
  <c r="DA29" i="13"/>
  <c r="DA17" i="13"/>
  <c r="DA30" i="13"/>
  <c r="DA19" i="13"/>
  <c r="DA31" i="13"/>
  <c r="Y10" i="13"/>
  <c r="BG15" i="13"/>
  <c r="BG11" i="13"/>
  <c r="BG13" i="13"/>
  <c r="DA21" i="13"/>
  <c r="DA32" i="13"/>
  <c r="DA11" i="13"/>
  <c r="DA27" i="13"/>
  <c r="AI9" i="13"/>
  <c r="AE26" i="13" a="1"/>
  <c r="AE26" i="13" s="1"/>
  <c r="P128" i="3"/>
  <c r="Q128" i="3" s="1"/>
  <c r="J128" i="3"/>
  <c r="BF109" i="12"/>
  <c r="BT109" i="12"/>
  <c r="AZ110" i="12"/>
  <c r="BN110" i="12"/>
  <c r="BG109" i="12"/>
  <c r="BU109" i="12"/>
  <c r="I109" i="3"/>
  <c r="H109" i="3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X107" i="12"/>
  <c r="BJ107" i="12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Q97" i="8" s="1"/>
  <c r="P84" i="8"/>
  <c r="Q98" i="8" s="1"/>
  <c r="BU19" i="13"/>
  <c r="BU11" i="13"/>
  <c r="BU17" i="13"/>
  <c r="BU15" i="13"/>
  <c r="BU13" i="13"/>
  <c r="BU9" i="13"/>
  <c r="BU21" i="13"/>
  <c r="AK9" i="13"/>
  <c r="X99" i="12"/>
  <c r="P99" i="12"/>
  <c r="BO99" i="12" s="1"/>
  <c r="W99" i="12"/>
  <c r="Z99" i="12"/>
  <c r="Y99" i="12"/>
  <c r="BE99" i="12"/>
  <c r="BL99" i="12"/>
  <c r="AX109" i="12"/>
  <c r="BL109" i="12"/>
  <c r="AY109" i="12"/>
  <c r="BM109" i="12"/>
  <c r="BH110" i="12"/>
  <c r="BV110" i="12"/>
  <c r="BR109" i="12"/>
  <c r="BD109" i="12"/>
  <c r="AW110" i="12"/>
  <c r="BK110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AA104" i="12"/>
  <c r="R161" i="12" s="1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O23" i="13" a="1"/>
  <c r="AA100" i="12"/>
  <c r="R157" i="12" s="1"/>
  <c r="BD106" i="12"/>
  <c r="BR106" i="12"/>
  <c r="BK106" i="12"/>
  <c r="AW106" i="12"/>
  <c r="O37" i="13" a="1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6" i="12"/>
  <c r="Z121" i="12"/>
  <c r="O9" i="13" a="1"/>
  <c r="BK99" i="12"/>
  <c r="BT110" i="12"/>
  <c r="BF110" i="12"/>
  <c r="X110" i="12"/>
  <c r="W110" i="12"/>
  <c r="Z110" i="12"/>
  <c r="Y110" i="12"/>
  <c r="BO109" i="12"/>
  <c r="BA109" i="12"/>
  <c r="BE110" i="12"/>
  <c r="BS110" i="12"/>
  <c r="BH99" i="12"/>
  <c r="BV99" i="12"/>
  <c r="F9" i="13" a="1"/>
  <c r="AD99" i="12"/>
  <c r="AC103" i="12"/>
  <c r="BJ109" i="12"/>
  <c r="BX109" i="12"/>
  <c r="AK16" i="13"/>
  <c r="AK17" i="13" s="1"/>
  <c r="Y103" i="12"/>
  <c r="X103" i="12"/>
  <c r="P103" i="12"/>
  <c r="BI103" i="12" s="1"/>
  <c r="W103" i="12"/>
  <c r="Z103" i="12"/>
  <c r="BA110" i="12"/>
  <c r="BO110" i="12"/>
  <c r="W109" i="12"/>
  <c r="Z109" i="12"/>
  <c r="Y109" i="12"/>
  <c r="X109" i="12"/>
  <c r="AF110" i="12"/>
  <c r="AG110" i="12" s="1"/>
  <c r="AD110" i="12"/>
  <c r="AE110" i="12" s="1"/>
  <c r="BU110" i="12"/>
  <c r="BG110" i="12"/>
  <c r="AB23" i="11"/>
  <c r="E45" i="3"/>
  <c r="F6" i="3" s="1"/>
  <c r="K111" i="3"/>
  <c r="F111" i="3"/>
  <c r="BM111" i="12"/>
  <c r="AY111" i="12"/>
  <c r="BD112" i="12"/>
  <c r="BR112" i="12"/>
  <c r="BV111" i="12"/>
  <c r="BH111" i="12"/>
  <c r="I44" i="11"/>
  <c r="BE108" i="12"/>
  <c r="BS108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AG91" i="12"/>
  <c r="AG92" i="12"/>
  <c r="AH92" i="12"/>
  <c r="I118" i="3"/>
  <c r="H118" i="3"/>
  <c r="J118" i="3" s="1"/>
  <c r="J17" i="4"/>
  <c r="I51" i="4" s="1"/>
  <c r="J51" i="4" s="1"/>
  <c r="J13" i="4"/>
  <c r="I47" i="4" s="1"/>
  <c r="J47" i="4" s="1"/>
  <c r="J9" i="4"/>
  <c r="I43" i="4" s="1"/>
  <c r="J43" i="4" s="1"/>
  <c r="J16" i="4"/>
  <c r="I50" i="4" s="1"/>
  <c r="J50" i="4" s="1"/>
  <c r="J11" i="4"/>
  <c r="I45" i="4" s="1"/>
  <c r="J45" i="4" s="1"/>
  <c r="J12" i="4"/>
  <c r="I46" i="4" s="1"/>
  <c r="J46" i="4" s="1"/>
  <c r="J15" i="4"/>
  <c r="I49" i="4" s="1"/>
  <c r="J49" i="4" s="1"/>
  <c r="J10" i="4"/>
  <c r="I44" i="4" s="1"/>
  <c r="J44" i="4" s="1"/>
  <c r="J18" i="4"/>
  <c r="I52" i="4" s="1"/>
  <c r="J52" i="4" s="1"/>
  <c r="J14" i="4"/>
  <c r="I48" i="4" s="1"/>
  <c r="J48" i="4" s="1"/>
  <c r="J8" i="4"/>
  <c r="I42" i="4" s="1"/>
  <c r="J42" i="4" s="1"/>
  <c r="BG99" i="12"/>
  <c r="BU99" i="12"/>
  <c r="AE99" i="12"/>
  <c r="AC99" i="12"/>
  <c r="AZ99" i="12"/>
  <c r="BN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F16" i="3"/>
  <c r="D61" i="3"/>
  <c r="F57" i="3" s="1"/>
  <c r="O32" i="9"/>
  <c r="R34" i="9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Q102" i="12"/>
  <c r="BV102" i="12"/>
  <c r="BA107" i="12"/>
  <c r="BO107" i="12"/>
  <c r="BF108" i="12"/>
  <c r="BT108" i="12"/>
  <c r="O51" i="13" a="1"/>
  <c r="BP107" i="12"/>
  <c r="BB107" i="12"/>
  <c r="BU108" i="12"/>
  <c r="BG108" i="12"/>
  <c r="BP102" i="12"/>
  <c r="BU107" i="12"/>
  <c r="BG107" i="12"/>
  <c r="AP9" i="11"/>
  <c r="AV7" i="11"/>
  <c r="AE22" i="11"/>
  <c r="AO30" i="11" s="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BH106" i="12"/>
  <c r="BV106" i="12"/>
  <c r="BQ100" i="12"/>
  <c r="BO106" i="12"/>
  <c r="BA106" i="12"/>
  <c r="BT106" i="12"/>
  <c r="BF106" i="12"/>
  <c r="AB17" i="11"/>
  <c r="AG67" i="12"/>
  <c r="I116" i="3"/>
  <c r="AP7" i="11"/>
  <c r="AV6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5" i="4" s="1"/>
  <c r="K65" i="4" s="1"/>
  <c r="J27" i="4"/>
  <c r="I61" i="4" s="1"/>
  <c r="K61" i="4" s="1"/>
  <c r="K77" i="4" s="1"/>
  <c r="J23" i="4"/>
  <c r="I57" i="4" s="1"/>
  <c r="K57" i="4" s="1"/>
  <c r="J29" i="4"/>
  <c r="I63" i="4" s="1"/>
  <c r="K63" i="4" s="1"/>
  <c r="J24" i="4"/>
  <c r="I58" i="4" s="1"/>
  <c r="K58" i="4" s="1"/>
  <c r="J28" i="4"/>
  <c r="I62" i="4" s="1"/>
  <c r="K62" i="4" s="1"/>
  <c r="J22" i="4"/>
  <c r="I56" i="4" s="1"/>
  <c r="K56" i="4" s="1"/>
  <c r="J30" i="4"/>
  <c r="I64" i="4" s="1"/>
  <c r="K64" i="4" s="1"/>
  <c r="J21" i="4"/>
  <c r="I55" i="4" s="1"/>
  <c r="K55" i="4" s="1"/>
  <c r="J26" i="4"/>
  <c r="I60" i="4" s="1"/>
  <c r="K60" i="4" s="1"/>
  <c r="K76" i="4" s="1"/>
  <c r="J25" i="4"/>
  <c r="I59" i="4" s="1"/>
  <c r="K59" i="4" s="1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BH104" i="12" s="1"/>
  <c r="W104" i="12"/>
  <c r="Z111" i="12"/>
  <c r="Y111" i="12"/>
  <c r="X111" i="12"/>
  <c r="W111" i="12"/>
  <c r="AC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T107" i="12"/>
  <c r="BF107" i="12"/>
  <c r="N159" i="12"/>
  <c r="P159" i="12" s="1"/>
  <c r="AA102" i="12"/>
  <c r="R159" i="12" s="1"/>
  <c r="BW16" i="13" s="1"/>
  <c r="BW15" i="13" s="1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I134" i="3"/>
  <c r="H134" i="3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DA28" i="13" l="1"/>
  <c r="AD101" i="12"/>
  <c r="AE101" i="12" s="1"/>
  <c r="F103" i="16"/>
  <c r="E11" i="16"/>
  <c r="E14" i="16"/>
  <c r="F76" i="16" s="1"/>
  <c r="E89" i="16" s="1"/>
  <c r="F107" i="16"/>
  <c r="C7" i="17"/>
  <c r="E7" i="17" s="1"/>
  <c r="C7" i="16"/>
  <c r="Z124" i="12"/>
  <c r="Z123" i="12"/>
  <c r="AX104" i="12"/>
  <c r="BR99" i="12"/>
  <c r="BI7" i="11"/>
  <c r="B78" i="4"/>
  <c r="D79" i="4" s="1"/>
  <c r="T7" i="3"/>
  <c r="T11" i="3" s="1"/>
  <c r="BI99" i="12"/>
  <c r="AY104" i="12"/>
  <c r="AF99" i="12"/>
  <c r="BN103" i="12"/>
  <c r="AW99" i="12"/>
  <c r="Z125" i="12"/>
  <c r="Z127" i="12"/>
  <c r="BT104" i="12"/>
  <c r="BX99" i="12"/>
  <c r="H105" i="16"/>
  <c r="E202" i="16" s="1"/>
  <c r="E114" i="16"/>
  <c r="E117" i="17"/>
  <c r="E115" i="16"/>
  <c r="AT11" i="13"/>
  <c r="BC9" i="13" s="1" a="1"/>
  <c r="AP43" i="13"/>
  <c r="F72" i="17"/>
  <c r="E72" i="17" s="1"/>
  <c r="E87" i="17"/>
  <c r="BL104" i="12"/>
  <c r="BN101" i="12"/>
  <c r="F106" i="17"/>
  <c r="E116" i="17"/>
  <c r="F111" i="17"/>
  <c r="F76" i="17"/>
  <c r="E86" i="17" s="1"/>
  <c r="E12" i="16"/>
  <c r="F104" i="16"/>
  <c r="E74" i="17"/>
  <c r="B73" i="4"/>
  <c r="D74" i="4" s="1"/>
  <c r="P7" i="3"/>
  <c r="P11" i="3" s="1"/>
  <c r="BB101" i="12"/>
  <c r="AZ104" i="12"/>
  <c r="BD99" i="12"/>
  <c r="AD100" i="12"/>
  <c r="AE100" i="12" s="1"/>
  <c r="E57" i="3"/>
  <c r="BW99" i="12"/>
  <c r="BC29" i="13" a="1"/>
  <c r="P42" i="9"/>
  <c r="BS101" i="12"/>
  <c r="AX101" i="12"/>
  <c r="BT102" i="12"/>
  <c r="AY102" i="12"/>
  <c r="BN104" i="12"/>
  <c r="BO104" i="12"/>
  <c r="BO101" i="12"/>
  <c r="AW102" i="12"/>
  <c r="BH102" i="12"/>
  <c r="BC102" i="12"/>
  <c r="BE100" i="12"/>
  <c r="BW104" i="12"/>
  <c r="AD103" i="12"/>
  <c r="AE103" i="12" s="1"/>
  <c r="AW101" i="12"/>
  <c r="BF100" i="12"/>
  <c r="BW102" i="12"/>
  <c r="BM103" i="12"/>
  <c r="BH103" i="12"/>
  <c r="BE102" i="12"/>
  <c r="BU100" i="12"/>
  <c r="BA102" i="12"/>
  <c r="BK102" i="12"/>
  <c r="BU102" i="12"/>
  <c r="BU104" i="12"/>
  <c r="AZ102" i="12"/>
  <c r="BR101" i="12"/>
  <c r="BE104" i="12"/>
  <c r="BQ99" i="12"/>
  <c r="AD102" i="12"/>
  <c r="AE102" i="12" s="1"/>
  <c r="BG101" i="12"/>
  <c r="BO102" i="12"/>
  <c r="BC101" i="12"/>
  <c r="BB102" i="12"/>
  <c r="BG102" i="12"/>
  <c r="AD104" i="12"/>
  <c r="AE104" i="12" s="1"/>
  <c r="BW101" i="12"/>
  <c r="BJ102" i="12"/>
  <c r="BR100" i="12"/>
  <c r="AF26" i="13" a="1"/>
  <c r="AF26" i="13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BG100" i="12"/>
  <c r="BL100" i="12"/>
  <c r="J134" i="3"/>
  <c r="P134" i="3"/>
  <c r="W14" i="13"/>
  <c r="W30" i="13" s="1"/>
  <c r="BH100" i="12"/>
  <c r="BH101" i="12"/>
  <c r="BH117" i="12" s="1"/>
  <c r="BH118" i="12" s="1"/>
  <c r="BX100" i="12"/>
  <c r="BW14" i="13"/>
  <c r="BW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00" i="12"/>
  <c r="BV101" i="12"/>
  <c r="BJ100" i="12"/>
  <c r="BT101" i="12"/>
  <c r="BO100" i="12"/>
  <c r="BJ104" i="12"/>
  <c r="AW104" i="12"/>
  <c r="BN100" i="12"/>
  <c r="BB100" i="12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P117" i="12" s="1"/>
  <c r="BP118" i="12" s="1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U101" i="12"/>
  <c r="BL101" i="12"/>
  <c r="BP101" i="12"/>
  <c r="BA104" i="12"/>
  <c r="BA101" i="12"/>
  <c r="BC100" i="12"/>
  <c r="BQ101" i="12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D32" i="3"/>
  <c r="G29" i="3" s="1"/>
  <c r="D22" i="3"/>
  <c r="F18" i="3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BD100" i="12"/>
  <c r="BD101" i="12"/>
  <c r="BT100" i="12"/>
  <c r="AW100" i="12"/>
  <c r="AF101" i="12"/>
  <c r="AG101" i="12" s="1"/>
  <c r="BI102" i="12"/>
  <c r="BQ104" i="12"/>
  <c r="BS104" i="12"/>
  <c r="BI11" i="11"/>
  <c r="BI15" i="11" s="1"/>
  <c r="BI16" i="11" s="1"/>
  <c r="AY103" i="12"/>
  <c r="BW103" i="12"/>
  <c r="BV103" i="12"/>
  <c r="AX99" i="12"/>
  <c r="AX117" i="12" s="1"/>
  <c r="AX118" i="12" s="1"/>
  <c r="BC99" i="12"/>
  <c r="H116" i="3"/>
  <c r="BI100" i="12"/>
  <c r="BR104" i="12"/>
  <c r="BL103" i="12"/>
  <c r="BJ99" i="12"/>
  <c r="J109" i="3"/>
  <c r="E101" i="3"/>
  <c r="P44" i="9"/>
  <c r="BL117" i="12" l="1"/>
  <c r="BL118" i="12" s="1"/>
  <c r="F17" i="3"/>
  <c r="E73" i="5"/>
  <c r="BC34" i="13"/>
  <c r="BC29" i="13"/>
  <c r="BC32" i="13"/>
  <c r="BC30" i="13"/>
  <c r="BC31" i="13"/>
  <c r="BC33" i="13"/>
  <c r="E184" i="17"/>
  <c r="E185" i="17"/>
  <c r="E124" i="17"/>
  <c r="H109" i="17"/>
  <c r="E207" i="17" s="1"/>
  <c r="H110" i="17"/>
  <c r="E209" i="17" s="1"/>
  <c r="H112" i="17"/>
  <c r="E210" i="17" s="1"/>
  <c r="E186" i="17"/>
  <c r="H108" i="17"/>
  <c r="E206" i="17" s="1"/>
  <c r="E7" i="16"/>
  <c r="F74" i="16"/>
  <c r="E87" i="16" s="1"/>
  <c r="E120" i="17"/>
  <c r="H111" i="17"/>
  <c r="E208" i="17" s="1"/>
  <c r="E181" i="17"/>
  <c r="BC15" i="13"/>
  <c r="BC14" i="13"/>
  <c r="BC20" i="13"/>
  <c r="BC9" i="13"/>
  <c r="BC18" i="13"/>
  <c r="BC16" i="13"/>
  <c r="BC11" i="13"/>
  <c r="BC10" i="13"/>
  <c r="BC12" i="13"/>
  <c r="BC23" i="13"/>
  <c r="BC22" i="13"/>
  <c r="BC21" i="13"/>
  <c r="BC17" i="13"/>
  <c r="BC19" i="13"/>
  <c r="BC13" i="13"/>
  <c r="BK117" i="12"/>
  <c r="BK118" i="12" s="1"/>
  <c r="BI117" i="12"/>
  <c r="BI118" i="12" s="1"/>
  <c r="AW117" i="12"/>
  <c r="AW118" i="12" s="1"/>
  <c r="BE117" i="12"/>
  <c r="BE118" i="12" s="1"/>
  <c r="F29" i="3"/>
  <c r="BB117" i="12"/>
  <c r="BB118" i="12" s="1"/>
  <c r="BO117" i="12"/>
  <c r="BO118" i="12" s="1"/>
  <c r="BV117" i="12"/>
  <c r="BV118" i="12" s="1"/>
  <c r="E113" i="16"/>
  <c r="H104" i="16"/>
  <c r="E201" i="16" s="1"/>
  <c r="H107" i="17"/>
  <c r="E182" i="17"/>
  <c r="H106" i="16"/>
  <c r="E204" i="16" s="1"/>
  <c r="E116" i="16"/>
  <c r="H107" i="16"/>
  <c r="E203" i="16" s="1"/>
  <c r="E112" i="16"/>
  <c r="H103" i="16"/>
  <c r="F102" i="16"/>
  <c r="E119" i="16" s="1"/>
  <c r="H108" i="16"/>
  <c r="E205" i="16" s="1"/>
  <c r="P41" i="8"/>
  <c r="R99" i="8" s="1"/>
  <c r="P42" i="8"/>
  <c r="P43" i="8"/>
  <c r="BX117" i="12"/>
  <c r="BX118" i="12" s="1"/>
  <c r="BW117" i="12"/>
  <c r="BW118" i="12" s="1"/>
  <c r="BU117" i="12"/>
  <c r="BU118" i="12" s="1"/>
  <c r="BN117" i="12"/>
  <c r="BN118" i="12" s="1"/>
  <c r="BT117" i="12"/>
  <c r="BT118" i="12" s="1"/>
  <c r="BJ117" i="12"/>
  <c r="BJ118" i="12" s="1"/>
  <c r="AZ117" i="12"/>
  <c r="AZ118" i="12" s="1"/>
  <c r="BR117" i="12"/>
  <c r="BR118" i="12" s="1"/>
  <c r="BD117" i="12"/>
  <c r="BD118" i="12" s="1"/>
  <c r="BQ117" i="12"/>
  <c r="BQ118" i="12" s="1"/>
  <c r="BG117" i="12"/>
  <c r="BG118" i="12" s="1"/>
  <c r="N101" i="3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E205" i="17" l="1"/>
  <c r="G211" i="17" s="1"/>
  <c r="H106" i="17"/>
  <c r="F216" i="16"/>
  <c r="F215" i="16"/>
  <c r="G222" i="17"/>
  <c r="F221" i="17"/>
  <c r="F220" i="17"/>
  <c r="E200" i="16"/>
  <c r="H109" i="16"/>
  <c r="E178" i="16"/>
  <c r="E176" i="16"/>
  <c r="G217" i="16" s="1"/>
  <c r="E90" i="16"/>
  <c r="H90" i="16" s="1"/>
  <c r="E179" i="16"/>
  <c r="E177" i="16"/>
  <c r="E180" i="16"/>
  <c r="P152" i="8"/>
  <c r="T89" i="5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  <c r="I38" i="16" l="1"/>
  <c r="J39" i="16" l="1"/>
  <c r="G38" i="16"/>
  <c r="E183" i="17"/>
  <c r="E106" i="17" l="1"/>
  <c r="I110" i="17" s="1"/>
  <c r="I106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CARMEN</author>
    <author/>
  </authors>
  <commentList>
    <comment ref="O2" authorId="0" shapeId="0" xr:uid="{E4D1DC22-F850-42F5-903B-C2AEA687BA76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S2" authorId="0" shapeId="0" xr:uid="{BA6B8352-E315-4C44-B7D4-414FB9BD37D2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D7" authorId="1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1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1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1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1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1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1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1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1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CARMEN</author>
    <author>Maurizio Gargiulo</author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C69" authorId="1" shapeId="0" xr:uid="{80C4FDE1-D1E5-4B47-8924-E4435B446CC5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T73" authorId="2" shapeId="0" xr:uid="{7830527D-2EE2-4C9E-B587-2790AE9057A3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U73" authorId="2" shapeId="0" xr:uid="{2E849F0D-A4BB-44F6-B35F-B124CB991872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C6DB6A6F-13AE-4557-AFA8-5D4337F1EA49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C8A8DB0A-666E-4924-823C-CF2C41AB2A34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D366CEC2-F639-46D1-B273-5ADB0F011655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272113DE-18CF-49B7-A641-949E26949ADF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25EA568-8EE7-406F-886A-63974743C0FA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F1741713-CC9D-46B0-AF1D-5C2176AB9401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36CF281-42E2-4907-85D5-A30E807B83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7284BD26-A7AD-4273-BCBC-1BF43F18B492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537980A4-3057-49BF-926C-A474E2207B42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AE50AA20-EB5E-4086-B20A-34D7F531E976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8B2009B6-028F-4525-88A0-80D5F57700A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6" authorId="0" shapeId="0" xr:uid="{00728DE0-2353-450D-ABDA-98B64BCAA278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39" authorId="0" shapeId="0" xr:uid="{1DC191D4-8CF3-4FFE-B747-A034ADFBDDAF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10FCFB43-5CFA-4F62-9493-73989C117AE1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2A9BFA11-6B2E-4AA6-AA82-6318B9676771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49A8F7CA-3FA4-4A17-A92B-66498C74B42B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D319B9A9-9CC6-4B7F-A74B-8D271BD6A16E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F6A3704-E36A-4474-B827-F9493A96955D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29AB996E-B39A-4EC4-AAE4-D2F0BFE972CC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4BB3DDD-66D8-4415-8EEF-FCBB4006E7C9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25AB1A2F-E8DB-4D75-926B-4328C7171E9D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3A30EECA-A5EE-48FC-ABD7-2428E46AFF7A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ED4743D4-8A26-4D37-9E91-7A2F498BD6C7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65BE9180-F781-46ED-AD20-6A71D8D2DBD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7" authorId="0" shapeId="0" xr:uid="{3C74B337-5A33-4E99-A898-DD43EC870A4E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44" authorId="0" shapeId="0" xr:uid="{E4822125-E723-4878-A2F1-87C5DAA9F05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0,00264 PJ/PJ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<sst xmlns="http://schemas.openxmlformats.org/spreadsheetml/2006/main" count="5690" uniqueCount="1714">
  <si>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</si>
  <si>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</si>
  <si>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</si>
  <si>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</si>
  <si>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</si>
  <si>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</si>
  <si>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</si>
  <si>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</si>
  <si>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</si>
  <si>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</si>
  <si>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</si>
  <si>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</si>
  <si>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</si>
  <si>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</si>
  <si>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</si>
  <si>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</si>
  <si>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</si>
  <si>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</si>
  <si>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</si>
  <si>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</si>
  <si>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</si>
  <si>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</si>
  <si>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</si>
  <si>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</si>
  <si>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</si>
  <si>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</si>
  <si>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</si>
  <si>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</si>
  <si>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</si>
  <si>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</si>
  <si>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</si>
  <si>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</si>
  <si>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</si>
  <si>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</si>
  <si>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</si>
  <si>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</si>
  <si>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</si>
  <si>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</si>
  <si>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</si>
  <si>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</si>
  <si>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</si>
  <si>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</si>
  <si>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</si>
  <si>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</si>
  <si>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</si>
  <si>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</si>
  <si>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</si>
  <si>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</si>
  <si>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</si>
  <si>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</si>
  <si>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</si>
  <si>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</si>
  <si>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</si>
  <si>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</si>
  <si>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</si>
  <si>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</si>
  <si>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</si>
  <si>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</si>
  <si>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</si>
  <si>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</si>
  <si>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</si>
  <si>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</si>
  <si>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</si>
  <si>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</si>
  <si>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</si>
  <si>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</si>
  <si>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</si>
  <si>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</si>
  <si>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</si>
  <si>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</si>
  <si>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</si>
  <si>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</si>
  <si>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</si>
  <si>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</si>
  <si>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</si>
  <si>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</si>
  <si>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</si>
  <si>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</si>
  <si>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</si>
  <si>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</si>
  <si>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</si>
  <si>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</si>
  <si>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</si>
  <si>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</si>
  <si>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</si>
  <si>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</si>
  <si>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</si>
  <si>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</si>
  <si>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</si>
  <si>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</si>
  <si>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</si>
  <si>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</si>
  <si>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</si>
  <si>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</si>
  <si>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</si>
  <si>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</si>
  <si>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</si>
  <si>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</si>
  <si>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</si>
  <si>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</si>
  <si>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</si>
  <si>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</si>
  <si>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</si>
  <si>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</si>
  <si>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</si>
  <si>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</si>
  <si>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</si>
  <si>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</si>
  <si>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</si>
  <si>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</si>
  <si>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</si>
  <si>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</si>
  <si>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</si>
  <si>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</si>
  <si>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</si>
  <si>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</si>
  <si>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</si>
  <si>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</si>
  <si>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</si>
  <si>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</si>
  <si>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</si>
  <si>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</si>
  <si>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</si>
  <si>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</si>
  <si>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</si>
  <si>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</si>
  <si>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</si>
  <si>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</si>
  <si>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</si>
  <si>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</si>
  <si>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</si>
  <si>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</si>
  <si>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</si>
  <si>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</si>
  <si>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</si>
  <si>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</si>
  <si>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</si>
  <si>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</si>
  <si>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</si>
  <si>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</si>
  <si>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</si>
  <si>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</si>
  <si>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</si>
  <si>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</si>
  <si>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</si>
  <si>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</si>
  <si>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</si>
  <si>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</si>
  <si>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</si>
  <si>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</si>
  <si>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</si>
  <si>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</si>
  <si>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</si>
  <si>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</si>
  <si>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</si>
  <si>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</si>
  <si>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</si>
  <si>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</si>
  <si>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</si>
  <si>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</si>
  <si>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</si>
  <si>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</si>
  <si>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</si>
  <si>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</si>
  <si>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</si>
  <si>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</si>
  <si>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</si>
  <si>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</si>
  <si>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</si>
  <si>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</si>
  <si>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</si>
  <si>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</si>
  <si>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</si>
  <si>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</si>
  <si>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</si>
  <si>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</si>
  <si>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</si>
  <si>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</si>
  <si>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</si>
  <si>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</si>
  <si>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</si>
  <si>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</si>
  <si>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</si>
  <si>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</si>
  <si>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</si>
  <si>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</si>
  <si>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</si>
  <si>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</si>
  <si>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</si>
  <si>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</si>
  <si>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</si>
  <si>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</si>
  <si>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</si>
  <si>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</si>
  <si>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</si>
  <si>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</si>
  <si>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</si>
  <si>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</si>
  <si>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</si>
  <si>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</si>
  <si>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</si>
  <si>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</si>
  <si>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</si>
  <si>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</si>
  <si>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</si>
  <si>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</si>
  <si>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</si>
  <si>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</si>
  <si>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</si>
  <si>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</si>
  <si>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</si>
  <si>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</si>
  <si>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</si>
  <si>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</si>
  <si>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</si>
  <si>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</si>
  <si>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</si>
  <si>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</si>
  <si>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</si>
  <si>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</si>
  <si>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</si>
  <si>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</si>
  <si>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</si>
  <si>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</si>
  <si>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</si>
  <si>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</si>
  <si>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</si>
  <si>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</si>
  <si>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</si>
  <si>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</si>
  <si>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</si>
  <si>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</si>
  <si>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</si>
  <si>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</si>
  <si>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</si>
  <si>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</si>
  <si>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</si>
  <si>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</si>
  <si>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</si>
  <si>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</si>
  <si>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</si>
  <si>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</si>
  <si>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</si>
  <si>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</si>
  <si>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</si>
  <si>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</si>
  <si>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</si>
  <si>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</si>
  <si>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</si>
  <si>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</si>
  <si>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</si>
  <si>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</si>
  <si>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</si>
  <si>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</si>
  <si>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</si>
  <si>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</si>
  <si>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</si>
  <si>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</si>
  <si>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</si>
  <si>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</si>
  <si>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</si>
  <si>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</si>
  <si>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</si>
  <si>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</si>
  <si>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</si>
  <si>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</si>
  <si>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</si>
  <si>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</si>
  <si>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</si>
  <si>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</si>
  <si>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</si>
  <si>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</si>
  <si>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</si>
  <si>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</si>
  <si>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</si>
  <si>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</si>
  <si>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</si>
  <si>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</si>
  <si>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</si>
  <si>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</si>
  <si>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</si>
  <si>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</si>
  <si>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</si>
  <si>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</si>
  <si>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</si>
  <si>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</si>
  <si>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</si>
  <si>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</si>
  <si>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</si>
  <si>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</si>
  <si>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</si>
  <si>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</si>
  <si>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</si>
  <si>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</si>
  <si>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</si>
  <si>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</si>
  <si>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</si>
  <si>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</si>
  <si>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</si>
  <si>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</si>
  <si>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</si>
  <si>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</si>
  <si>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</si>
  <si>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</si>
  <si>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</si>
  <si>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</si>
  <si>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</si>
  <si>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</si>
  <si>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</si>
  <si>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</si>
  <si>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</si>
  <si>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</si>
  <si>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</si>
  <si>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</si>
  <si>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</si>
  <si>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</si>
  <si>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</si>
  <si>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</si>
  <si>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</si>
  <si>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</si>
  <si>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</si>
  <si>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</si>
  <si>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</si>
  <si>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</si>
  <si>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</si>
  <si>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</si>
  <si>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</si>
  <si>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</si>
  <si>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</si>
  <si>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</si>
  <si>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</si>
  <si>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</si>
  <si>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</si>
  <si>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</si>
  <si>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</si>
  <si>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</si>
  <si>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</si>
  <si>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</si>
  <si>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</si>
  <si>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</si>
  <si>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</si>
  <si>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</si>
  <si>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</si>
  <si>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</si>
  <si>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</si>
  <si>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</si>
  <si>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</si>
  <si>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</si>
  <si>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</si>
  <si>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</si>
  <si>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</si>
  <si>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</si>
  <si>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</si>
  <si>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</si>
  <si>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</si>
  <si>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</si>
  <si>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</si>
  <si>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</si>
  <si>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</si>
  <si>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</si>
  <si>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</si>
  <si>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</si>
  <si>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</si>
  <si>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</si>
  <si>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</si>
  <si>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</si>
  <si>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</si>
  <si>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</si>
  <si>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</si>
  <si>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</si>
  <si>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</si>
  <si>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</si>
  <si>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</si>
  <si>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</si>
  <si>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</si>
  <si>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</si>
  <si>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</si>
  <si>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</si>
  <si>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</si>
  <si>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</si>
  <si>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</si>
  <si>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</si>
  <si>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</si>
  <si>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</si>
  <si>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</si>
  <si>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</si>
  <si>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</si>
  <si>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</si>
  <si>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</si>
  <si>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</si>
  <si>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</si>
  <si>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</si>
  <si>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</si>
  <si>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</si>
  <si>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</si>
  <si>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</si>
  <si>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</si>
  <si>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</si>
  <si>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</si>
  <si>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</si>
  <si>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</si>
  <si>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</si>
  <si>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</si>
  <si>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</si>
  <si>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</si>
  <si>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</si>
  <si>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</si>
  <si>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</si>
  <si>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</si>
  <si>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</si>
  <si>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</si>
  <si>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</si>
  <si>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</si>
  <si>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</si>
  <si>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</si>
  <si>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</si>
  <si>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</si>
  <si>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</si>
  <si>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</si>
  <si>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</si>
  <si>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</si>
  <si>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</si>
  <si>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</si>
  <si>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</si>
  <si>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</si>
  <si>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</si>
  <si>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</si>
  <si>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</si>
  <si>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</si>
  <si>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</si>
  <si>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</si>
  <si>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</si>
  <si>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</si>
  <si>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</si>
  <si>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</si>
  <si>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</si>
  <si>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</si>
  <si>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</si>
  <si>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</si>
  <si>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</si>
  <si>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</si>
  <si>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</si>
  <si>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</si>
  <si>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</si>
  <si>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</si>
  <si>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</si>
  <si>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</si>
  <si>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</si>
  <si>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</si>
  <si>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</si>
  <si>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</si>
  <si>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</si>
  <si>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</si>
  <si>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</si>
  <si>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</si>
  <si>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</si>
  <si>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</si>
  <si>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</si>
  <si>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</si>
  <si>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</si>
  <si>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</si>
  <si>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</si>
  <si>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</si>
  <si>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</si>
  <si>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</si>
  <si>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</si>
  <si>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</si>
  <si>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</si>
  <si>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</si>
  <si>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</si>
  <si>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</si>
  <si>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</si>
  <si>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</si>
  <si>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</si>
  <si>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</si>
  <si>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</si>
  <si>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</si>
  <si>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</si>
  <si>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</si>
  <si>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</si>
  <si>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</si>
  <si>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</si>
  <si>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</si>
  <si>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</si>
  <si>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</si>
  <si>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</si>
  <si>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</si>
  <si>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</si>
  <si>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</si>
  <si>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</si>
  <si>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</si>
  <si>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</si>
  <si>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</si>
  <si>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</si>
  <si>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</si>
  <si>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</si>
  <si>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</si>
  <si>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</si>
  <si>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</si>
  <si>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</si>
  <si>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</si>
  <si>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</si>
  <si>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</si>
  <si>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</si>
  <si>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</si>
  <si>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</si>
  <si>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</si>
  <si>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</si>
  <si>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</si>
  <si>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</si>
  <si>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</si>
  <si>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</si>
  <si>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</si>
  <si>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</si>
  <si>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</si>
  <si>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</si>
  <si>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</si>
  <si>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</si>
  <si>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</si>
  <si>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</si>
  <si>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</si>
  <si>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</si>
  <si>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</si>
  <si>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</si>
  <si>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</si>
  <si>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</si>
  <si>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</si>
  <si>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</si>
  <si>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</si>
  <si>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</si>
  <si>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</si>
  <si>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</si>
  <si>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</si>
  <si>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</si>
  <si>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</si>
  <si>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</si>
  <si>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</si>
  <si>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</si>
  <si>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</si>
  <si>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</si>
  <si>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</si>
  <si>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</si>
  <si>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</si>
  <si>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</si>
  <si>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</si>
  <si>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</si>
  <si>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</si>
  <si>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</si>
  <si>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</si>
  <si>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</si>
  <si>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</si>
  <si>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</si>
  <si>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</si>
  <si>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</si>
  <si>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</si>
  <si>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</si>
  <si>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</si>
  <si>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</si>
  <si>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</si>
  <si>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</si>
  <si>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</si>
  <si>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</si>
  <si>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</si>
  <si>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</si>
  <si>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</si>
  <si>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</si>
  <si>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</si>
  <si>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</si>
  <si>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</si>
  <si>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</si>
  <si>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</si>
  <si>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</si>
  <si>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</si>
  <si>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</si>
  <si>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</si>
  <si>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</si>
  <si>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</si>
  <si>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</si>
  <si>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</si>
  <si>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</si>
  <si>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</si>
  <si>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</si>
  <si>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</si>
  <si>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</si>
  <si>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</si>
  <si>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</si>
  <si>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</si>
  <si>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</si>
  <si>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</si>
  <si>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</si>
  <si>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</si>
  <si>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</si>
  <si>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</si>
  <si>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</si>
  <si>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</si>
  <si>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</si>
  <si>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</si>
  <si>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</si>
  <si>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</si>
  <si>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</si>
  <si>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</si>
  <si>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</si>
  <si>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</si>
  <si>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</si>
  <si>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</si>
  <si>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</si>
  <si>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</si>
  <si>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</si>
  <si>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</si>
  <si>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</si>
  <si>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</si>
  <si>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</si>
  <si>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</si>
  <si>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</si>
  <si>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</si>
  <si>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</si>
  <si>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</si>
  <si>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</si>
  <si>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</si>
  <si>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</si>
  <si>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</si>
  <si>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</si>
  <si>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</si>
  <si>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</si>
  <si>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</si>
  <si>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</si>
  <si>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</si>
  <si>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</si>
  <si>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</si>
  <si>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</si>
  <si>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</si>
  <si>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</si>
  <si>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</si>
  <si>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</si>
  <si>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</si>
  <si>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</si>
  <si>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</si>
  <si>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</si>
  <si>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</si>
  <si>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</si>
  <si>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</si>
  <si>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</si>
  <si>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</si>
  <si>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</si>
  <si>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</si>
  <si>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</si>
  <si>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</si>
  <si>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</si>
  <si>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</si>
  <si>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</si>
  <si>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</si>
  <si>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</si>
  <si>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</si>
  <si>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</si>
  <si>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</si>
  <si>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</si>
  <si>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</si>
  <si>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</si>
  <si>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</si>
  <si>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</si>
  <si>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</si>
  <si>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</si>
  <si>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</si>
  <si>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</si>
  <si>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</si>
  <si>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</si>
  <si>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</si>
  <si>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</si>
  <si>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</si>
  <si>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</si>
  <si>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</si>
  <si>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</si>
  <si>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</si>
  <si>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</si>
  <si>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</si>
  <si>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</si>
  <si>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</si>
  <si>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</si>
  <si>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</si>
  <si>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</si>
  <si>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</si>
  <si>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</si>
  <si>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</si>
  <si>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</si>
  <si>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</si>
  <si>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</si>
  <si>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</si>
  <si>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</si>
  <si>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</si>
  <si>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</si>
  <si>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</si>
  <si>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</si>
  <si>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</si>
  <si>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</si>
  <si>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</si>
  <si>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</si>
  <si>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</si>
  <si>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</si>
  <si>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</si>
  <si>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</si>
  <si>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</si>
  <si>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</si>
  <si>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</si>
  <si>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</si>
  <si>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</si>
  <si>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</si>
  <si>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</si>
  <si>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</si>
  <si>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</si>
  <si>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</si>
  <si>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</si>
  <si>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</si>
  <si>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</si>
  <si>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</si>
  <si>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</si>
  <si>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</si>
  <si>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</si>
  <si>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</si>
  <si>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</si>
  <si>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</si>
  <si>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</si>
  <si>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</si>
  <si>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</si>
  <si>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</si>
  <si>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</si>
  <si>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</si>
  <si>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</si>
  <si>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</si>
  <si>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</si>
  <si>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</si>
  <si>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</si>
  <si>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</si>
  <si>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</si>
  <si>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</si>
  <si>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</si>
  <si>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</si>
  <si>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</si>
  <si>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</si>
  <si>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</si>
  <si>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</si>
  <si>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</si>
  <si>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</si>
  <si>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</si>
  <si>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</si>
  <si>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</si>
  <si>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</si>
  <si>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</si>
  <si>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</si>
  <si>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</si>
  <si>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</si>
  <si>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</si>
  <si>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</si>
  <si>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</si>
  <si>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</si>
  <si>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</si>
  <si>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</si>
  <si>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</si>
  <si>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</si>
  <si>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</si>
  <si>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</si>
  <si>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</si>
  <si>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</si>
  <si>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</si>
  <si>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</si>
  <si>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</si>
  <si>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</si>
  <si>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</si>
  <si>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</si>
  <si>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</si>
  <si>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</si>
  <si>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</si>
  <si>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</si>
  <si>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</si>
  <si>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</si>
  <si>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</si>
  <si>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</si>
  <si>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</si>
  <si>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</si>
  <si>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</si>
  <si>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</si>
  <si>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</si>
  <si>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</si>
  <si>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</si>
  <si>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</si>
  <si>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</si>
  <si>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</si>
  <si>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</si>
  <si>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</si>
  <si>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</si>
  <si>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</si>
  <si>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</si>
  <si>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</si>
  <si>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</si>
  <si>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</si>
  <si>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</si>
  <si>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</si>
  <si>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</si>
  <si>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</si>
  <si>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</si>
  <si>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</si>
  <si>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</si>
  <si>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</si>
  <si>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</si>
  <si>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</si>
  <si>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</si>
  <si>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</si>
  <si>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</si>
  <si>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</si>
  <si>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</si>
  <si>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</si>
  <si>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</si>
  <si>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</si>
  <si>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</si>
  <si>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</si>
  <si>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</si>
  <si>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</si>
  <si>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</si>
  <si>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</si>
  <si>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</si>
  <si>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</si>
  <si>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</si>
  <si>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</si>
  <si>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</si>
  <si>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</si>
  <si>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</si>
  <si>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</si>
  <si>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</si>
  <si>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</si>
  <si>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</si>
  <si>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</si>
  <si>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</si>
  <si>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</si>
  <si>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</si>
  <si>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</si>
  <si>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</si>
  <si>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</si>
  <si>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</si>
  <si>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</si>
  <si>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</si>
  <si>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</si>
  <si>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</si>
  <si>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</si>
  <si>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</si>
  <si>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</si>
  <si>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</si>
  <si>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</si>
  <si>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</si>
  <si>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</si>
  <si>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</si>
  <si>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</si>
  <si>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</si>
  <si>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</si>
  <si>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</si>
  <si>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</si>
  <si>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</si>
  <si>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</si>
  <si>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</si>
  <si>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</si>
  <si>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</si>
  <si>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</si>
  <si>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</si>
  <si>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</si>
  <si>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</si>
  <si>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</si>
  <si>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</si>
  <si>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</si>
  <si>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</si>
  <si>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</si>
  <si>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</si>
  <si>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</si>
  <si>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</si>
  <si>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</si>
  <si>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</si>
  <si>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</si>
  <si>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</si>
  <si>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</si>
  <si>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</si>
  <si>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</si>
  <si>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</si>
  <si>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</si>
  <si>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</si>
  <si>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</si>
  <si>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</si>
  <si>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</si>
  <si>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</si>
  <si>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</si>
  <si>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</si>
  <si>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</si>
  <si>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</si>
  <si>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</si>
  <si>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</si>
  <si>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</si>
  <si>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</si>
  <si>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</si>
  <si>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</si>
  <si>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</si>
  <si>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</si>
  <si>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</si>
  <si>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</si>
  <si>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</si>
  <si>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</si>
  <si>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</si>
  <si>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</si>
  <si>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</si>
  <si>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</si>
  <si>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</si>
  <si>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</si>
  <si>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</si>
  <si>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</si>
  <si>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</si>
  <si>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</si>
  <si>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</si>
  <si>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</si>
  <si>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</si>
  <si>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</si>
  <si>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</si>
  <si>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</si>
  <si>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</si>
  <si>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</si>
  <si>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</si>
  <si>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</si>
  <si>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</si>
  <si>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</si>
  <si>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</si>
  <si>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</si>
  <si>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</si>
  <si>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</si>
  <si>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</si>
  <si>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</si>
  <si>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</si>
  <si>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</si>
  <si>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</si>
  <si>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</si>
  <si>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</si>
  <si>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</si>
  <si>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</si>
  <si>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</si>
  <si>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</si>
  <si>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</si>
  <si>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</si>
  <si>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</si>
  <si>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</si>
  <si>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</si>
  <si>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</si>
  <si>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</si>
  <si>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</si>
  <si>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</si>
  <si>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</si>
  <si>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</si>
  <si>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</si>
  <si>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</si>
  <si>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</si>
  <si>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</si>
  <si>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</si>
  <si>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</si>
  <si>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</si>
  <si>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</si>
  <si>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</si>
  <si>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</si>
  <si>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</si>
  <si>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</si>
  <si>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</si>
  <si>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</si>
  <si>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</si>
  <si>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</si>
  <si>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</si>
  <si>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</si>
  <si>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</si>
  <si>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</si>
  <si>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</si>
  <si>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</si>
  <si>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</si>
  <si>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</si>
  <si>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</si>
  <si>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</si>
  <si>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</si>
  <si>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</si>
  <si>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</si>
  <si>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</si>
  <si>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</si>
  <si>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</si>
  <si>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</si>
  <si>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</si>
  <si>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</si>
  <si>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</si>
  <si>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</si>
  <si>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</si>
  <si>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</si>
  <si>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</si>
  <si>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</si>
  <si>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</si>
  <si>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</si>
  <si>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</si>
  <si>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</si>
  <si>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</si>
  <si>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</si>
  <si>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</si>
  <si>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</si>
  <si>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</si>
  <si>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</si>
  <si>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</si>
  <si>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</si>
  <si>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</si>
  <si>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</si>
  <si>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</si>
  <si>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</si>
  <si>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</si>
  <si>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</si>
  <si>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</si>
  <si>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</si>
  <si>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</si>
  <si>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</si>
  <si>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</si>
  <si>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</si>
  <si>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</si>
  <si>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</si>
  <si>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</si>
  <si>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</si>
  <si>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</si>
  <si>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</si>
  <si>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</si>
  <si>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</si>
  <si>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</si>
  <si>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</si>
  <si>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</si>
  <si>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</si>
  <si>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</si>
  <si>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</si>
  <si>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</si>
  <si>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</si>
  <si>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</si>
  <si>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</si>
  <si>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</si>
  <si>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</si>
  <si>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</si>
  <si>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</si>
  <si>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</si>
  <si>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</si>
  <si>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</si>
  <si>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</si>
  <si>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</si>
  <si>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</si>
  <si>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</si>
  <si>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</si>
  <si>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</si>
  <si>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</si>
  <si>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</si>
  <si>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</si>
  <si>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</si>
  <si>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</si>
  <si>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</si>
  <si>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</si>
  <si>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</si>
  <si>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</si>
  <si>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</si>
  <si>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</si>
  <si>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</si>
  <si>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</si>
  <si>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</si>
  <si>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</si>
  <si>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</si>
  <si>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</si>
  <si>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</si>
  <si>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</si>
  <si>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</si>
  <si>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</si>
  <si>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</si>
  <si>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</si>
  <si>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</si>
  <si>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</si>
  <si>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</si>
  <si>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</si>
  <si>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</si>
  <si>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</si>
  <si>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</si>
  <si>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</si>
  <si>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</si>
  <si>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</si>
  <si>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</si>
  <si>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</si>
  <si>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</si>
  <si>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</si>
  <si>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</si>
  <si>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</si>
  <si>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</si>
  <si>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</si>
  <si>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</si>
  <si>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</si>
  <si>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</si>
  <si>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</si>
  <si>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</si>
  <si>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</si>
  <si>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</si>
  <si>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</si>
  <si>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</si>
  <si>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</si>
  <si>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</si>
  <si>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</si>
  <si>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</si>
  <si>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</si>
  <si>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</si>
  <si>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</si>
  <si>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</si>
  <si>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</si>
  <si>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</si>
  <si>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</si>
  <si>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</si>
  <si>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</si>
  <si>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</si>
  <si>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</si>
  <si>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</si>
  <si>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</si>
  <si>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</si>
  <si>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</si>
  <si>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</si>
  <si>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</si>
  <si>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</si>
  <si>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</si>
  <si>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</si>
  <si>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</si>
  <si>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</si>
  <si>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</si>
  <si>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</si>
  <si>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</si>
  <si>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</si>
  <si>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</si>
  <si>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</si>
  <si>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</si>
  <si>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</si>
  <si>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</si>
  <si>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</si>
  <si>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</si>
  <si>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</si>
  <si>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</si>
  <si>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</si>
  <si>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</si>
  <si>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</si>
  <si>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</si>
  <si>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</si>
  <si>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</si>
  <si>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</si>
  <si>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</si>
  <si>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</si>
  <si>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</si>
  <si>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</si>
  <si>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</si>
  <si>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</si>
  <si>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</si>
  <si>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</si>
  <si>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</si>
  <si>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</si>
  <si>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</si>
  <si>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</si>
  <si>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</si>
  <si>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</si>
  <si>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</si>
  <si>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</si>
  <si>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</si>
  <si>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</si>
  <si>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</si>
  <si>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</si>
  <si>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</si>
  <si>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</si>
  <si>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</si>
  <si>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</si>
  <si>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</si>
  <si>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</si>
  <si>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</si>
  <si>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</si>
  <si>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</si>
  <si>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</si>
  <si>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</si>
  <si>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</si>
  <si>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</si>
  <si>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</si>
  <si>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</si>
  <si>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</si>
  <si>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</si>
  <si>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</si>
  <si>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</si>
  <si>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</si>
  <si>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</si>
  <si>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</si>
  <si>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</si>
  <si>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</si>
  <si>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</si>
  <si>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</si>
  <si>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</si>
  <si>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</si>
  <si>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</si>
  <si>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</si>
  <si>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</si>
  <si>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</si>
  <si>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</si>
  <si>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</si>
  <si>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</si>
  <si>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</si>
  <si>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</si>
  <si>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</si>
  <si>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</si>
  <si>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</si>
  <si>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</si>
  <si>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</si>
  <si>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</si>
  <si>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</si>
  <si>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</si>
  <si>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</si>
  <si>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</si>
  <si>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</si>
  <si>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</si>
  <si>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</si>
  <si>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</si>
  <si>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</si>
  <si>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</si>
  <si>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</si>
  <si>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</si>
  <si>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</si>
  <si>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</si>
  <si>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</si>
  <si>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</si>
  <si>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</si>
  <si>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</si>
  <si>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</si>
  <si>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</si>
  <si>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</si>
  <si>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</si>
  <si>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</si>
  <si>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</si>
  <si>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</si>
  <si>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</si>
  <si>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</si>
  <si>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</si>
  <si>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</si>
  <si>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</si>
  <si>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</si>
  <si>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</si>
  <si>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</si>
  <si>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</si>
  <si>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</si>
  <si>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</si>
  <si>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</si>
  <si>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</si>
  <si>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</si>
  <si>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</si>
  <si>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</si>
  <si>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</si>
  <si>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</si>
  <si>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</si>
  <si>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</si>
  <si>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</si>
  <si>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</si>
  <si>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</si>
  <si>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</si>
  <si>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</si>
  <si>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</si>
  <si>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</si>
  <si>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</si>
  <si>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</si>
  <si>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</si>
  <si>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</si>
  <si>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</si>
  <si>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</si>
  <si>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</si>
  <si>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</si>
  <si>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</si>
  <si>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</si>
  <si>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</si>
  <si>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</si>
  <si>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</si>
  <si>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</si>
  <si>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</si>
  <si>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</si>
  <si>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</si>
  <si>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</si>
  <si>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</si>
  <si>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</si>
  <si>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</si>
  <si>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</si>
  <si>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</si>
  <si>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</si>
  <si>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</si>
  <si>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</si>
  <si>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</si>
  <si>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</si>
  <si>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</si>
  <si>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</si>
  <si>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</si>
  <si>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</si>
  <si>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</si>
  <si>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</si>
  <si>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</si>
  <si>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</si>
  <si>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</si>
  <si>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</si>
  <si>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</si>
  <si>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</si>
  <si>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</si>
  <si>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</si>
  <si>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</si>
  <si>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</si>
  <si>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</si>
  <si>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</si>
  <si>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</si>
  <si>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</si>
  <si>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</si>
  <si>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</si>
  <si>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</si>
  <si>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</si>
  <si>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</si>
  <si>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</si>
  <si>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</si>
  <si>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</si>
  <si>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</si>
  <si>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</si>
  <si>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</si>
  <si>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</si>
  <si>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</si>
  <si>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</si>
  <si>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</si>
  <si>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</si>
  <si>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</si>
  <si>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</si>
  <si>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</si>
  <si>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</si>
  <si>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</si>
  <si>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</si>
  <si>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</si>
  <si>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</si>
  <si>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</si>
  <si>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</si>
  <si>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</si>
  <si>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</si>
  <si>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</si>
  <si>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</si>
  <si>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</si>
  <si>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</si>
  <si>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</si>
  <si>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</si>
  <si>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</si>
  <si>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</si>
  <si>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</si>
  <si>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</si>
  <si>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</si>
  <si>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</si>
  <si>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</si>
  <si>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</si>
  <si>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</si>
  <si>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</si>
  <si>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</si>
  <si>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</si>
  <si>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</si>
  <si>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</si>
  <si>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</si>
  <si>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</si>
  <si>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</si>
  <si>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</si>
  <si>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</si>
  <si>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</si>
  <si>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</si>
  <si>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</si>
  <si>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</si>
  <si>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</si>
  <si>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</si>
  <si>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</si>
  <si>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</si>
  <si>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</si>
  <si>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</si>
  <si>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</si>
  <si>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</si>
  <si>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</si>
  <si>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</si>
  <si>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</si>
  <si>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</si>
  <si>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</si>
  <si>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</si>
  <si>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</si>
  <si>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</si>
  <si>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</si>
  <si>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</si>
  <si>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</si>
  <si>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</si>
  <si>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</si>
  <si>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</si>
  <si>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</si>
  <si>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</si>
  <si>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</si>
  <si>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</si>
  <si>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</si>
  <si>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</si>
  <si>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</si>
  <si>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</si>
  <si>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</si>
  <si>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</si>
  <si>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</si>
  <si>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</si>
  <si>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</si>
  <si>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</si>
  <si>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</si>
  <si>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</si>
  <si>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</si>
  <si>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</si>
  <si>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</si>
  <si>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</si>
  <si>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</si>
  <si>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</si>
  <si>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</si>
  <si>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</si>
  <si>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</si>
  <si>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</si>
  <si>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</si>
  <si>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</si>
  <si>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</si>
  <si>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</si>
  <si>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</si>
  <si>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</si>
  <si>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</si>
  <si>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</si>
  <si>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</si>
  <si>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</si>
  <si>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</si>
  <si>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</si>
  <si>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</si>
  <si>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</si>
  <si>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</si>
  <si>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</si>
  <si>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</si>
  <si>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</si>
  <si>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</si>
  <si>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</si>
  <si>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</si>
  <si>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</si>
  <si>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</si>
  <si>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</si>
  <si>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</si>
  <si>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</si>
  <si>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</si>
  <si>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</si>
  <si>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</si>
  <si>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</si>
  <si>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</si>
  <si>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</si>
  <si>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</si>
  <si>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</si>
  <si>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</si>
  <si>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</si>
  <si>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</si>
  <si>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</si>
  <si>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</si>
  <si>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</si>
  <si>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</si>
  <si>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</si>
  <si>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</si>
  <si>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</si>
  <si>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</si>
  <si>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</si>
  <si>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</si>
  <si>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</si>
  <si>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</si>
  <si>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</si>
  <si>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</si>
  <si>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</si>
  <si>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</si>
  <si>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</si>
  <si>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</si>
  <si>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</si>
  <si>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</si>
  <si>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</si>
  <si>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</si>
  <si>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</si>
  <si>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</si>
  <si>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</si>
  <si>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</si>
  <si>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</si>
  <si>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</si>
  <si>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</si>
  <si>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</si>
  <si>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</si>
  <si>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</si>
  <si>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</si>
  <si>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</si>
  <si>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</si>
  <si>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</si>
  <si>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</si>
  <si>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</si>
  <si>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</si>
  <si>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</si>
  <si>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</si>
  <si>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</si>
  <si>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</si>
  <si>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</si>
  <si>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</si>
  <si>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</si>
  <si>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</si>
  <si>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</si>
  <si>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</si>
  <si>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</si>
  <si>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</si>
  <si>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</si>
  <si>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</si>
  <si>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</si>
  <si>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</si>
  <si>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</si>
  <si>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</si>
  <si>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</si>
  <si>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</si>
  <si>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</si>
  <si>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</si>
  <si>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</si>
  <si>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</si>
  <si>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</si>
  <si>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</si>
  <si>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</si>
  <si>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</si>
  <si>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</si>
  <si>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</si>
  <si>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</si>
  <si>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</si>
  <si>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</si>
  <si>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</si>
  <si>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</si>
  <si>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</si>
  <si>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</si>
  <si>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</si>
  <si>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</si>
  <si>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</si>
  <si>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</si>
  <si>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</si>
  <si>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</si>
  <si>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</si>
  <si>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</si>
  <si>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</si>
  <si>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</si>
  <si>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</si>
  <si>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</si>
  <si>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</si>
  <si>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</si>
  <si>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</si>
  <si>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</si>
  <si>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</si>
  <si>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</si>
  <si>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</si>
  <si>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</si>
  <si>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</si>
  <si>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</si>
  <si>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</si>
  <si>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</si>
  <si>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</si>
  <si>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</si>
  <si>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</si>
  <si>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</si>
  <si>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</si>
  <si>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</si>
  <si>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</si>
  <si>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</si>
  <si>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</si>
  <si>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</si>
  <si>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</si>
  <si>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</si>
  <si>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</si>
  <si>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</si>
  <si>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</si>
  <si>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</si>
  <si>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</si>
  <si>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</si>
  <si>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</si>
  <si>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</si>
  <si>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</si>
  <si>
    <t>Máxima compra en Producción</t>
  </si>
  <si>
    <t>Máxima compra en Transporte O</t>
  </si>
  <si>
    <t>Máxima Compra en G</t>
  </si>
  <si>
    <t>Producción ECP, 2019, total</t>
  </si>
  <si>
    <t>Transporte total O</t>
  </si>
  <si>
    <t>Transporte de TGI</t>
  </si>
  <si>
    <t>be/d</t>
  </si>
  <si>
    <t>OFISCA</t>
  </si>
  <si>
    <t>Gravedad Especifica</t>
  </si>
  <si>
    <t>Densidad del agua</t>
  </si>
  <si>
    <t>lbm/gal</t>
  </si>
  <si>
    <t>lbm/bl</t>
  </si>
  <si>
    <t>Lbm/bal</t>
  </si>
  <si>
    <t>Lbm</t>
  </si>
  <si>
    <t>bl</t>
  </si>
  <si>
    <t>API</t>
  </si>
  <si>
    <t>Hasta 18</t>
  </si>
  <si>
    <t>18-32</t>
  </si>
  <si>
    <t>Mayor a 32</t>
  </si>
  <si>
    <t>Mezclador de Petróleo a la Entrada</t>
  </si>
  <si>
    <t>Calidad mínima de la Carga</t>
  </si>
  <si>
    <t>Porcentaje de Carga Petróleo Liviano</t>
  </si>
  <si>
    <t>Vol</t>
  </si>
  <si>
    <t>Masa</t>
  </si>
  <si>
    <t>Opción 1:Carga a la Refinería</t>
  </si>
  <si>
    <t>Opción 2:Carga a la Refinería</t>
  </si>
  <si>
    <t>Emisiones, UO</t>
  </si>
  <si>
    <t>MPC/PJ por día</t>
  </si>
  <si>
    <t>kbl/PJ por día</t>
  </si>
  <si>
    <t>kt/kbal</t>
  </si>
  <si>
    <t>t/kbl</t>
  </si>
  <si>
    <t>kg/barril</t>
  </si>
  <si>
    <t>Emisiones, kt/PJ de crudo cargado</t>
  </si>
  <si>
    <t>Entradas a la Refinería</t>
  </si>
  <si>
    <t>Carga de Combustibles</t>
  </si>
  <si>
    <t>Capacidad nominal</t>
  </si>
  <si>
    <t>Carga en 2019</t>
  </si>
  <si>
    <t>ECP, Gestion, 2019</t>
  </si>
  <si>
    <t>Reficar, 2020</t>
  </si>
  <si>
    <t>*Para todos, menos gas natural y refinery Gas, las unidades son TJ/Mpc; PJ/kpc</t>
  </si>
  <si>
    <t>Sin información</t>
  </si>
  <si>
    <t>Declaración GLP 2019-2026</t>
  </si>
  <si>
    <t>Consumo gas Natural cuando carga sea</t>
  </si>
  <si>
    <t>kb/d</t>
  </si>
  <si>
    <t>1 ton eq</t>
  </si>
  <si>
    <t>Pj</t>
  </si>
  <si>
    <t>Extrapolado</t>
  </si>
  <si>
    <t>Resta entre consumo de gas y gas de refineria</t>
  </si>
  <si>
    <r>
      <t xml:space="preserve">Refinery Gas,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</si>
  <si>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Hidrogeno, </t>
    </r>
    <r>
      <rPr>
        <b/>
        <sz val="11"/>
        <color theme="1"/>
        <rFont val="Calibri"/>
        <family val="2"/>
        <scheme val="minor"/>
      </rPr>
      <t>Nominal</t>
    </r>
    <r>
      <rPr>
        <sz val="11"/>
        <color theme="1"/>
        <rFont val="Calibri"/>
        <family val="2"/>
        <scheme val="minor"/>
      </rPr>
      <t>, kton/d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</si>
  <si>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</si>
  <si>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>, kbpd</t>
    </r>
  </si>
  <si>
    <t>Carga de Combustibles en Relaciones</t>
  </si>
  <si>
    <t>Hidrogeno por Petróleo Cargado</t>
  </si>
  <si>
    <t>Refinery Gas por Petróleo Cargado</t>
  </si>
  <si>
    <t>Gas Natural por Petróleo Cargado</t>
  </si>
  <si>
    <t>Fuel Oil por Petróleo Cargado</t>
  </si>
  <si>
    <t>LPG por Petróleo Cargado</t>
  </si>
  <si>
    <t>PJ/kt</t>
  </si>
  <si>
    <t>Generación de Hidrogeno</t>
  </si>
  <si>
    <t>Salidas a la Refinería</t>
  </si>
  <si>
    <t>Edgar, pag 299</t>
  </si>
  <si>
    <t>NREL</t>
  </si>
  <si>
    <t>Jet-Keroseno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</si>
  <si>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Nominal</t>
    </r>
  </si>
  <si>
    <t>Salidas en Relación a carga</t>
  </si>
  <si>
    <t>Gas de Refinería</t>
  </si>
  <si>
    <t>Autoconsumido</t>
  </si>
  <si>
    <t xml:space="preserve">Eficiencia </t>
  </si>
  <si>
    <t>Datos Generales</t>
  </si>
  <si>
    <t>Factor de Utilización calculado para 2019</t>
  </si>
  <si>
    <t>Máximo Factor de Utilización a Futuro</t>
  </si>
  <si>
    <t>Carga de crudo y General</t>
  </si>
  <si>
    <t>Costo por refininar un barril de Petróleo</t>
  </si>
  <si>
    <t>Supuesto</t>
  </si>
  <si>
    <t>Calculado</t>
  </si>
  <si>
    <t>Dolares por barril</t>
  </si>
  <si>
    <t>Edgar, p. 263</t>
  </si>
  <si>
    <t>Costo por refinar un barril de Petróleo</t>
  </si>
  <si>
    <t>Calculada</t>
  </si>
  <si>
    <t>FTE-LPG-REF1</t>
  </si>
  <si>
    <t>Proceso para que LPG se use en refinería 1</t>
  </si>
  <si>
    <t>FTE-RFG1</t>
  </si>
  <si>
    <t>Proceso para que RFG1 se use en refinería 1</t>
  </si>
  <si>
    <t>LPG-REF1</t>
  </si>
  <si>
    <t>RFG1-REF1</t>
  </si>
  <si>
    <t>LPG utilizado en refinería 1</t>
  </si>
  <si>
    <t>RFG1 utilizado en refinería 1</t>
  </si>
  <si>
    <t>%Energía</t>
  </si>
  <si>
    <t>Porcentaje de Carga Petróleo Pesado</t>
  </si>
  <si>
    <t>Opción 2:Carga a la Refinería NO HAY INFORMACIÓN</t>
  </si>
  <si>
    <t>kt/Y</t>
  </si>
  <si>
    <r>
      <t>Hidrogeno,</t>
    </r>
    <r>
      <rPr>
        <b/>
        <sz val="11"/>
        <color theme="1"/>
        <rFont val="Calibri"/>
        <family val="2"/>
        <scheme val="minor"/>
      </rPr>
      <t xml:space="preserve"> Referencia</t>
    </r>
    <r>
      <rPr>
        <sz val="11"/>
        <color theme="1"/>
        <rFont val="Calibri"/>
        <family val="2"/>
        <scheme val="minor"/>
      </rPr>
      <t>, kton/d</t>
    </r>
  </si>
  <si>
    <r>
      <t xml:space="preserve">Carga de </t>
    </r>
    <r>
      <rPr>
        <b/>
        <sz val="11"/>
        <color theme="1"/>
        <rFont val="Calibri"/>
        <family val="2"/>
        <scheme val="minor"/>
      </rPr>
      <t>Referencia</t>
    </r>
  </si>
  <si>
    <t>Edgar, p.222-223</t>
  </si>
  <si>
    <r>
      <t xml:space="preserve">Refinery Gas,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</si>
  <si>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</si>
  <si>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t>Fuel Oil, Referencia</t>
  </si>
  <si>
    <t>Calculado***</t>
  </si>
  <si>
    <t>Gas Natural Utilizado, Referencia, kt/y</t>
  </si>
  <si>
    <t>kt/y</t>
  </si>
  <si>
    <t>Gas Natural Utilizado, Referencia</t>
  </si>
  <si>
    <t>Hidrogeno Producido</t>
  </si>
  <si>
    <t>Ref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</si>
  <si>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PICL2021</t>
    </r>
  </si>
  <si>
    <r>
      <t xml:space="preserve">Carga Basada </t>
    </r>
    <r>
      <rPr>
        <b/>
        <sz val="11"/>
        <color theme="1"/>
        <rFont val="Calibri"/>
        <family val="2"/>
        <scheme val="minor"/>
      </rPr>
      <t>PICL2021</t>
    </r>
  </si>
  <si>
    <t>%Volumen</t>
  </si>
  <si>
    <r>
      <t xml:space="preserve">Salidas de acuerdo a </t>
    </r>
    <r>
      <rPr>
        <b/>
        <sz val="11"/>
        <color theme="1"/>
        <rFont val="Calibri"/>
        <family val="2"/>
        <scheme val="minor"/>
      </rPr>
      <t>PICL2021</t>
    </r>
  </si>
  <si>
    <t>Declaración</t>
  </si>
  <si>
    <t>Max</t>
  </si>
  <si>
    <t>FTE-LPG-REF2</t>
  </si>
  <si>
    <t>FTE-RFG2</t>
  </si>
  <si>
    <t>Proceso para que LPG se use en refinería 2</t>
  </si>
  <si>
    <t>Proceso para que RFG1 se use en refinería 2</t>
  </si>
  <si>
    <t>LPG utilizado en refinería 2</t>
  </si>
  <si>
    <t>RFG1 utilizado en refinería 2</t>
  </si>
  <si>
    <t>LPG-REF2</t>
  </si>
  <si>
    <t>RFG2-REF2</t>
  </si>
  <si>
    <t>Precios</t>
  </si>
  <si>
    <t>Combustibles</t>
  </si>
  <si>
    <t>Precio base</t>
  </si>
  <si>
    <t>COP/gal</t>
  </si>
  <si>
    <t>Base</t>
  </si>
  <si>
    <t>Precio dólar base</t>
  </si>
  <si>
    <t>COP/barril</t>
  </si>
  <si>
    <t>año</t>
  </si>
  <si>
    <t>COP/Dólar</t>
  </si>
  <si>
    <t>USD/barril</t>
  </si>
  <si>
    <t>PJ/barril</t>
  </si>
  <si>
    <t>Conversion de Precios</t>
  </si>
  <si>
    <t>Combustible</t>
  </si>
  <si>
    <t>Precio</t>
  </si>
  <si>
    <t>MUSD2019/PJ</t>
  </si>
  <si>
    <t>MUSD/barril</t>
  </si>
  <si>
    <t>COMPRAS NACIONALES</t>
  </si>
  <si>
    <t>BUY-ETH</t>
  </si>
  <si>
    <t>BUY-BDSL</t>
  </si>
  <si>
    <t>Compra nacional de Ethanol</t>
  </si>
  <si>
    <t>Compra nacional de Biodiesel</t>
  </si>
  <si>
    <t>Annual Production Bound</t>
  </si>
  <si>
    <t>ACT_BND~2019</t>
  </si>
  <si>
    <t>ACT_BND~2050</t>
  </si>
  <si>
    <t>Precio Etanol</t>
  </si>
  <si>
    <t>https://www.energiaestrategica.com/el-gobierno-de-colombia-actualiza-precios-de-biocombustibles-e-industriales-se-entusiasman-con-aumentos-de-mezclas/</t>
  </si>
  <si>
    <t>Precio Biodiesel</t>
  </si>
  <si>
    <t>PJ/bl</t>
  </si>
  <si>
    <t>COL/gal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</si>
</sst>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3" formatCode="_-* #,##0.00_-;\-* #,##0.00_-;_-* &quot;-&quot;??_-;_-@_-"/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  <numFmt numFmtId="185" formatCode="_-* #,##0.0000_-;\-* #,##0.0000_-;_-* &quot;-&quot;??_-;_-@_-"/>
    <numFmt numFmtId="186" formatCode="_-* #,##0_-;\-* #,##0_-;_-* &quot;-&quot;??_-;_-@_-"/>
    <numFmt numFmtId="187" formatCode="0.0000000"/>
  </numFmts>
  <fonts count="8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9"/>
      <color indexed="81"/>
      <name val="Tahoma"/>
      <family val="2"/>
    </font>
    <font>
      <b/>
      <i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</font>
    <font>
      <sz val="7"/>
      <color theme="1"/>
      <name val="Arial"/>
      <family val="2"/>
    </font>
    <font>
      <sz val="7"/>
      <color theme="1"/>
      <name val="Calibri"/>
      <family val="2"/>
      <scheme val="minor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5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D6DCE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43"/>
        <bgColor indexed="64"/>
      </patternFill>
    </fill>
  </fills>
  <borders count="7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58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2" fillId="27" borderId="0" applyNumberFormat="0" applyBorder="0" applyAlignment="0" applyProtection="0"/>
  </cellStyleXfs>
  <cellXfs count="989">
    <xf numFmtId="0" fontId="0" fillId="0" borderId="0" xfId="0"/>
    <xf numFmtId="0" fontId="11" fillId="2" borderId="1" xfId="0" applyFont="1" applyFill="1" applyBorder="1"/>
    <xf numFmtId="0" fontId="11" fillId="2" borderId="1" xfId="0" applyFont="1" applyFill="1" applyBorder="1" applyAlignment="1">
      <alignment horizontal="center"/>
    </xf>
    <xf numFmtId="0" fontId="11" fillId="2" borderId="1" xfId="0" applyFont="1" applyFill="1" applyBorder="1" applyAlignment="1">
      <alignment wrapText="1"/>
    </xf>
    <xf numFmtId="0" fontId="11" fillId="2" borderId="1" xfId="0" applyFont="1" applyFill="1" applyBorder="1" applyAlignment="1">
      <alignment horizontal="center" wrapText="1"/>
    </xf>
    <xf numFmtId="0" fontId="11" fillId="0" borderId="0" xfId="0" applyFont="1" applyAlignment="1">
      <alignment wrapText="1"/>
    </xf>
    <xf numFmtId="164" fontId="14" fillId="2" borderId="1" xfId="0" applyNumberFormat="1" applyFont="1" applyFill="1" applyBorder="1"/>
    <xf numFmtId="164" fontId="15" fillId="2" borderId="1" xfId="0" applyNumberFormat="1" applyFont="1" applyFill="1" applyBorder="1"/>
    <xf numFmtId="164" fontId="16" fillId="3" borderId="5" xfId="0" applyNumberFormat="1" applyFont="1" applyFill="1" applyBorder="1" applyAlignment="1">
      <alignment horizontal="left"/>
    </xf>
    <xf numFmtId="164" fontId="16" fillId="3" borderId="6" xfId="0" applyNumberFormat="1" applyFont="1" applyFill="1" applyBorder="1" applyAlignment="1">
      <alignment horizontal="left"/>
    </xf>
    <xf numFmtId="164" fontId="17" fillId="4" borderId="7" xfId="0" applyNumberFormat="1" applyFont="1" applyFill="1" applyBorder="1" applyAlignment="1">
      <alignment horizontal="left" wrapText="1"/>
    </xf>
    <xf numFmtId="165" fontId="11" fillId="0" borderId="0" xfId="0" applyNumberFormat="1" applyFont="1"/>
    <xf numFmtId="0" fontId="18" fillId="0" borderId="0" xfId="0" applyFont="1"/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164" fontId="14" fillId="0" borderId="0" xfId="0" applyNumberFormat="1" applyFont="1"/>
    <xf numFmtId="0" fontId="11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/>
    </xf>
    <xf numFmtId="0" fontId="11" fillId="0" borderId="0" xfId="0" applyFont="1" applyAlignment="1">
      <alignment horizontal="left"/>
    </xf>
    <xf numFmtId="165" fontId="11" fillId="2" borderId="1" xfId="0" applyNumberFormat="1" applyFont="1" applyFill="1" applyBorder="1"/>
    <xf numFmtId="0" fontId="19" fillId="0" borderId="0" xfId="0" applyFont="1"/>
    <xf numFmtId="0" fontId="20" fillId="0" borderId="0" xfId="0" applyFont="1"/>
    <xf numFmtId="0" fontId="20" fillId="0" borderId="0" xfId="0" applyFont="1" applyAlignment="1">
      <alignment horizontal="right"/>
    </xf>
    <xf numFmtId="0" fontId="21" fillId="0" borderId="0" xfId="0" applyFont="1"/>
    <xf numFmtId="0" fontId="12" fillId="0" borderId="10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12" fillId="0" borderId="11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12" fillId="0" borderId="8" xfId="0" applyFont="1" applyBorder="1"/>
    <xf numFmtId="0" fontId="22" fillId="0" borderId="13" xfId="0" applyFont="1" applyBorder="1" applyAlignment="1">
      <alignment horizontal="left"/>
    </xf>
    <xf numFmtId="0" fontId="22" fillId="0" borderId="9" xfId="0" applyFont="1" applyBorder="1"/>
    <xf numFmtId="0" fontId="11" fillId="0" borderId="10" xfId="0" applyFont="1" applyBorder="1"/>
    <xf numFmtId="0" fontId="19" fillId="0" borderId="13" xfId="0" applyFont="1" applyBorder="1" applyAlignment="1">
      <alignment horizontal="left"/>
    </xf>
    <xf numFmtId="0" fontId="19" fillId="0" borderId="9" xfId="0" applyFont="1" applyBorder="1" applyAlignment="1">
      <alignment horizontal="left" vertical="center"/>
    </xf>
    <xf numFmtId="0" fontId="11" fillId="0" borderId="13" xfId="0" applyFont="1" applyBorder="1" applyAlignment="1">
      <alignment horizontal="center"/>
    </xf>
    <xf numFmtId="2" fontId="11" fillId="0" borderId="10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11" fillId="0" borderId="14" xfId="0" applyFont="1" applyBorder="1"/>
    <xf numFmtId="0" fontId="19" fillId="0" borderId="15" xfId="0" applyFont="1" applyBorder="1" applyAlignment="1">
      <alignment horizontal="left"/>
    </xf>
    <xf numFmtId="0" fontId="19" fillId="0" borderId="16" xfId="0" applyFont="1" applyBorder="1" applyAlignment="1">
      <alignment horizontal="left" vertical="center"/>
    </xf>
    <xf numFmtId="0" fontId="11" fillId="0" borderId="15" xfId="0" applyFont="1" applyBorder="1" applyAlignment="1">
      <alignment horizontal="center"/>
    </xf>
    <xf numFmtId="2" fontId="11" fillId="0" borderId="14" xfId="0" applyNumberFormat="1" applyFont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11" fillId="0" borderId="11" xfId="0" applyFont="1" applyBorder="1"/>
    <xf numFmtId="0" fontId="19" fillId="0" borderId="0" xfId="0" applyFont="1" applyAlignment="1">
      <alignment horizontal="left"/>
    </xf>
    <xf numFmtId="2" fontId="11" fillId="0" borderId="11" xfId="0" applyNumberFormat="1" applyFont="1" applyBorder="1" applyAlignment="1">
      <alignment vertical="center"/>
    </xf>
    <xf numFmtId="2" fontId="11" fillId="0" borderId="12" xfId="0" applyNumberFormat="1" applyFont="1" applyBorder="1" applyAlignment="1">
      <alignment vertical="center"/>
    </xf>
    <xf numFmtId="0" fontId="11" fillId="0" borderId="17" xfId="0" applyFont="1" applyBorder="1"/>
    <xf numFmtId="0" fontId="19" fillId="0" borderId="18" xfId="0" applyFont="1" applyBorder="1" applyAlignment="1">
      <alignment horizontal="left"/>
    </xf>
    <xf numFmtId="0" fontId="11" fillId="0" borderId="18" xfId="0" applyFont="1" applyBorder="1" applyAlignment="1">
      <alignment horizontal="center"/>
    </xf>
    <xf numFmtId="2" fontId="11" fillId="0" borderId="17" xfId="0" applyNumberFormat="1" applyFont="1" applyBorder="1" applyAlignment="1">
      <alignment vertical="center"/>
    </xf>
    <xf numFmtId="2" fontId="11" fillId="0" borderId="19" xfId="0" applyNumberFormat="1" applyFont="1" applyBorder="1" applyAlignment="1">
      <alignment vertical="center"/>
    </xf>
    <xf numFmtId="0" fontId="20" fillId="0" borderId="12" xfId="0" applyFont="1" applyBorder="1" applyAlignment="1">
      <alignment horizontal="left" vertical="center"/>
    </xf>
    <xf numFmtId="2" fontId="11" fillId="0" borderId="11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0" fontId="19" fillId="0" borderId="12" xfId="0" applyFont="1" applyBorder="1" applyAlignment="1">
      <alignment horizontal="left" vertical="center"/>
    </xf>
    <xf numFmtId="0" fontId="19" fillId="0" borderId="19" xfId="0" applyFont="1" applyBorder="1" applyAlignment="1">
      <alignment horizontal="left" vertical="center"/>
    </xf>
    <xf numFmtId="2" fontId="11" fillId="0" borderId="17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66" fontId="20" fillId="0" borderId="0" xfId="0" applyNumberFormat="1" applyFont="1"/>
    <xf numFmtId="0" fontId="20" fillId="0" borderId="15" xfId="0" applyFont="1" applyBorder="1" applyAlignment="1">
      <alignment horizontal="left"/>
    </xf>
    <xf numFmtId="0" fontId="20" fillId="0" borderId="15" xfId="0" applyFont="1" applyBorder="1" applyAlignment="1">
      <alignment horizontal="left" vertical="center"/>
    </xf>
    <xf numFmtId="0" fontId="12" fillId="2" borderId="20" xfId="0" applyFont="1" applyFill="1" applyBorder="1" applyAlignment="1">
      <alignment horizontal="center"/>
    </xf>
    <xf numFmtId="2" fontId="11" fillId="0" borderId="21" xfId="0" applyNumberFormat="1" applyFont="1" applyBorder="1" applyAlignment="1">
      <alignment horizontal="center"/>
    </xf>
    <xf numFmtId="2" fontId="11" fillId="0" borderId="14" xfId="0" applyNumberFormat="1" applyFont="1" applyBorder="1" applyAlignment="1">
      <alignment horizontal="center"/>
    </xf>
    <xf numFmtId="0" fontId="20" fillId="0" borderId="18" xfId="0" applyFont="1" applyBorder="1" applyAlignment="1">
      <alignment horizontal="left"/>
    </xf>
    <xf numFmtId="0" fontId="12" fillId="2" borderId="22" xfId="0" applyFont="1" applyFill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2" fontId="11" fillId="0" borderId="17" xfId="0" applyNumberFormat="1" applyFont="1" applyBorder="1" applyAlignment="1">
      <alignment horizontal="center"/>
    </xf>
    <xf numFmtId="1" fontId="20" fillId="0" borderId="0" xfId="0" applyNumberFormat="1" applyFont="1"/>
    <xf numFmtId="0" fontId="23" fillId="0" borderId="0" xfId="0" applyFont="1"/>
    <xf numFmtId="0" fontId="23" fillId="5" borderId="1" xfId="0" applyFont="1" applyFill="1" applyBorder="1" applyAlignment="1">
      <alignment horizontal="left"/>
    </xf>
    <xf numFmtId="9" fontId="23" fillId="5" borderId="1" xfId="0" applyNumberFormat="1" applyFont="1" applyFill="1" applyBorder="1" applyAlignment="1">
      <alignment horizontal="left"/>
    </xf>
    <xf numFmtId="0" fontId="23" fillId="0" borderId="0" xfId="0" applyFont="1" applyAlignment="1">
      <alignment horizontal="left"/>
    </xf>
    <xf numFmtId="10" fontId="23" fillId="0" borderId="0" xfId="0" applyNumberFormat="1" applyFont="1" applyAlignment="1">
      <alignment horizontal="left"/>
    </xf>
    <xf numFmtId="0" fontId="19" fillId="0" borderId="14" xfId="0" applyFont="1" applyBorder="1"/>
    <xf numFmtId="0" fontId="19" fillId="0" borderId="15" xfId="0" applyFont="1" applyBorder="1"/>
    <xf numFmtId="167" fontId="19" fillId="0" borderId="14" xfId="0" applyNumberFormat="1" applyFont="1" applyBorder="1"/>
    <xf numFmtId="167" fontId="19" fillId="0" borderId="16" xfId="0" applyNumberFormat="1" applyFont="1" applyBorder="1"/>
    <xf numFmtId="0" fontId="19" fillId="0" borderId="17" xfId="0" applyFont="1" applyBorder="1"/>
    <xf numFmtId="0" fontId="19" fillId="0" borderId="18" xfId="0" applyFont="1" applyBorder="1"/>
    <xf numFmtId="0" fontId="19" fillId="0" borderId="19" xfId="0" applyFont="1" applyBorder="1"/>
    <xf numFmtId="168" fontId="20" fillId="0" borderId="0" xfId="0" applyNumberFormat="1" applyFont="1"/>
    <xf numFmtId="2" fontId="11" fillId="0" borderId="24" xfId="0" applyNumberFormat="1" applyFont="1" applyBorder="1" applyAlignment="1">
      <alignment horizontal="center"/>
    </xf>
    <xf numFmtId="169" fontId="20" fillId="0" borderId="0" xfId="0" applyNumberFormat="1" applyFont="1"/>
    <xf numFmtId="167" fontId="20" fillId="0" borderId="0" xfId="0" applyNumberFormat="1" applyFont="1"/>
    <xf numFmtId="170" fontId="19" fillId="0" borderId="0" xfId="0" applyNumberFormat="1" applyFont="1"/>
    <xf numFmtId="1" fontId="19" fillId="0" borderId="0" xfId="0" applyNumberFormat="1" applyFont="1"/>
    <xf numFmtId="2" fontId="20" fillId="0" borderId="0" xfId="0" applyNumberFormat="1" applyFont="1"/>
    <xf numFmtId="0" fontId="22" fillId="0" borderId="24" xfId="0" applyFont="1" applyBorder="1"/>
    <xf numFmtId="0" fontId="22" fillId="0" borderId="16" xfId="0" applyFont="1" applyBorder="1"/>
    <xf numFmtId="0" fontId="19" fillId="0" borderId="24" xfId="0" applyFont="1" applyBorder="1"/>
    <xf numFmtId="0" fontId="20" fillId="0" borderId="15" xfId="0" applyFont="1" applyBorder="1"/>
    <xf numFmtId="0" fontId="20" fillId="0" borderId="16" xfId="0" applyFont="1" applyBorder="1" applyAlignment="1">
      <alignment horizontal="right"/>
    </xf>
    <xf numFmtId="0" fontId="12" fillId="0" borderId="21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19" fillId="0" borderId="21" xfId="0" applyFont="1" applyBorder="1"/>
    <xf numFmtId="0" fontId="20" fillId="0" borderId="0" xfId="0" applyFont="1" applyAlignment="1">
      <alignment horizontal="center"/>
    </xf>
    <xf numFmtId="0" fontId="20" fillId="0" borderId="12" xfId="0" applyFont="1" applyBorder="1" applyAlignment="1">
      <alignment horizontal="right"/>
    </xf>
    <xf numFmtId="0" fontId="12" fillId="0" borderId="0" xfId="0" applyFont="1"/>
    <xf numFmtId="0" fontId="20" fillId="0" borderId="0" xfId="0" applyFont="1" applyAlignment="1">
      <alignment horizontal="center" vertical="center"/>
    </xf>
    <xf numFmtId="0" fontId="24" fillId="0" borderId="12" xfId="0" applyFont="1" applyBorder="1" applyAlignment="1">
      <alignment horizontal="center"/>
    </xf>
    <xf numFmtId="0" fontId="11" fillId="0" borderId="8" xfId="0" applyFont="1" applyBorder="1"/>
    <xf numFmtId="0" fontId="11" fillId="0" borderId="13" xfId="0" applyFont="1" applyBorder="1"/>
    <xf numFmtId="2" fontId="11" fillId="0" borderId="8" xfId="0" applyNumberFormat="1" applyFont="1" applyBorder="1" applyAlignment="1">
      <alignment horizontal="center"/>
    </xf>
    <xf numFmtId="171" fontId="11" fillId="0" borderId="9" xfId="0" applyNumberFormat="1" applyFont="1" applyBorder="1" applyAlignment="1">
      <alignment horizontal="center"/>
    </xf>
    <xf numFmtId="2" fontId="19" fillId="0" borderId="8" xfId="0" applyNumberFormat="1" applyFont="1" applyBorder="1" applyAlignment="1">
      <alignment horizontal="center" vertical="center"/>
    </xf>
    <xf numFmtId="0" fontId="19" fillId="0" borderId="13" xfId="0" applyFont="1" applyBorder="1" applyAlignment="1">
      <alignment horizontal="center"/>
    </xf>
    <xf numFmtId="0" fontId="19" fillId="0" borderId="13" xfId="0" applyFont="1" applyBorder="1"/>
    <xf numFmtId="0" fontId="20" fillId="0" borderId="9" xfId="0" applyFont="1" applyBorder="1" applyAlignment="1">
      <alignment horizontal="center" vertical="center"/>
    </xf>
    <xf numFmtId="170" fontId="20" fillId="0" borderId="12" xfId="0" applyNumberFormat="1" applyFont="1" applyBorder="1" applyAlignment="1">
      <alignment horizontal="right"/>
    </xf>
    <xf numFmtId="0" fontId="11" fillId="0" borderId="24" xfId="0" applyFont="1" applyBorder="1"/>
    <xf numFmtId="0" fontId="11" fillId="0" borderId="15" xfId="0" applyFont="1" applyBorder="1"/>
    <xf numFmtId="2" fontId="19" fillId="0" borderId="24" xfId="0" applyNumberFormat="1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11" fillId="0" borderId="21" xfId="0" applyFont="1" applyBorder="1"/>
    <xf numFmtId="0" fontId="11" fillId="0" borderId="23" xfId="0" applyFont="1" applyBorder="1"/>
    <xf numFmtId="0" fontId="11" fillId="0" borderId="18" xfId="0" applyFont="1" applyBorder="1"/>
    <xf numFmtId="171" fontId="11" fillId="0" borderId="16" xfId="0" applyNumberFormat="1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171" fontId="11" fillId="0" borderId="12" xfId="0" applyNumberFormat="1" applyFont="1" applyBorder="1" applyAlignment="1">
      <alignment horizontal="center"/>
    </xf>
    <xf numFmtId="2" fontId="19" fillId="0" borderId="2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20" fillId="0" borderId="12" xfId="0" applyFont="1" applyBorder="1" applyAlignment="1">
      <alignment horizontal="center" vertical="center"/>
    </xf>
    <xf numFmtId="170" fontId="11" fillId="0" borderId="21" xfId="0" applyNumberFormat="1" applyFont="1" applyBorder="1" applyAlignment="1">
      <alignment horizontal="center"/>
    </xf>
    <xf numFmtId="171" fontId="11" fillId="0" borderId="19" xfId="0" applyNumberFormat="1" applyFont="1" applyBorder="1" applyAlignment="1">
      <alignment horizontal="center"/>
    </xf>
    <xf numFmtId="2" fontId="19" fillId="0" borderId="23" xfId="0" applyNumberFormat="1" applyFont="1" applyBorder="1" applyAlignment="1">
      <alignment horizontal="center" vertical="center"/>
    </xf>
    <xf numFmtId="0" fontId="19" fillId="0" borderId="18" xfId="0" applyFont="1" applyBorder="1" applyAlignment="1">
      <alignment horizontal="center"/>
    </xf>
    <xf numFmtId="0" fontId="20" fillId="0" borderId="19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2" fontId="11" fillId="0" borderId="12" xfId="0" applyNumberFormat="1" applyFont="1" applyBorder="1" applyAlignment="1">
      <alignment horizontal="right"/>
    </xf>
    <xf numFmtId="170" fontId="19" fillId="0" borderId="24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right"/>
    </xf>
    <xf numFmtId="0" fontId="19" fillId="0" borderId="23" xfId="0" applyFont="1" applyBorder="1"/>
    <xf numFmtId="0" fontId="20" fillId="0" borderId="19" xfId="0" applyFont="1" applyBorder="1"/>
    <xf numFmtId="0" fontId="20" fillId="0" borderId="18" xfId="0" applyFont="1" applyBorder="1"/>
    <xf numFmtId="0" fontId="20" fillId="0" borderId="19" xfId="0" applyFont="1" applyBorder="1" applyAlignment="1">
      <alignment horizontal="right"/>
    </xf>
    <xf numFmtId="9" fontId="23" fillId="0" borderId="0" xfId="0" applyNumberFormat="1" applyFont="1" applyAlignment="1">
      <alignment horizontal="left"/>
    </xf>
    <xf numFmtId="172" fontId="19" fillId="0" borderId="0" xfId="0" applyNumberFormat="1" applyFont="1"/>
    <xf numFmtId="171" fontId="19" fillId="0" borderId="0" xfId="0" applyNumberFormat="1" applyFont="1"/>
    <xf numFmtId="0" fontId="25" fillId="0" borderId="0" xfId="0" applyFont="1"/>
    <xf numFmtId="0" fontId="22" fillId="0" borderId="0" xfId="0" applyFont="1"/>
    <xf numFmtId="0" fontId="26" fillId="0" borderId="25" xfId="0" applyFont="1" applyBorder="1" applyAlignment="1">
      <alignment vertical="center" wrapText="1"/>
    </xf>
    <xf numFmtId="0" fontId="26" fillId="0" borderId="26" xfId="0" applyFont="1" applyBorder="1" applyAlignment="1">
      <alignment vertical="center" wrapText="1"/>
    </xf>
    <xf numFmtId="173" fontId="19" fillId="0" borderId="0" xfId="0" applyNumberFormat="1" applyFont="1"/>
    <xf numFmtId="11" fontId="19" fillId="0" borderId="0" xfId="0" applyNumberFormat="1" applyFont="1"/>
    <xf numFmtId="0" fontId="26" fillId="0" borderId="27" xfId="0" applyFont="1" applyBorder="1" applyAlignment="1">
      <alignment vertical="center" wrapText="1"/>
    </xf>
    <xf numFmtId="0" fontId="26" fillId="0" borderId="28" xfId="0" applyFont="1" applyBorder="1" applyAlignment="1">
      <alignment vertical="center" wrapText="1"/>
    </xf>
    <xf numFmtId="0" fontId="27" fillId="6" borderId="32" xfId="0" applyFont="1" applyFill="1" applyBorder="1" applyAlignment="1">
      <alignment vertical="center"/>
    </xf>
    <xf numFmtId="0" fontId="28" fillId="7" borderId="32" xfId="0" applyFont="1" applyFill="1" applyBorder="1" applyAlignment="1">
      <alignment vertical="center"/>
    </xf>
    <xf numFmtId="0" fontId="28" fillId="7" borderId="32" xfId="0" applyFont="1" applyFill="1" applyBorder="1" applyAlignment="1">
      <alignment horizontal="center" vertical="center"/>
    </xf>
    <xf numFmtId="0" fontId="28" fillId="7" borderId="33" xfId="0" applyFont="1" applyFill="1" applyBorder="1"/>
    <xf numFmtId="0" fontId="28" fillId="7" borderId="34" xfId="0" applyFont="1" applyFill="1" applyBorder="1"/>
    <xf numFmtId="0" fontId="28" fillId="7" borderId="32" xfId="0" applyFont="1" applyFill="1" applyBorder="1" applyAlignment="1">
      <alignment horizontal="center"/>
    </xf>
    <xf numFmtId="0" fontId="28" fillId="7" borderId="32" xfId="0" applyFont="1" applyFill="1" applyBorder="1" applyAlignment="1">
      <alignment horizontal="center" vertical="center" wrapText="1"/>
    </xf>
    <xf numFmtId="0" fontId="23" fillId="0" borderId="32" xfId="0" applyFont="1" applyBorder="1" applyAlignment="1">
      <alignment horizontal="left" vertical="top"/>
    </xf>
    <xf numFmtId="0" fontId="23" fillId="0" borderId="32" xfId="0" applyFont="1" applyBorder="1" applyAlignment="1">
      <alignment vertical="center" wrapText="1"/>
    </xf>
    <xf numFmtId="0" fontId="23" fillId="0" borderId="32" xfId="0" applyFont="1" applyBorder="1"/>
    <xf numFmtId="171" fontId="23" fillId="0" borderId="32" xfId="0" applyNumberFormat="1" applyFont="1" applyBorder="1"/>
    <xf numFmtId="174" fontId="23" fillId="0" borderId="32" xfId="0" applyNumberFormat="1" applyFont="1" applyBorder="1"/>
    <xf numFmtId="0" fontId="23" fillId="8" borderId="32" xfId="0" applyFont="1" applyFill="1" applyBorder="1" applyAlignment="1">
      <alignment horizontal="left" vertical="top"/>
    </xf>
    <xf numFmtId="0" fontId="23" fillId="8" borderId="32" xfId="0" applyFont="1" applyFill="1" applyBorder="1" applyAlignment="1">
      <alignment vertical="center" wrapText="1"/>
    </xf>
    <xf numFmtId="0" fontId="23" fillId="8" borderId="32" xfId="0" applyFont="1" applyFill="1" applyBorder="1"/>
    <xf numFmtId="171" fontId="23" fillId="8" borderId="32" xfId="0" applyNumberFormat="1" applyFont="1" applyFill="1" applyBorder="1"/>
    <xf numFmtId="174" fontId="23" fillId="8" borderId="32" xfId="0" applyNumberFormat="1" applyFont="1" applyFill="1" applyBorder="1"/>
    <xf numFmtId="0" fontId="29" fillId="0" borderId="32" xfId="0" applyFont="1" applyBorder="1" applyAlignment="1">
      <alignment horizontal="left" vertical="top"/>
    </xf>
    <xf numFmtId="0" fontId="30" fillId="0" borderId="32" xfId="0" applyFont="1" applyBorder="1" applyAlignment="1">
      <alignment vertical="center" wrapText="1"/>
    </xf>
    <xf numFmtId="0" fontId="30" fillId="0" borderId="32" xfId="0" applyFont="1" applyBorder="1"/>
    <xf numFmtId="171" fontId="30" fillId="0" borderId="32" xfId="0" applyNumberFormat="1" applyFont="1" applyBorder="1"/>
    <xf numFmtId="174" fontId="30" fillId="0" borderId="32" xfId="0" applyNumberFormat="1" applyFont="1" applyBorder="1"/>
    <xf numFmtId="171" fontId="29" fillId="0" borderId="32" xfId="0" applyNumberFormat="1" applyFont="1" applyBorder="1"/>
    <xf numFmtId="0" fontId="29" fillId="8" borderId="32" xfId="0" applyFont="1" applyFill="1" applyBorder="1" applyAlignment="1">
      <alignment horizontal="right" vertical="top"/>
    </xf>
    <xf numFmtId="0" fontId="23" fillId="8" borderId="32" xfId="0" applyFont="1" applyFill="1" applyBorder="1" applyAlignment="1">
      <alignment horizontal="left" vertical="center" wrapText="1"/>
    </xf>
    <xf numFmtId="0" fontId="29" fillId="0" borderId="32" xfId="0" applyFont="1" applyBorder="1" applyAlignment="1">
      <alignment horizontal="right" vertical="top"/>
    </xf>
    <xf numFmtId="0" fontId="23" fillId="0" borderId="32" xfId="0" applyFont="1" applyBorder="1" applyAlignment="1">
      <alignment horizontal="left" vertical="center" wrapText="1"/>
    </xf>
    <xf numFmtId="0" fontId="28" fillId="6" borderId="32" xfId="0" applyFont="1" applyFill="1" applyBorder="1" applyAlignment="1">
      <alignment vertical="center"/>
    </xf>
    <xf numFmtId="166" fontId="23" fillId="0" borderId="32" xfId="0" applyNumberFormat="1" applyFont="1" applyBorder="1"/>
    <xf numFmtId="175" fontId="23" fillId="0" borderId="32" xfId="0" applyNumberFormat="1" applyFont="1" applyBorder="1"/>
    <xf numFmtId="166" fontId="23" fillId="8" borderId="32" xfId="0" applyNumberFormat="1" applyFont="1" applyFill="1" applyBorder="1"/>
    <xf numFmtId="175" fontId="23" fillId="8" borderId="32" xfId="0" applyNumberFormat="1" applyFont="1" applyFill="1" applyBorder="1"/>
    <xf numFmtId="172" fontId="23" fillId="8" borderId="32" xfId="0" applyNumberFormat="1" applyFont="1" applyFill="1" applyBorder="1"/>
    <xf numFmtId="166" fontId="23" fillId="0" borderId="0" xfId="0" applyNumberFormat="1" applyFont="1"/>
    <xf numFmtId="175" fontId="23" fillId="0" borderId="0" xfId="0" applyNumberFormat="1" applyFont="1"/>
    <xf numFmtId="0" fontId="27" fillId="6" borderId="1" xfId="0" applyFont="1" applyFill="1" applyBorder="1" applyAlignment="1">
      <alignment horizontal="center" vertical="center"/>
    </xf>
    <xf numFmtId="0" fontId="28" fillId="7" borderId="33" xfId="0" applyFont="1" applyFill="1" applyBorder="1" applyAlignment="1">
      <alignment horizontal="center" vertical="center" wrapText="1"/>
    </xf>
    <xf numFmtId="0" fontId="28" fillId="7" borderId="34" xfId="0" applyFont="1" applyFill="1" applyBorder="1" applyAlignment="1">
      <alignment horizontal="center" vertical="center" wrapText="1"/>
    </xf>
    <xf numFmtId="166" fontId="23" fillId="2" borderId="33" xfId="0" applyNumberFormat="1" applyFont="1" applyFill="1" applyBorder="1"/>
    <xf numFmtId="166" fontId="23" fillId="2" borderId="34" xfId="0" applyNumberFormat="1" applyFont="1" applyFill="1" applyBorder="1"/>
    <xf numFmtId="175" fontId="23" fillId="2" borderId="32" xfId="0" applyNumberFormat="1" applyFont="1" applyFill="1" applyBorder="1"/>
    <xf numFmtId="166" fontId="23" fillId="2" borderId="32" xfId="0" applyNumberFormat="1" applyFont="1" applyFill="1" applyBorder="1"/>
    <xf numFmtId="166" fontId="23" fillId="8" borderId="33" xfId="0" applyNumberFormat="1" applyFont="1" applyFill="1" applyBorder="1"/>
    <xf numFmtId="166" fontId="23" fillId="8" borderId="34" xfId="0" applyNumberFormat="1" applyFont="1" applyFill="1" applyBorder="1"/>
    <xf numFmtId="166" fontId="31" fillId="2" borderId="33" xfId="0" applyNumberFormat="1" applyFont="1" applyFill="1" applyBorder="1"/>
    <xf numFmtId="166" fontId="31" fillId="2" borderId="34" xfId="0" applyNumberFormat="1" applyFont="1" applyFill="1" applyBorder="1"/>
    <xf numFmtId="175" fontId="31" fillId="2" borderId="32" xfId="0" applyNumberFormat="1" applyFont="1" applyFill="1" applyBorder="1"/>
    <xf numFmtId="166" fontId="31" fillId="2" borderId="32" xfId="0" applyNumberFormat="1" applyFont="1" applyFill="1" applyBorder="1"/>
    <xf numFmtId="166" fontId="28" fillId="7" borderId="32" xfId="0" applyNumberFormat="1" applyFont="1" applyFill="1" applyBorder="1" applyAlignment="1">
      <alignment horizontal="center" vertical="center" wrapText="1"/>
    </xf>
    <xf numFmtId="166" fontId="31" fillId="8" borderId="33" xfId="0" applyNumberFormat="1" applyFont="1" applyFill="1" applyBorder="1"/>
    <xf numFmtId="166" fontId="31" fillId="8" borderId="34" xfId="0" applyNumberFormat="1" applyFont="1" applyFill="1" applyBorder="1"/>
    <xf numFmtId="175" fontId="31" fillId="8" borderId="32" xfId="0" applyNumberFormat="1" applyFont="1" applyFill="1" applyBorder="1"/>
    <xf numFmtId="166" fontId="31" fillId="8" borderId="32" xfId="0" applyNumberFormat="1" applyFont="1" applyFill="1" applyBorder="1"/>
    <xf numFmtId="0" fontId="32" fillId="0" borderId="0" xfId="0" applyFont="1"/>
    <xf numFmtId="0" fontId="32" fillId="0" borderId="0" xfId="0" applyFont="1" applyAlignment="1">
      <alignment wrapText="1"/>
    </xf>
    <xf numFmtId="1" fontId="33" fillId="0" borderId="0" xfId="0" applyNumberFormat="1" applyFont="1" applyAlignment="1">
      <alignment horizontal="center" vertical="center"/>
    </xf>
    <xf numFmtId="169" fontId="11" fillId="0" borderId="0" xfId="0" applyNumberFormat="1" applyFont="1"/>
    <xf numFmtId="0" fontId="14" fillId="2" borderId="1" xfId="0" applyFont="1" applyFill="1" applyBorder="1" applyAlignment="1">
      <alignment horizontal="left"/>
    </xf>
    <xf numFmtId="0" fontId="15" fillId="2" borderId="1" xfId="0" applyFont="1" applyFill="1" applyBorder="1"/>
    <xf numFmtId="0" fontId="16" fillId="3" borderId="5" xfId="0" applyFont="1" applyFill="1" applyBorder="1" applyAlignment="1">
      <alignment horizontal="left"/>
    </xf>
    <xf numFmtId="0" fontId="16" fillId="3" borderId="6" xfId="0" applyFont="1" applyFill="1" applyBorder="1" applyAlignment="1">
      <alignment horizontal="left"/>
    </xf>
    <xf numFmtId="0" fontId="16" fillId="3" borderId="5" xfId="0" applyFont="1" applyFill="1" applyBorder="1" applyAlignment="1">
      <alignment horizontal="center" wrapText="1"/>
    </xf>
    <xf numFmtId="0" fontId="17" fillId="4" borderId="7" xfId="0" applyFont="1" applyFill="1" applyBorder="1" applyAlignment="1">
      <alignment horizontal="left" wrapText="1"/>
    </xf>
    <xf numFmtId="0" fontId="17" fillId="4" borderId="7" xfId="0" applyFont="1" applyFill="1" applyBorder="1" applyAlignment="1">
      <alignment horizontal="center" vertical="center" wrapText="1"/>
    </xf>
    <xf numFmtId="0" fontId="17" fillId="4" borderId="7" xfId="0" applyFont="1" applyFill="1" applyBorder="1" applyAlignment="1">
      <alignment horizontal="center" wrapText="1"/>
    </xf>
    <xf numFmtId="0" fontId="11" fillId="0" borderId="0" xfId="0" applyFont="1" applyAlignment="1">
      <alignment horizontal="center" vertical="center"/>
    </xf>
    <xf numFmtId="170" fontId="11" fillId="0" borderId="0" xfId="0" applyNumberFormat="1" applyFont="1"/>
    <xf numFmtId="0" fontId="11" fillId="5" borderId="1" xfId="0" applyFont="1" applyFill="1" applyBorder="1"/>
    <xf numFmtId="0" fontId="11" fillId="9" borderId="1" xfId="0" applyFont="1" applyFill="1" applyBorder="1"/>
    <xf numFmtId="9" fontId="11" fillId="9" borderId="1" xfId="0" applyNumberFormat="1" applyFont="1" applyFill="1" applyBorder="1"/>
    <xf numFmtId="0" fontId="34" fillId="10" borderId="1" xfId="0" applyFont="1" applyFill="1" applyBorder="1" applyAlignment="1">
      <alignment horizontal="center" vertical="center"/>
    </xf>
    <xf numFmtId="2" fontId="11" fillId="10" borderId="1" xfId="0" applyNumberFormat="1" applyFont="1" applyFill="1" applyBorder="1"/>
    <xf numFmtId="0" fontId="34" fillId="0" borderId="0" xfId="0" applyFont="1" applyAlignment="1">
      <alignment horizontal="center" vertical="center"/>
    </xf>
    <xf numFmtId="2" fontId="11" fillId="0" borderId="0" xfId="0" applyNumberFormat="1" applyFont="1"/>
    <xf numFmtId="170" fontId="11" fillId="9" borderId="1" xfId="0" applyNumberFormat="1" applyFont="1" applyFill="1" applyBorder="1"/>
    <xf numFmtId="169" fontId="11" fillId="9" borderId="1" xfId="0" applyNumberFormat="1" applyFont="1" applyFill="1" applyBorder="1"/>
    <xf numFmtId="167" fontId="11" fillId="9" borderId="1" xfId="0" applyNumberFormat="1" applyFont="1" applyFill="1" applyBorder="1"/>
    <xf numFmtId="169" fontId="11" fillId="10" borderId="1" xfId="0" applyNumberFormat="1" applyFont="1" applyFill="1" applyBorder="1"/>
    <xf numFmtId="0" fontId="34" fillId="0" borderId="0" xfId="0" applyFont="1" applyAlignment="1">
      <alignment horizontal="center"/>
    </xf>
    <xf numFmtId="9" fontId="11" fillId="0" borderId="0" xfId="0" applyNumberFormat="1" applyFont="1"/>
    <xf numFmtId="0" fontId="11" fillId="11" borderId="41" xfId="0" applyFont="1" applyFill="1" applyBorder="1" applyAlignment="1">
      <alignment horizontal="center" vertical="center"/>
    </xf>
    <xf numFmtId="0" fontId="11" fillId="0" borderId="42" xfId="0" applyFont="1" applyBorder="1" applyAlignment="1">
      <alignment horizontal="center" vertical="center"/>
    </xf>
    <xf numFmtId="1" fontId="11" fillId="0" borderId="0" xfId="0" applyNumberFormat="1" applyFont="1"/>
    <xf numFmtId="176" fontId="11" fillId="11" borderId="41" xfId="0" applyNumberFormat="1" applyFont="1" applyFill="1" applyBorder="1" applyAlignment="1">
      <alignment horizontal="center" vertical="center"/>
    </xf>
    <xf numFmtId="0" fontId="19" fillId="2" borderId="1" xfId="0" applyFont="1" applyFill="1" applyBorder="1"/>
    <xf numFmtId="0" fontId="35" fillId="2" borderId="1" xfId="0" applyFont="1" applyFill="1" applyBorder="1"/>
    <xf numFmtId="0" fontId="35" fillId="0" borderId="0" xfId="0" applyFont="1"/>
    <xf numFmtId="164" fontId="35" fillId="0" borderId="0" xfId="0" applyNumberFormat="1" applyFont="1"/>
    <xf numFmtId="0" fontId="22" fillId="3" borderId="5" xfId="0" applyFont="1" applyFill="1" applyBorder="1" applyAlignment="1">
      <alignment vertical="center"/>
    </xf>
    <xf numFmtId="0" fontId="22" fillId="3" borderId="6" xfId="0" applyFont="1" applyFill="1" applyBorder="1" applyAlignment="1">
      <alignment horizontal="left"/>
    </xf>
    <xf numFmtId="0" fontId="22" fillId="3" borderId="6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164" fontId="22" fillId="3" borderId="6" xfId="0" applyNumberFormat="1" applyFont="1" applyFill="1" applyBorder="1" applyAlignment="1">
      <alignment horizontal="left"/>
    </xf>
    <xf numFmtId="0" fontId="19" fillId="4" borderId="5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0" fontId="19" fillId="4" borderId="6" xfId="0" applyFont="1" applyFill="1" applyBorder="1" applyAlignment="1">
      <alignment horizontal="left" wrapText="1"/>
    </xf>
    <xf numFmtId="0" fontId="19" fillId="2" borderId="1" xfId="0" applyFont="1" applyFill="1" applyBorder="1" applyAlignment="1">
      <alignment horizontal="center" wrapText="1"/>
    </xf>
    <xf numFmtId="169" fontId="19" fillId="0" borderId="0" xfId="0" applyNumberFormat="1" applyFont="1"/>
    <xf numFmtId="0" fontId="19" fillId="0" borderId="0" xfId="0" applyFont="1" applyAlignment="1">
      <alignment horizontal="center" vertical="center"/>
    </xf>
    <xf numFmtId="169" fontId="19" fillId="2" borderId="1" xfId="0" applyNumberFormat="1" applyFont="1" applyFill="1" applyBorder="1"/>
    <xf numFmtId="0" fontId="15" fillId="2" borderId="1" xfId="0" applyFont="1" applyFill="1" applyBorder="1" applyAlignment="1">
      <alignment vertical="center" wrapText="1"/>
    </xf>
    <xf numFmtId="169" fontId="15" fillId="2" borderId="1" xfId="0" applyNumberFormat="1" applyFont="1" applyFill="1" applyBorder="1" applyAlignment="1">
      <alignment wrapText="1"/>
    </xf>
    <xf numFmtId="164" fontId="19" fillId="0" borderId="0" xfId="0" applyNumberFormat="1" applyFont="1" applyAlignment="1">
      <alignment wrapText="1"/>
    </xf>
    <xf numFmtId="0" fontId="19" fillId="0" borderId="0" xfId="0" applyFont="1" applyAlignment="1">
      <alignment wrapText="1"/>
    </xf>
    <xf numFmtId="9" fontId="19" fillId="0" borderId="0" xfId="0" applyNumberFormat="1" applyFont="1" applyAlignment="1">
      <alignment horizontal="center" vertical="center" wrapText="1"/>
    </xf>
    <xf numFmtId="9" fontId="19" fillId="0" borderId="0" xfId="0" applyNumberFormat="1" applyFont="1" applyAlignment="1">
      <alignment wrapText="1"/>
    </xf>
    <xf numFmtId="164" fontId="19" fillId="2" borderId="1" xfId="0" applyNumberFormat="1" applyFont="1" applyFill="1" applyBorder="1" applyAlignment="1">
      <alignment horizontal="left" wrapText="1"/>
    </xf>
    <xf numFmtId="164" fontId="19" fillId="0" borderId="0" xfId="0" applyNumberFormat="1" applyFont="1"/>
    <xf numFmtId="9" fontId="19" fillId="0" borderId="0" xfId="0" applyNumberFormat="1" applyFont="1" applyAlignment="1">
      <alignment horizontal="center" vertical="center"/>
    </xf>
    <xf numFmtId="9" fontId="19" fillId="0" borderId="0" xfId="0" applyNumberFormat="1" applyFont="1"/>
    <xf numFmtId="0" fontId="11" fillId="11" borderId="1" xfId="0" applyFont="1" applyFill="1" applyBorder="1"/>
    <xf numFmtId="0" fontId="12" fillId="11" borderId="1" xfId="0" applyFont="1" applyFill="1" applyBorder="1" applyAlignment="1">
      <alignment horizontal="center"/>
    </xf>
    <xf numFmtId="0" fontId="11" fillId="11" borderId="1" xfId="0" applyFont="1" applyFill="1" applyBorder="1" applyAlignment="1">
      <alignment horizontal="center"/>
    </xf>
    <xf numFmtId="0" fontId="11" fillId="11" borderId="1" xfId="0" applyFont="1" applyFill="1" applyBorder="1" applyAlignment="1">
      <alignment horizontal="center" vertical="center"/>
    </xf>
    <xf numFmtId="9" fontId="11" fillId="11" borderId="1" xfId="0" applyNumberFormat="1" applyFont="1" applyFill="1" applyBorder="1"/>
    <xf numFmtId="10" fontId="11" fillId="0" borderId="0" xfId="0" applyNumberFormat="1" applyFont="1"/>
    <xf numFmtId="177" fontId="11" fillId="0" borderId="0" xfId="0" applyNumberFormat="1" applyFont="1"/>
    <xf numFmtId="0" fontId="14" fillId="0" borderId="0" xfId="0" applyFont="1"/>
    <xf numFmtId="0" fontId="15" fillId="0" borderId="0" xfId="0" applyFont="1"/>
    <xf numFmtId="0" fontId="16" fillId="3" borderId="6" xfId="0" applyFont="1" applyFill="1" applyBorder="1" applyAlignment="1">
      <alignment vertical="center"/>
    </xf>
    <xf numFmtId="0" fontId="16" fillId="3" borderId="6" xfId="0" applyFont="1" applyFill="1" applyBorder="1" applyAlignment="1">
      <alignment horizontal="center" vertical="center"/>
    </xf>
    <xf numFmtId="169" fontId="15" fillId="2" borderId="1" xfId="0" applyNumberFormat="1" applyFont="1" applyFill="1" applyBorder="1" applyAlignment="1">
      <alignment horizontal="center"/>
    </xf>
    <xf numFmtId="169" fontId="11" fillId="2" borderId="1" xfId="0" applyNumberFormat="1" applyFont="1" applyFill="1" applyBorder="1" applyAlignment="1">
      <alignment horizontal="center"/>
    </xf>
    <xf numFmtId="169" fontId="11" fillId="0" borderId="0" xfId="0" applyNumberFormat="1" applyFont="1" applyAlignment="1">
      <alignment horizontal="center"/>
    </xf>
    <xf numFmtId="169" fontId="18" fillId="0" borderId="0" xfId="0" applyNumberFormat="1" applyFont="1"/>
    <xf numFmtId="0" fontId="22" fillId="0" borderId="11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36" fillId="2" borderId="1" xfId="0" applyFont="1" applyFill="1" applyBorder="1"/>
    <xf numFmtId="0" fontId="36" fillId="0" borderId="0" xfId="0" applyFont="1"/>
    <xf numFmtId="178" fontId="11" fillId="0" borderId="0" xfId="0" applyNumberFormat="1" applyFont="1"/>
    <xf numFmtId="0" fontId="11" fillId="12" borderId="1" xfId="0" applyFont="1" applyFill="1" applyBorder="1"/>
    <xf numFmtId="0" fontId="37" fillId="0" borderId="0" xfId="0" applyFont="1"/>
    <xf numFmtId="0" fontId="14" fillId="0" borderId="0" xfId="0" applyFont="1" applyAlignment="1">
      <alignment horizontal="left"/>
    </xf>
    <xf numFmtId="0" fontId="16" fillId="3" borderId="7" xfId="0" applyFont="1" applyFill="1" applyBorder="1" applyAlignment="1">
      <alignment horizontal="left" vertical="center"/>
    </xf>
    <xf numFmtId="0" fontId="16" fillId="3" borderId="7" xfId="0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169" fontId="11" fillId="0" borderId="0" xfId="0" applyNumberFormat="1" applyFont="1" applyAlignment="1">
      <alignment horizontal="center" vertical="center"/>
    </xf>
    <xf numFmtId="0" fontId="38" fillId="0" borderId="0" xfId="0" applyFont="1"/>
    <xf numFmtId="0" fontId="39" fillId="0" borderId="0" xfId="0" applyFont="1"/>
    <xf numFmtId="0" fontId="32" fillId="0" borderId="0" xfId="0" applyFont="1" applyAlignment="1">
      <alignment horizontal="center" vertical="center"/>
    </xf>
    <xf numFmtId="166" fontId="32" fillId="0" borderId="0" xfId="0" applyNumberFormat="1" applyFont="1" applyAlignment="1">
      <alignment horizontal="center" vertical="center"/>
    </xf>
    <xf numFmtId="9" fontId="11" fillId="0" borderId="0" xfId="0" applyNumberFormat="1" applyFont="1" applyAlignment="1">
      <alignment horizontal="center" vertical="center"/>
    </xf>
    <xf numFmtId="166" fontId="11" fillId="0" borderId="0" xfId="0" applyNumberFormat="1" applyFont="1"/>
    <xf numFmtId="166" fontId="11" fillId="0" borderId="0" xfId="0" applyNumberFormat="1" applyFont="1" applyAlignment="1">
      <alignment horizontal="center" vertical="center"/>
    </xf>
    <xf numFmtId="9" fontId="11" fillId="0" borderId="0" xfId="0" applyNumberFormat="1" applyFont="1" applyAlignment="1">
      <alignment horizontal="center"/>
    </xf>
    <xf numFmtId="174" fontId="11" fillId="0" borderId="0" xfId="0" applyNumberFormat="1" applyFont="1"/>
    <xf numFmtId="0" fontId="23" fillId="0" borderId="0" xfId="0" applyFont="1" applyAlignment="1">
      <alignment horizontal="center" vertical="center"/>
    </xf>
    <xf numFmtId="166" fontId="11" fillId="0" borderId="0" xfId="0" applyNumberFormat="1" applyFont="1" applyAlignment="1">
      <alignment horizontal="center"/>
    </xf>
    <xf numFmtId="171" fontId="11" fillId="0" borderId="0" xfId="0" applyNumberFormat="1" applyFont="1"/>
    <xf numFmtId="0" fontId="23" fillId="10" borderId="43" xfId="0" applyFont="1" applyFill="1" applyBorder="1"/>
    <xf numFmtId="0" fontId="12" fillId="10" borderId="5" xfId="0" applyFont="1" applyFill="1" applyBorder="1"/>
    <xf numFmtId="0" fontId="11" fillId="10" borderId="5" xfId="0" applyFont="1" applyFill="1" applyBorder="1"/>
    <xf numFmtId="0" fontId="11" fillId="10" borderId="44" xfId="0" applyFont="1" applyFill="1" applyBorder="1"/>
    <xf numFmtId="0" fontId="23" fillId="0" borderId="21" xfId="0" applyFont="1" applyBorder="1"/>
    <xf numFmtId="0" fontId="11" fillId="0" borderId="12" xfId="0" applyFont="1" applyBorder="1"/>
    <xf numFmtId="0" fontId="11" fillId="10" borderId="1" xfId="0" applyFont="1" applyFill="1" applyBorder="1"/>
    <xf numFmtId="9" fontId="11" fillId="10" borderId="1" xfId="0" applyNumberFormat="1" applyFont="1" applyFill="1" applyBorder="1"/>
    <xf numFmtId="0" fontId="23" fillId="10" borderId="45" xfId="0" applyFont="1" applyFill="1" applyBorder="1"/>
    <xf numFmtId="9" fontId="11" fillId="2" borderId="1" xfId="0" applyNumberFormat="1" applyFont="1" applyFill="1" applyBorder="1"/>
    <xf numFmtId="0" fontId="23" fillId="0" borderId="23" xfId="0" applyFont="1" applyBorder="1"/>
    <xf numFmtId="10" fontId="11" fillId="0" borderId="18" xfId="0" applyNumberFormat="1" applyFont="1" applyBorder="1"/>
    <xf numFmtId="0" fontId="11" fillId="0" borderId="19" xfId="0" applyFont="1" applyBorder="1"/>
    <xf numFmtId="10" fontId="11" fillId="0" borderId="0" xfId="0" applyNumberFormat="1" applyFont="1" applyAlignment="1">
      <alignment horizontal="center" vertical="center"/>
    </xf>
    <xf numFmtId="10" fontId="11" fillId="0" borderId="0" xfId="0" applyNumberFormat="1" applyFont="1" applyAlignment="1">
      <alignment horizontal="center"/>
    </xf>
    <xf numFmtId="2" fontId="11" fillId="0" borderId="15" xfId="0" applyNumberFormat="1" applyFont="1" applyBorder="1"/>
    <xf numFmtId="2" fontId="11" fillId="0" borderId="16" xfId="0" applyNumberFormat="1" applyFont="1" applyBorder="1"/>
    <xf numFmtId="2" fontId="11" fillId="0" borderId="12" xfId="0" applyNumberFormat="1" applyFont="1" applyBorder="1"/>
    <xf numFmtId="2" fontId="11" fillId="0" borderId="18" xfId="0" applyNumberFormat="1" applyFont="1" applyBorder="1"/>
    <xf numFmtId="2" fontId="11" fillId="0" borderId="19" xfId="0" applyNumberFormat="1" applyFont="1" applyBorder="1"/>
    <xf numFmtId="0" fontId="11" fillId="2" borderId="45" xfId="0" applyFont="1" applyFill="1" applyBorder="1" applyAlignment="1">
      <alignment horizontal="center" vertical="center"/>
    </xf>
    <xf numFmtId="0" fontId="11" fillId="2" borderId="46" xfId="0" applyFont="1" applyFill="1" applyBorder="1" applyAlignment="1">
      <alignment horizontal="center" vertical="center"/>
    </xf>
    <xf numFmtId="9" fontId="11" fillId="2" borderId="1" xfId="0" applyNumberFormat="1" applyFont="1" applyFill="1" applyBorder="1" applyAlignment="1">
      <alignment horizontal="center" vertical="center"/>
    </xf>
    <xf numFmtId="9" fontId="11" fillId="2" borderId="46" xfId="0" applyNumberFormat="1" applyFont="1" applyFill="1" applyBorder="1" applyAlignment="1">
      <alignment horizontal="center" vertical="center"/>
    </xf>
    <xf numFmtId="0" fontId="11" fillId="2" borderId="48" xfId="0" applyFont="1" applyFill="1" applyBorder="1" applyAlignment="1">
      <alignment horizontal="center" vertical="center"/>
    </xf>
    <xf numFmtId="0" fontId="11" fillId="2" borderId="50" xfId="0" applyFont="1" applyFill="1" applyBorder="1" applyAlignment="1">
      <alignment horizontal="center" vertical="center"/>
    </xf>
    <xf numFmtId="0" fontId="12" fillId="0" borderId="0" xfId="0" applyFont="1" applyAlignment="1">
      <alignment horizontal="right"/>
    </xf>
    <xf numFmtId="164" fontId="40" fillId="0" borderId="0" xfId="0" applyNumberFormat="1" applyFont="1"/>
    <xf numFmtId="0" fontId="11" fillId="0" borderId="0" xfId="0" applyFont="1"/>
    <xf numFmtId="0" fontId="40" fillId="0" borderId="0" xfId="0" applyFont="1"/>
    <xf numFmtId="0" fontId="11" fillId="0" borderId="0" xfId="0" applyFont="1" applyAlignment="1">
      <alignment horizontal="right"/>
    </xf>
    <xf numFmtId="164" fontId="12" fillId="3" borderId="51" xfId="0" applyNumberFormat="1" applyFont="1" applyFill="1" applyBorder="1" applyAlignment="1">
      <alignment horizontal="left"/>
    </xf>
    <xf numFmtId="164" fontId="12" fillId="3" borderId="6" xfId="0" applyNumberFormat="1" applyFont="1" applyFill="1" applyBorder="1" applyAlignment="1">
      <alignment horizontal="left"/>
    </xf>
    <xf numFmtId="164" fontId="12" fillId="3" borderId="52" xfId="0" applyNumberFormat="1" applyFont="1" applyFill="1" applyBorder="1" applyAlignment="1">
      <alignment horizontal="left"/>
    </xf>
    <xf numFmtId="0" fontId="16" fillId="10" borderId="51" xfId="0" applyFont="1" applyFill="1" applyBorder="1" applyAlignment="1">
      <alignment horizontal="center" vertical="center"/>
    </xf>
    <xf numFmtId="0" fontId="16" fillId="3" borderId="52" xfId="0" applyFont="1" applyFill="1" applyBorder="1" applyAlignment="1">
      <alignment horizontal="center" vertical="center"/>
    </xf>
    <xf numFmtId="0" fontId="40" fillId="2" borderId="1" xfId="0" applyFont="1" applyFill="1" applyBorder="1" applyAlignment="1">
      <alignment horizontal="center" vertical="center"/>
    </xf>
    <xf numFmtId="0" fontId="16" fillId="13" borderId="6" xfId="0" applyFont="1" applyFill="1" applyBorder="1" applyAlignment="1">
      <alignment horizontal="center" vertical="center"/>
    </xf>
    <xf numFmtId="0" fontId="11" fillId="0" borderId="0" xfId="0" applyFont="1" applyAlignment="1">
      <alignment horizontal="left" vertical="center"/>
    </xf>
    <xf numFmtId="164" fontId="15" fillId="2" borderId="1" xfId="0" applyNumberFormat="1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2" fontId="15" fillId="9" borderId="1" xfId="0" applyNumberFormat="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 wrapText="1"/>
    </xf>
    <xf numFmtId="179" fontId="11" fillId="0" borderId="0" xfId="0" applyNumberFormat="1" applyFont="1"/>
    <xf numFmtId="0" fontId="11" fillId="2" borderId="1" xfId="0" applyFont="1" applyFill="1" applyBorder="1" applyAlignment="1">
      <alignment horizontal="left"/>
    </xf>
    <xf numFmtId="0" fontId="12" fillId="0" borderId="18" xfId="0" applyFont="1" applyBorder="1" applyAlignment="1">
      <alignment horizontal="center"/>
    </xf>
    <xf numFmtId="2" fontId="41" fillId="0" borderId="0" xfId="0" applyNumberFormat="1" applyFont="1"/>
    <xf numFmtId="0" fontId="41" fillId="0" borderId="0" xfId="0" applyFont="1"/>
    <xf numFmtId="164" fontId="40" fillId="2" borderId="1" xfId="0" applyNumberFormat="1" applyFont="1" applyFill="1" applyBorder="1"/>
    <xf numFmtId="164" fontId="11" fillId="2" borderId="1" xfId="0" applyNumberFormat="1" applyFont="1" applyFill="1" applyBorder="1"/>
    <xf numFmtId="164" fontId="11" fillId="2" borderId="1" xfId="0" applyNumberFormat="1" applyFont="1" applyFill="1" applyBorder="1" applyAlignment="1">
      <alignment horizontal="left" wrapText="1"/>
    </xf>
    <xf numFmtId="0" fontId="11" fillId="14" borderId="1" xfId="0" applyFont="1" applyFill="1" applyBorder="1" applyAlignment="1">
      <alignment horizontal="right"/>
    </xf>
    <xf numFmtId="170" fontId="11" fillId="14" borderId="1" xfId="0" applyNumberFormat="1" applyFont="1" applyFill="1" applyBorder="1"/>
    <xf numFmtId="0" fontId="11" fillId="14" borderId="1" xfId="0" applyFont="1" applyFill="1" applyBorder="1"/>
    <xf numFmtId="0" fontId="12" fillId="10" borderId="51" xfId="0" applyFont="1" applyFill="1" applyBorder="1" applyAlignment="1">
      <alignment horizontal="center" vertical="center"/>
    </xf>
    <xf numFmtId="0" fontId="12" fillId="10" borderId="6" xfId="0" applyFont="1" applyFill="1" applyBorder="1" applyAlignment="1">
      <alignment horizontal="center" vertical="center"/>
    </xf>
    <xf numFmtId="0" fontId="12" fillId="10" borderId="52" xfId="0" applyFont="1" applyFill="1" applyBorder="1" applyAlignment="1">
      <alignment horizontal="center" vertical="center"/>
    </xf>
    <xf numFmtId="164" fontId="11" fillId="2" borderId="1" xfId="0" applyNumberFormat="1" applyFont="1" applyFill="1" applyBorder="1" applyAlignment="1">
      <alignment horizontal="center" vertical="center"/>
    </xf>
    <xf numFmtId="0" fontId="11" fillId="15" borderId="1" xfId="0" applyFont="1" applyFill="1" applyBorder="1"/>
    <xf numFmtId="0" fontId="11" fillId="16" borderId="1" xfId="0" applyFont="1" applyFill="1" applyBorder="1"/>
    <xf numFmtId="0" fontId="12" fillId="12" borderId="6" xfId="0" applyFont="1" applyFill="1" applyBorder="1" applyAlignment="1">
      <alignment horizontal="center" vertical="center"/>
    </xf>
    <xf numFmtId="10" fontId="42" fillId="0" borderId="0" xfId="0" applyNumberFormat="1" applyFont="1"/>
    <xf numFmtId="2" fontId="11" fillId="0" borderId="0" xfId="0" applyNumberFormat="1" applyFont="1" applyAlignment="1">
      <alignment horizontal="right"/>
    </xf>
    <xf numFmtId="9" fontId="11" fillId="0" borderId="12" xfId="0" applyNumberFormat="1" applyFont="1" applyBorder="1"/>
    <xf numFmtId="0" fontId="12" fillId="0" borderId="18" xfId="0" applyFont="1" applyBorder="1" applyAlignment="1">
      <alignment horizontal="right"/>
    </xf>
    <xf numFmtId="2" fontId="11" fillId="0" borderId="0" xfId="0" applyNumberFormat="1" applyFont="1" applyAlignment="1">
      <alignment horizontal="center"/>
    </xf>
    <xf numFmtId="9" fontId="11" fillId="0" borderId="0" xfId="0" applyNumberFormat="1" applyFont="1" applyAlignment="1">
      <alignment horizontal="right"/>
    </xf>
    <xf numFmtId="9" fontId="42" fillId="0" borderId="0" xfId="0" applyNumberFormat="1" applyFont="1" applyAlignment="1">
      <alignment horizontal="center"/>
    </xf>
    <xf numFmtId="9" fontId="42" fillId="0" borderId="0" xfId="0" applyNumberFormat="1" applyFont="1"/>
    <xf numFmtId="9" fontId="11" fillId="2" borderId="53" xfId="0" applyNumberFormat="1" applyFont="1" applyFill="1" applyBorder="1"/>
    <xf numFmtId="2" fontId="11" fillId="2" borderId="1" xfId="0" applyNumberFormat="1" applyFont="1" applyFill="1" applyBorder="1"/>
    <xf numFmtId="0" fontId="16" fillId="10" borderId="6" xfId="0" applyFont="1" applyFill="1" applyBorder="1" applyAlignment="1">
      <alignment horizontal="center" vertical="center"/>
    </xf>
    <xf numFmtId="0" fontId="16" fillId="10" borderId="52" xfId="0" applyFont="1" applyFill="1" applyBorder="1" applyAlignment="1">
      <alignment horizontal="center" vertical="center"/>
    </xf>
    <xf numFmtId="0" fontId="16" fillId="10" borderId="1" xfId="0" applyFont="1" applyFill="1" applyBorder="1" applyAlignment="1">
      <alignment horizontal="center" vertical="center"/>
    </xf>
    <xf numFmtId="10" fontId="43" fillId="0" borderId="0" xfId="0" applyNumberFormat="1" applyFont="1"/>
    <xf numFmtId="0" fontId="11" fillId="5" borderId="1" xfId="0" applyFont="1" applyFill="1" applyBorder="1" applyAlignment="1">
      <alignment horizontal="right"/>
    </xf>
    <xf numFmtId="9" fontId="11" fillId="5" borderId="1" xfId="0" applyNumberFormat="1" applyFont="1" applyFill="1" applyBorder="1"/>
    <xf numFmtId="9" fontId="11" fillId="14" borderId="1" xfId="0" applyNumberFormat="1" applyFont="1" applyFill="1" applyBorder="1"/>
    <xf numFmtId="0" fontId="34" fillId="0" borderId="0" xfId="0" applyFont="1" applyAlignment="1">
      <alignment horizontal="right"/>
    </xf>
    <xf numFmtId="0" fontId="34" fillId="0" borderId="0" xfId="0" applyFont="1"/>
    <xf numFmtId="171" fontId="11" fillId="2" borderId="1" xfId="0" applyNumberFormat="1" applyFont="1" applyFill="1" applyBorder="1"/>
    <xf numFmtId="0" fontId="40" fillId="0" borderId="0" xfId="0" applyFont="1" applyAlignment="1">
      <alignment horizontal="center" vertical="center"/>
    </xf>
    <xf numFmtId="0" fontId="12" fillId="10" borderId="52" xfId="0" applyFont="1" applyFill="1" applyBorder="1" applyAlignment="1">
      <alignment horizontal="center" vertical="center" wrapText="1"/>
    </xf>
    <xf numFmtId="174" fontId="11" fillId="2" borderId="1" xfId="0" applyNumberFormat="1" applyFont="1" applyFill="1" applyBorder="1"/>
    <xf numFmtId="164" fontId="11" fillId="2" borderId="1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" fontId="11" fillId="2" borderId="1" xfId="0" applyNumberFormat="1" applyFont="1" applyFill="1" applyBorder="1" applyAlignment="1">
      <alignment horizontal="center" vertical="center"/>
    </xf>
    <xf numFmtId="180" fontId="11" fillId="2" borderId="1" xfId="0" applyNumberFormat="1" applyFont="1" applyFill="1" applyBorder="1"/>
    <xf numFmtId="164" fontId="11" fillId="0" borderId="0" xfId="0" applyNumberFormat="1" applyFont="1" applyAlignment="1">
      <alignment horizontal="center" vertical="center"/>
    </xf>
    <xf numFmtId="0" fontId="11" fillId="2" borderId="1" xfId="0" applyFont="1" applyFill="1" applyBorder="1" applyAlignment="1">
      <alignment horizontal="center" vertical="center" wrapText="1"/>
    </xf>
    <xf numFmtId="2" fontId="11" fillId="2" borderId="1" xfId="0" applyNumberFormat="1" applyFont="1" applyFill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1" fillId="0" borderId="0" xfId="0" applyFont="1" applyAlignment="1">
      <alignment horizontal="right" vertical="center"/>
    </xf>
    <xf numFmtId="170" fontId="11" fillId="0" borderId="0" xfId="0" applyNumberFormat="1" applyFont="1" applyAlignment="1">
      <alignment horizontal="center" vertical="center"/>
    </xf>
    <xf numFmtId="167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horizontal="center"/>
    </xf>
    <xf numFmtId="0" fontId="40" fillId="2" borderId="1" xfId="0" applyFont="1" applyFill="1" applyBorder="1" applyAlignment="1">
      <alignment horizontal="left"/>
    </xf>
    <xf numFmtId="0" fontId="12" fillId="10" borderId="6" xfId="0" applyFont="1" applyFill="1" applyBorder="1" applyAlignment="1">
      <alignment horizontal="center" vertical="center" wrapText="1"/>
    </xf>
    <xf numFmtId="1" fontId="11" fillId="5" borderId="1" xfId="0" applyNumberFormat="1" applyFont="1" applyFill="1" applyBorder="1" applyAlignment="1">
      <alignment horizontal="center" vertical="center"/>
    </xf>
    <xf numFmtId="9" fontId="11" fillId="2" borderId="1" xfId="0" applyNumberFormat="1" applyFont="1" applyFill="1" applyBorder="1" applyAlignment="1">
      <alignment horizontal="center"/>
    </xf>
    <xf numFmtId="170" fontId="11" fillId="2" borderId="1" xfId="0" applyNumberFormat="1" applyFont="1" applyFill="1" applyBorder="1"/>
    <xf numFmtId="1" fontId="11" fillId="0" borderId="0" xfId="0" applyNumberFormat="1" applyFont="1" applyAlignment="1">
      <alignment horizontal="center"/>
    </xf>
    <xf numFmtId="2" fontId="11" fillId="14" borderId="1" xfId="0" applyNumberFormat="1" applyFont="1" applyFill="1" applyBorder="1"/>
    <xf numFmtId="170" fontId="11" fillId="2" borderId="1" xfId="0" applyNumberFormat="1" applyFont="1" applyFill="1" applyBorder="1" applyAlignment="1">
      <alignment horizontal="right"/>
    </xf>
    <xf numFmtId="0" fontId="16" fillId="10" borderId="6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2" fontId="15" fillId="5" borderId="1" xfId="0" applyNumberFormat="1" applyFont="1" applyFill="1" applyBorder="1" applyAlignment="1">
      <alignment horizontal="center" vertical="center"/>
    </xf>
    <xf numFmtId="169" fontId="11" fillId="2" borderId="1" xfId="0" applyNumberFormat="1" applyFont="1" applyFill="1" applyBorder="1"/>
    <xf numFmtId="0" fontId="15" fillId="2" borderId="51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/>
    </xf>
    <xf numFmtId="0" fontId="11" fillId="2" borderId="6" xfId="0" applyFont="1" applyFill="1" applyBorder="1"/>
    <xf numFmtId="10" fontId="15" fillId="5" borderId="52" xfId="0" applyNumberFormat="1" applyFont="1" applyFill="1" applyBorder="1" applyAlignment="1">
      <alignment horizontal="center" vertical="center"/>
    </xf>
    <xf numFmtId="10" fontId="15" fillId="2" borderId="1" xfId="0" applyNumberFormat="1" applyFont="1" applyFill="1" applyBorder="1" applyAlignment="1">
      <alignment horizontal="center" vertical="center"/>
    </xf>
    <xf numFmtId="9" fontId="15" fillId="2" borderId="1" xfId="0" applyNumberFormat="1" applyFont="1" applyFill="1" applyBorder="1"/>
    <xf numFmtId="2" fontId="15" fillId="2" borderId="1" xfId="0" applyNumberFormat="1" applyFont="1" applyFill="1" applyBorder="1" applyAlignment="1">
      <alignment horizontal="center" vertical="center"/>
    </xf>
    <xf numFmtId="167" fontId="11" fillId="2" borderId="1" xfId="0" applyNumberFormat="1" applyFont="1" applyFill="1" applyBorder="1"/>
    <xf numFmtId="164" fontId="11" fillId="2" borderId="1" xfId="0" applyNumberFormat="1" applyFont="1" applyFill="1" applyBorder="1" applyAlignment="1">
      <alignment horizontal="center"/>
    </xf>
    <xf numFmtId="1" fontId="11" fillId="2" borderId="1" xfId="0" applyNumberFormat="1" applyFont="1" applyFill="1" applyBorder="1"/>
    <xf numFmtId="164" fontId="15" fillId="14" borderId="1" xfId="0" applyNumberFormat="1" applyFont="1" applyFill="1" applyBorder="1" applyAlignment="1">
      <alignment horizontal="center"/>
    </xf>
    <xf numFmtId="181" fontId="11" fillId="0" borderId="0" xfId="0" applyNumberFormat="1" applyFont="1"/>
    <xf numFmtId="1" fontId="11" fillId="0" borderId="0" xfId="0" applyNumberFormat="1" applyFont="1" applyAlignment="1">
      <alignment horizontal="center" vertical="center"/>
    </xf>
    <xf numFmtId="9" fontId="11" fillId="0" borderId="11" xfId="0" applyNumberFormat="1" applyFont="1" applyBorder="1"/>
    <xf numFmtId="2" fontId="11" fillId="11" borderId="1" xfId="0" applyNumberFormat="1" applyFont="1" applyFill="1" applyBorder="1" applyAlignment="1">
      <alignment horizontal="center"/>
    </xf>
    <xf numFmtId="9" fontId="11" fillId="0" borderId="17" xfId="0" applyNumberFormat="1" applyFont="1" applyBorder="1" applyAlignment="1">
      <alignment horizontal="right"/>
    </xf>
    <xf numFmtId="0" fontId="12" fillId="2" borderId="1" xfId="0" applyFont="1" applyFill="1" applyBorder="1" applyAlignment="1">
      <alignment horizontal="center" vertical="center"/>
    </xf>
    <xf numFmtId="0" fontId="44" fillId="2" borderId="1" xfId="0" applyFont="1" applyFill="1" applyBorder="1" applyAlignment="1">
      <alignment horizontal="center"/>
    </xf>
    <xf numFmtId="0" fontId="37" fillId="2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19" fillId="2" borderId="5" xfId="0" applyFont="1" applyFill="1" applyBorder="1" applyAlignment="1">
      <alignment horizontal="center" vertical="center"/>
    </xf>
    <xf numFmtId="0" fontId="19" fillId="2" borderId="5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/>
    </xf>
    <xf numFmtId="169" fontId="19" fillId="5" borderId="5" xfId="0" applyNumberFormat="1" applyFont="1" applyFill="1" applyBorder="1" applyAlignment="1">
      <alignment horizontal="center" vertical="center" wrapText="1"/>
    </xf>
    <xf numFmtId="169" fontId="19" fillId="2" borderId="5" xfId="0" applyNumberFormat="1" applyFont="1" applyFill="1" applyBorder="1" applyAlignment="1">
      <alignment horizontal="center" vertical="center" wrapText="1"/>
    </xf>
    <xf numFmtId="1" fontId="19" fillId="5" borderId="5" xfId="0" applyNumberFormat="1" applyFont="1" applyFill="1" applyBorder="1" applyAlignment="1">
      <alignment horizontal="center" vertical="center" wrapText="1"/>
    </xf>
    <xf numFmtId="0" fontId="11" fillId="16" borderId="5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/>
    </xf>
    <xf numFmtId="0" fontId="11" fillId="4" borderId="5" xfId="0" applyFont="1" applyFill="1" applyBorder="1" applyAlignment="1">
      <alignment horizontal="center" vertical="center" wrapText="1"/>
    </xf>
    <xf numFmtId="0" fontId="19" fillId="4" borderId="5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69" fontId="19" fillId="4" borderId="5" xfId="0" applyNumberFormat="1" applyFont="1" applyFill="1" applyBorder="1" applyAlignment="1">
      <alignment horizontal="center" vertical="center" wrapText="1"/>
    </xf>
    <xf numFmtId="1" fontId="19" fillId="4" borderId="5" xfId="0" applyNumberFormat="1" applyFont="1" applyFill="1" applyBorder="1" applyAlignment="1">
      <alignment horizontal="center" vertical="center" wrapText="1"/>
    </xf>
    <xf numFmtId="0" fontId="11" fillId="4" borderId="1" xfId="0" applyFont="1" applyFill="1" applyBorder="1"/>
    <xf numFmtId="0" fontId="12" fillId="0" borderId="0" xfId="0" applyFont="1" applyAlignment="1">
      <alignment horizontal="center" vertical="center"/>
    </xf>
    <xf numFmtId="0" fontId="19" fillId="16" borderId="5" xfId="0" applyFont="1" applyFill="1" applyBorder="1" applyAlignment="1">
      <alignment horizontal="center" vertical="center"/>
    </xf>
    <xf numFmtId="166" fontId="11" fillId="16" borderId="1" xfId="0" applyNumberFormat="1" applyFont="1" applyFill="1" applyBorder="1"/>
    <xf numFmtId="9" fontId="11" fillId="16" borderId="1" xfId="0" applyNumberFormat="1" applyFont="1" applyFill="1" applyBorder="1"/>
    <xf numFmtId="169" fontId="11" fillId="2" borderId="1" xfId="0" applyNumberFormat="1" applyFont="1" applyFill="1" applyBorder="1" applyAlignment="1">
      <alignment vertical="center"/>
    </xf>
    <xf numFmtId="0" fontId="21" fillId="5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vertical="center"/>
    </xf>
    <xf numFmtId="0" fontId="11" fillId="9" borderId="53" xfId="0" applyFont="1" applyFill="1" applyBorder="1"/>
    <xf numFmtId="0" fontId="21" fillId="5" borderId="10" xfId="0" applyFont="1" applyFill="1" applyBorder="1" applyAlignment="1">
      <alignment vertical="center"/>
    </xf>
    <xf numFmtId="0" fontId="11" fillId="5" borderId="10" xfId="0" applyFont="1" applyFill="1" applyBorder="1"/>
    <xf numFmtId="0" fontId="37" fillId="2" borderId="1" xfId="0" applyFont="1" applyFill="1" applyBorder="1" applyAlignment="1">
      <alignment horizontal="center" vertical="center"/>
    </xf>
    <xf numFmtId="0" fontId="12" fillId="5" borderId="43" xfId="0" applyFont="1" applyFill="1" applyBorder="1" applyAlignment="1">
      <alignment horizontal="center" vertical="center"/>
    </xf>
    <xf numFmtId="0" fontId="12" fillId="5" borderId="5" xfId="0" applyFont="1" applyFill="1" applyBorder="1" applyAlignment="1">
      <alignment horizontal="center" vertical="center"/>
    </xf>
    <xf numFmtId="0" fontId="12" fillId="5" borderId="5" xfId="0" applyFont="1" applyFill="1" applyBorder="1"/>
    <xf numFmtId="0" fontId="12" fillId="5" borderId="44" xfId="0" applyFont="1" applyFill="1" applyBorder="1"/>
    <xf numFmtId="0" fontId="12" fillId="9" borderId="43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2" fillId="9" borderId="5" xfId="0" applyFont="1" applyFill="1" applyBorder="1"/>
    <xf numFmtId="0" fontId="12" fillId="9" borderId="1" xfId="0" applyFont="1" applyFill="1" applyBorder="1" applyAlignment="1">
      <alignment horizontal="center" vertical="center"/>
    </xf>
    <xf numFmtId="0" fontId="46" fillId="0" borderId="0" xfId="0" applyFont="1"/>
    <xf numFmtId="0" fontId="12" fillId="5" borderId="10" xfId="0" applyFont="1" applyFill="1" applyBorder="1" applyAlignment="1">
      <alignment horizontal="center" vertical="center"/>
    </xf>
    <xf numFmtId="0" fontId="12" fillId="5" borderId="10" xfId="0" applyFont="1" applyFill="1" applyBorder="1"/>
    <xf numFmtId="1" fontId="11" fillId="5" borderId="1" xfId="0" applyNumberFormat="1" applyFont="1" applyFill="1" applyBorder="1"/>
    <xf numFmtId="169" fontId="11" fillId="9" borderId="1" xfId="0" applyNumberFormat="1" applyFont="1" applyFill="1" applyBorder="1" applyAlignment="1">
      <alignment horizontal="center" vertical="center"/>
    </xf>
    <xf numFmtId="169" fontId="46" fillId="5" borderId="1" xfId="0" applyNumberFormat="1" applyFont="1" applyFill="1" applyBorder="1" applyAlignment="1">
      <alignment horizontal="center" vertical="center"/>
    </xf>
    <xf numFmtId="169" fontId="11" fillId="5" borderId="1" xfId="0" applyNumberFormat="1" applyFont="1" applyFill="1" applyBorder="1" applyAlignment="1">
      <alignment horizontal="center" vertical="center"/>
    </xf>
    <xf numFmtId="0" fontId="47" fillId="2" borderId="20" xfId="0" applyFont="1" applyFill="1" applyBorder="1" applyAlignment="1">
      <alignment horizontal="center" vertical="center" wrapText="1"/>
    </xf>
    <xf numFmtId="166" fontId="11" fillId="0" borderId="24" xfId="0" applyNumberFormat="1" applyFont="1" applyBorder="1"/>
    <xf numFmtId="166" fontId="11" fillId="0" borderId="15" xfId="0" applyNumberFormat="1" applyFont="1" applyBorder="1"/>
    <xf numFmtId="166" fontId="11" fillId="0" borderId="16" xfId="0" applyNumberFormat="1" applyFont="1" applyBorder="1"/>
    <xf numFmtId="0" fontId="47" fillId="0" borderId="11" xfId="0" applyFont="1" applyBorder="1" applyAlignment="1">
      <alignment horizontal="center"/>
    </xf>
    <xf numFmtId="166" fontId="11" fillId="0" borderId="21" xfId="0" applyNumberFormat="1" applyFont="1" applyBorder="1"/>
    <xf numFmtId="166" fontId="11" fillId="0" borderId="12" xfId="0" applyNumberFormat="1" applyFont="1" applyBorder="1"/>
    <xf numFmtId="0" fontId="11" fillId="0" borderId="11" xfId="0" applyFont="1" applyBorder="1" applyAlignment="1">
      <alignment horizontal="center"/>
    </xf>
    <xf numFmtId="0" fontId="47" fillId="0" borderId="17" xfId="0" applyFont="1" applyBorder="1" applyAlignment="1">
      <alignment horizontal="center"/>
    </xf>
    <xf numFmtId="166" fontId="11" fillId="0" borderId="23" xfId="0" applyNumberFormat="1" applyFont="1" applyBorder="1"/>
    <xf numFmtId="166" fontId="11" fillId="0" borderId="18" xfId="0" applyNumberFormat="1" applyFont="1" applyBorder="1"/>
    <xf numFmtId="166" fontId="11" fillId="0" borderId="19" xfId="0" applyNumberFormat="1" applyFont="1" applyBorder="1"/>
    <xf numFmtId="0" fontId="47" fillId="0" borderId="0" xfId="0" applyFont="1" applyAlignment="1">
      <alignment horizontal="center"/>
    </xf>
    <xf numFmtId="182" fontId="11" fillId="0" borderId="0" xfId="0" applyNumberFormat="1" applyFont="1"/>
    <xf numFmtId="0" fontId="19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 wrapText="1"/>
    </xf>
    <xf numFmtId="0" fontId="11" fillId="17" borderId="1" xfId="0" applyFont="1" applyFill="1" applyBorder="1"/>
    <xf numFmtId="1" fontId="11" fillId="4" borderId="1" xfId="0" applyNumberFormat="1" applyFont="1" applyFill="1" applyBorder="1" applyAlignment="1">
      <alignment horizontal="center" vertical="center"/>
    </xf>
    <xf numFmtId="1" fontId="11" fillId="10" borderId="1" xfId="0" applyNumberFormat="1" applyFont="1" applyFill="1" applyBorder="1"/>
    <xf numFmtId="11" fontId="11" fillId="0" borderId="0" xfId="0" applyNumberFormat="1" applyFont="1"/>
    <xf numFmtId="0" fontId="11" fillId="18" borderId="1" xfId="0" applyFont="1" applyFill="1" applyBorder="1"/>
    <xf numFmtId="0" fontId="34" fillId="16" borderId="1" xfId="0" applyFont="1" applyFill="1" applyBorder="1" applyAlignment="1">
      <alignment horizontal="center"/>
    </xf>
    <xf numFmtId="0" fontId="12" fillId="10" borderId="1" xfId="0" applyFont="1" applyFill="1" applyBorder="1" applyAlignment="1">
      <alignment horizontal="center" vertical="center"/>
    </xf>
    <xf numFmtId="0" fontId="12" fillId="18" borderId="10" xfId="0" applyFont="1" applyFill="1" applyBorder="1" applyAlignment="1">
      <alignment horizontal="center" vertical="center"/>
    </xf>
    <xf numFmtId="0" fontId="12" fillId="18" borderId="51" xfId="0" applyFont="1" applyFill="1" applyBorder="1"/>
    <xf numFmtId="0" fontId="12" fillId="18" borderId="6" xfId="0" applyFont="1" applyFill="1" applyBorder="1"/>
    <xf numFmtId="0" fontId="12" fillId="18" borderId="52" xfId="0" applyFont="1" applyFill="1" applyBorder="1"/>
    <xf numFmtId="0" fontId="12" fillId="5" borderId="1" xfId="0" applyFont="1" applyFill="1" applyBorder="1" applyAlignment="1">
      <alignment horizontal="center" vertical="center"/>
    </xf>
    <xf numFmtId="0" fontId="12" fillId="5" borderId="43" xfId="0" applyFont="1" applyFill="1" applyBorder="1"/>
    <xf numFmtId="0" fontId="34" fillId="16" borderId="1" xfId="0" applyFont="1" applyFill="1" applyBorder="1"/>
    <xf numFmtId="9" fontId="12" fillId="0" borderId="0" xfId="0" applyNumberFormat="1" applyFont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0" fontId="12" fillId="10" borderId="1" xfId="0" applyFont="1" applyFill="1" applyBorder="1"/>
    <xf numFmtId="0" fontId="12" fillId="18" borderId="59" xfId="0" applyFont="1" applyFill="1" applyBorder="1"/>
    <xf numFmtId="1" fontId="11" fillId="18" borderId="43" xfId="0" applyNumberFormat="1" applyFont="1" applyFill="1" applyBorder="1" applyAlignment="1">
      <alignment horizontal="center"/>
    </xf>
    <xf numFmtId="1" fontId="11" fillId="18" borderId="5" xfId="0" applyNumberFormat="1" applyFont="1" applyFill="1" applyBorder="1" applyAlignment="1">
      <alignment horizontal="center"/>
    </xf>
    <xf numFmtId="1" fontId="11" fillId="18" borderId="44" xfId="0" applyNumberFormat="1" applyFont="1" applyFill="1" applyBorder="1" applyAlignment="1">
      <alignment horizontal="center"/>
    </xf>
    <xf numFmtId="0" fontId="12" fillId="5" borderId="51" xfId="0" applyFont="1" applyFill="1" applyBorder="1" applyAlignment="1">
      <alignment horizontal="center" vertical="center"/>
    </xf>
    <xf numFmtId="1" fontId="11" fillId="5" borderId="1" xfId="0" applyNumberFormat="1" applyFont="1" applyFill="1" applyBorder="1" applyAlignment="1">
      <alignment horizontal="center"/>
    </xf>
    <xf numFmtId="1" fontId="11" fillId="18" borderId="45" xfId="0" applyNumberFormat="1" applyFont="1" applyFill="1" applyBorder="1" applyAlignment="1">
      <alignment horizontal="center"/>
    </xf>
    <xf numFmtId="1" fontId="11" fillId="18" borderId="1" xfId="0" applyNumberFormat="1" applyFont="1" applyFill="1" applyBorder="1" applyAlignment="1">
      <alignment horizontal="center"/>
    </xf>
    <xf numFmtId="1" fontId="11" fillId="18" borderId="46" xfId="0" applyNumberFormat="1" applyFont="1" applyFill="1" applyBorder="1" applyAlignment="1">
      <alignment horizontal="center"/>
    </xf>
    <xf numFmtId="0" fontId="12" fillId="2" borderId="1" xfId="0" applyFont="1" applyFill="1" applyBorder="1"/>
    <xf numFmtId="1" fontId="12" fillId="5" borderId="10" xfId="0" applyNumberFormat="1" applyFont="1" applyFill="1" applyBorder="1" applyAlignment="1">
      <alignment horizontal="center" vertical="center"/>
    </xf>
    <xf numFmtId="176" fontId="34" fillId="16" borderId="1" xfId="0" applyNumberFormat="1" applyFont="1" applyFill="1" applyBorder="1"/>
    <xf numFmtId="176" fontId="12" fillId="0" borderId="0" xfId="0" applyNumberFormat="1" applyFont="1" applyAlignment="1">
      <alignment horizontal="center" vertical="center"/>
    </xf>
    <xf numFmtId="167" fontId="34" fillId="16" borderId="1" xfId="0" applyNumberFormat="1" applyFont="1" applyFill="1" applyBorder="1"/>
    <xf numFmtId="167" fontId="12" fillId="0" borderId="0" xfId="0" applyNumberFormat="1" applyFont="1" applyAlignment="1">
      <alignment horizontal="center" vertical="center"/>
    </xf>
    <xf numFmtId="169" fontId="12" fillId="0" borderId="0" xfId="0" applyNumberFormat="1" applyFont="1" applyAlignment="1">
      <alignment horizontal="center" vertical="center"/>
    </xf>
    <xf numFmtId="0" fontId="12" fillId="18" borderId="22" xfId="0" applyFont="1" applyFill="1" applyBorder="1"/>
    <xf numFmtId="1" fontId="11" fillId="18" borderId="48" xfId="0" applyNumberFormat="1" applyFont="1" applyFill="1" applyBorder="1" applyAlignment="1">
      <alignment horizontal="center"/>
    </xf>
    <xf numFmtId="1" fontId="11" fillId="18" borderId="53" xfId="0" applyNumberFormat="1" applyFont="1" applyFill="1" applyBorder="1" applyAlignment="1">
      <alignment horizontal="center"/>
    </xf>
    <xf numFmtId="1" fontId="11" fillId="18" borderId="50" xfId="0" applyNumberFormat="1" applyFont="1" applyFill="1" applyBorder="1" applyAlignment="1">
      <alignment horizontal="center"/>
    </xf>
    <xf numFmtId="167" fontId="34" fillId="0" borderId="0" xfId="0" applyNumberFormat="1" applyFont="1"/>
    <xf numFmtId="0" fontId="12" fillId="5" borderId="59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 vertical="center"/>
    </xf>
    <xf numFmtId="0" fontId="12" fillId="18" borderId="1" xfId="0" applyFont="1" applyFill="1" applyBorder="1"/>
    <xf numFmtId="1" fontId="12" fillId="18" borderId="1" xfId="0" applyNumberFormat="1" applyFont="1" applyFill="1" applyBorder="1" applyAlignment="1">
      <alignment horizontal="center"/>
    </xf>
    <xf numFmtId="1" fontId="11" fillId="2" borderId="1" xfId="0" applyNumberFormat="1" applyFont="1" applyFill="1" applyBorder="1" applyAlignment="1">
      <alignment horizontal="center"/>
    </xf>
    <xf numFmtId="1" fontId="12" fillId="2" borderId="1" xfId="0" applyNumberFormat="1" applyFont="1" applyFill="1" applyBorder="1"/>
    <xf numFmtId="9" fontId="12" fillId="18" borderId="1" xfId="0" applyNumberFormat="1" applyFont="1" applyFill="1" applyBorder="1" applyAlignment="1">
      <alignment horizontal="center"/>
    </xf>
    <xf numFmtId="0" fontId="37" fillId="2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vertical="center"/>
    </xf>
    <xf numFmtId="169" fontId="11" fillId="2" borderId="1" xfId="0" applyNumberFormat="1" applyFont="1" applyFill="1" applyBorder="1" applyAlignment="1">
      <alignment horizontal="center" vertical="center"/>
    </xf>
    <xf numFmtId="9" fontId="34" fillId="2" borderId="1" xfId="0" applyNumberFormat="1" applyFont="1" applyFill="1" applyBorder="1" applyAlignment="1">
      <alignment horizontal="center" vertical="center"/>
    </xf>
    <xf numFmtId="170" fontId="19" fillId="2" borderId="5" xfId="0" applyNumberFormat="1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 wrapText="1"/>
    </xf>
    <xf numFmtId="169" fontId="19" fillId="2" borderId="1" xfId="0" applyNumberFormat="1" applyFont="1" applyFill="1" applyBorder="1" applyAlignment="1">
      <alignment horizontal="center" vertical="center" wrapText="1"/>
    </xf>
    <xf numFmtId="1" fontId="19" fillId="2" borderId="1" xfId="0" applyNumberFormat="1" applyFont="1" applyFill="1" applyBorder="1" applyAlignment="1">
      <alignment horizontal="center" vertical="center" wrapText="1"/>
    </xf>
    <xf numFmtId="0" fontId="12" fillId="11" borderId="1" xfId="0" applyFont="1" applyFill="1" applyBorder="1"/>
    <xf numFmtId="0" fontId="11" fillId="14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0" fontId="11" fillId="16" borderId="1" xfId="0" applyFont="1" applyFill="1" applyBorder="1" applyAlignment="1">
      <alignment horizontal="center"/>
    </xf>
    <xf numFmtId="0" fontId="21" fillId="2" borderId="1" xfId="0" applyFont="1" applyFill="1" applyBorder="1"/>
    <xf numFmtId="0" fontId="21" fillId="18" borderId="51" xfId="0" applyFont="1" applyFill="1" applyBorder="1"/>
    <xf numFmtId="0" fontId="21" fillId="18" borderId="6" xfId="0" applyFont="1" applyFill="1" applyBorder="1"/>
    <xf numFmtId="0" fontId="21" fillId="18" borderId="52" xfId="0" applyFont="1" applyFill="1" applyBorder="1"/>
    <xf numFmtId="0" fontId="37" fillId="14" borderId="1" xfId="0" applyFont="1" applyFill="1" applyBorder="1" applyAlignment="1">
      <alignment horizontal="center" vertical="center" wrapText="1"/>
    </xf>
    <xf numFmtId="0" fontId="37" fillId="16" borderId="1" xfId="0" applyFont="1" applyFill="1" applyBorder="1" applyAlignment="1">
      <alignment horizontal="center" vertical="center" wrapText="1"/>
    </xf>
    <xf numFmtId="0" fontId="37" fillId="11" borderId="1" xfId="0" applyFont="1" applyFill="1" applyBorder="1" applyAlignment="1">
      <alignment horizontal="center" vertical="center" wrapText="1"/>
    </xf>
    <xf numFmtId="0" fontId="37" fillId="4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12" fillId="18" borderId="45" xfId="0" applyFont="1" applyFill="1" applyBorder="1" applyAlignment="1">
      <alignment horizontal="center" vertical="center"/>
    </xf>
    <xf numFmtId="0" fontId="12" fillId="18" borderId="46" xfId="0" applyFont="1" applyFill="1" applyBorder="1" applyAlignment="1">
      <alignment horizontal="center" vertical="center"/>
    </xf>
    <xf numFmtId="1" fontId="19" fillId="2" borderId="5" xfId="0" applyNumberFormat="1" applyFont="1" applyFill="1" applyBorder="1" applyAlignment="1">
      <alignment horizontal="center" vertical="center" wrapText="1"/>
    </xf>
    <xf numFmtId="9" fontId="19" fillId="14" borderId="5" xfId="0" applyNumberFormat="1" applyFont="1" applyFill="1" applyBorder="1" applyAlignment="1">
      <alignment horizontal="center" vertical="center" wrapText="1"/>
    </xf>
    <xf numFmtId="169" fontId="19" fillId="14" borderId="5" xfId="0" applyNumberFormat="1" applyFont="1" applyFill="1" applyBorder="1" applyAlignment="1">
      <alignment horizontal="center" vertical="center" wrapText="1"/>
    </xf>
    <xf numFmtId="9" fontId="19" fillId="16" borderId="5" xfId="0" applyNumberFormat="1" applyFont="1" applyFill="1" applyBorder="1" applyAlignment="1">
      <alignment horizontal="center" vertical="center" wrapText="1"/>
    </xf>
    <xf numFmtId="9" fontId="19" fillId="11" borderId="5" xfId="0" applyNumberFormat="1" applyFont="1" applyFill="1" applyBorder="1" applyAlignment="1">
      <alignment horizontal="center" vertical="center" wrapText="1"/>
    </xf>
    <xf numFmtId="1" fontId="11" fillId="4" borderId="6" xfId="0" applyNumberFormat="1" applyFont="1" applyFill="1" applyBorder="1" applyAlignment="1">
      <alignment horizontal="center" vertical="center"/>
    </xf>
    <xf numFmtId="169" fontId="11" fillId="4" borderId="6" xfId="0" applyNumberFormat="1" applyFont="1" applyFill="1" applyBorder="1"/>
    <xf numFmtId="1" fontId="11" fillId="14" borderId="6" xfId="0" applyNumberFormat="1" applyFont="1" applyFill="1" applyBorder="1"/>
    <xf numFmtId="0" fontId="11" fillId="14" borderId="6" xfId="0" applyFont="1" applyFill="1" applyBorder="1" applyAlignment="1">
      <alignment horizontal="center" vertical="center"/>
    </xf>
    <xf numFmtId="169" fontId="11" fillId="14" borderId="6" xfId="0" applyNumberFormat="1" applyFont="1" applyFill="1" applyBorder="1" applyAlignment="1">
      <alignment horizontal="center"/>
    </xf>
    <xf numFmtId="9" fontId="11" fillId="18" borderId="45" xfId="0" applyNumberFormat="1" applyFont="1" applyFill="1" applyBorder="1" applyAlignment="1">
      <alignment horizontal="center"/>
    </xf>
    <xf numFmtId="9" fontId="11" fillId="18" borderId="1" xfId="0" applyNumberFormat="1" applyFont="1" applyFill="1" applyBorder="1" applyAlignment="1">
      <alignment horizontal="center"/>
    </xf>
    <xf numFmtId="9" fontId="11" fillId="18" borderId="46" xfId="0" applyNumberFormat="1" applyFont="1" applyFill="1" applyBorder="1" applyAlignment="1">
      <alignment horizontal="center"/>
    </xf>
    <xf numFmtId="2" fontId="11" fillId="18" borderId="45" xfId="0" applyNumberFormat="1" applyFont="1" applyFill="1" applyBorder="1" applyAlignment="1">
      <alignment horizontal="center"/>
    </xf>
    <xf numFmtId="2" fontId="11" fillId="18" borderId="1" xfId="0" applyNumberFormat="1" applyFont="1" applyFill="1" applyBorder="1" applyAlignment="1">
      <alignment horizontal="center"/>
    </xf>
    <xf numFmtId="2" fontId="11" fillId="18" borderId="46" xfId="0" applyNumberFormat="1" applyFont="1" applyFill="1" applyBorder="1" applyAlignment="1">
      <alignment horizontal="center"/>
    </xf>
    <xf numFmtId="2" fontId="11" fillId="17" borderId="1" xfId="0" applyNumberFormat="1" applyFont="1" applyFill="1" applyBorder="1" applyAlignment="1">
      <alignment horizontal="center"/>
    </xf>
    <xf numFmtId="2" fontId="11" fillId="2" borderId="1" xfId="0" applyNumberFormat="1" applyFont="1" applyFill="1" applyBorder="1" applyAlignment="1">
      <alignment horizontal="center"/>
    </xf>
    <xf numFmtId="2" fontId="11" fillId="2" borderId="46" xfId="0" applyNumberFormat="1" applyFont="1" applyFill="1" applyBorder="1" applyAlignment="1">
      <alignment horizontal="center"/>
    </xf>
    <xf numFmtId="169" fontId="19" fillId="2" borderId="5" xfId="0" applyNumberFormat="1" applyFont="1" applyFill="1" applyBorder="1" applyAlignment="1">
      <alignment horizontal="center" vertical="center"/>
    </xf>
    <xf numFmtId="1" fontId="19" fillId="2" borderId="5" xfId="0" applyNumberFormat="1" applyFont="1" applyFill="1" applyBorder="1" applyAlignment="1">
      <alignment horizontal="center" vertical="center"/>
    </xf>
    <xf numFmtId="9" fontId="19" fillId="14" borderId="5" xfId="0" applyNumberFormat="1" applyFont="1" applyFill="1" applyBorder="1" applyAlignment="1">
      <alignment horizontal="center" vertical="center"/>
    </xf>
    <xf numFmtId="169" fontId="19" fillId="14" borderId="5" xfId="0" applyNumberFormat="1" applyFont="1" applyFill="1" applyBorder="1" applyAlignment="1">
      <alignment horizontal="center" vertical="center"/>
    </xf>
    <xf numFmtId="169" fontId="19" fillId="5" borderId="5" xfId="0" applyNumberFormat="1" applyFont="1" applyFill="1" applyBorder="1" applyAlignment="1">
      <alignment horizontal="center" vertical="center"/>
    </xf>
    <xf numFmtId="9" fontId="19" fillId="16" borderId="5" xfId="0" applyNumberFormat="1" applyFont="1" applyFill="1" applyBorder="1" applyAlignment="1">
      <alignment horizontal="center" vertical="center"/>
    </xf>
    <xf numFmtId="9" fontId="19" fillId="11" borderId="5" xfId="0" applyNumberFormat="1" applyFont="1" applyFill="1" applyBorder="1" applyAlignment="1">
      <alignment horizontal="center" vertical="center"/>
    </xf>
    <xf numFmtId="169" fontId="11" fillId="14" borderId="6" xfId="0" applyNumberFormat="1" applyFont="1" applyFill="1" applyBorder="1" applyAlignment="1">
      <alignment horizontal="center" vertical="center"/>
    </xf>
    <xf numFmtId="2" fontId="19" fillId="2" borderId="5" xfId="0" applyNumberFormat="1" applyFont="1" applyFill="1" applyBorder="1" applyAlignment="1">
      <alignment horizontal="center" vertical="center"/>
    </xf>
    <xf numFmtId="170" fontId="19" fillId="5" borderId="5" xfId="0" applyNumberFormat="1" applyFont="1" applyFill="1" applyBorder="1" applyAlignment="1">
      <alignment horizontal="center" vertical="center"/>
    </xf>
    <xf numFmtId="174" fontId="19" fillId="2" borderId="1" xfId="0" applyNumberFormat="1" applyFont="1" applyFill="1" applyBorder="1" applyAlignment="1">
      <alignment horizontal="center"/>
    </xf>
    <xf numFmtId="175" fontId="19" fillId="2" borderId="1" xfId="0" applyNumberFormat="1" applyFont="1" applyFill="1" applyBorder="1" applyAlignment="1">
      <alignment horizontal="center"/>
    </xf>
    <xf numFmtId="9" fontId="11" fillId="18" borderId="48" xfId="0" applyNumberFormat="1" applyFont="1" applyFill="1" applyBorder="1" applyAlignment="1">
      <alignment horizontal="center"/>
    </xf>
    <xf numFmtId="9" fontId="11" fillId="18" borderId="53" xfId="0" applyNumberFormat="1" applyFont="1" applyFill="1" applyBorder="1" applyAlignment="1">
      <alignment horizontal="center"/>
    </xf>
    <xf numFmtId="9" fontId="11" fillId="18" borderId="50" xfId="0" applyNumberFormat="1" applyFont="1" applyFill="1" applyBorder="1" applyAlignment="1">
      <alignment horizontal="center"/>
    </xf>
    <xf numFmtId="2" fontId="11" fillId="18" borderId="48" xfId="0" applyNumberFormat="1" applyFont="1" applyFill="1" applyBorder="1" applyAlignment="1">
      <alignment horizontal="center"/>
    </xf>
    <xf numFmtId="2" fontId="11" fillId="18" borderId="53" xfId="0" applyNumberFormat="1" applyFont="1" applyFill="1" applyBorder="1" applyAlignment="1">
      <alignment horizontal="center"/>
    </xf>
    <xf numFmtId="2" fontId="11" fillId="18" borderId="50" xfId="0" applyNumberFormat="1" applyFont="1" applyFill="1" applyBorder="1" applyAlignment="1">
      <alignment horizontal="center"/>
    </xf>
    <xf numFmtId="169" fontId="11" fillId="4" borderId="6" xfId="0" applyNumberFormat="1" applyFont="1" applyFill="1" applyBorder="1" applyAlignment="1">
      <alignment horizontal="center"/>
    </xf>
    <xf numFmtId="2" fontId="11" fillId="18" borderId="43" xfId="0" applyNumberFormat="1" applyFont="1" applyFill="1" applyBorder="1" applyAlignment="1">
      <alignment horizontal="center"/>
    </xf>
    <xf numFmtId="2" fontId="11" fillId="18" borderId="5" xfId="0" applyNumberFormat="1" applyFont="1" applyFill="1" applyBorder="1" applyAlignment="1">
      <alignment horizontal="center"/>
    </xf>
    <xf numFmtId="2" fontId="11" fillId="17" borderId="5" xfId="0" applyNumberFormat="1" applyFont="1" applyFill="1" applyBorder="1" applyAlignment="1">
      <alignment horizontal="center"/>
    </xf>
    <xf numFmtId="2" fontId="11" fillId="18" borderId="44" xfId="0" applyNumberFormat="1" applyFont="1" applyFill="1" applyBorder="1" applyAlignment="1">
      <alignment horizontal="center"/>
    </xf>
    <xf numFmtId="169" fontId="11" fillId="14" borderId="6" xfId="0" applyNumberFormat="1" applyFont="1" applyFill="1" applyBorder="1"/>
    <xf numFmtId="2" fontId="11" fillId="2" borderId="53" xfId="0" applyNumberFormat="1" applyFont="1" applyFill="1" applyBorder="1" applyAlignment="1">
      <alignment horizontal="center"/>
    </xf>
    <xf numFmtId="2" fontId="11" fillId="2" borderId="50" xfId="0" applyNumberFormat="1" applyFont="1" applyFill="1" applyBorder="1" applyAlignment="1">
      <alignment horizontal="center"/>
    </xf>
    <xf numFmtId="169" fontId="19" fillId="14" borderId="1" xfId="0" applyNumberFormat="1" applyFont="1" applyFill="1" applyBorder="1" applyAlignment="1">
      <alignment horizontal="center" vertical="center" wrapText="1"/>
    </xf>
    <xf numFmtId="169" fontId="19" fillId="5" borderId="1" xfId="0" applyNumberFormat="1" applyFont="1" applyFill="1" applyBorder="1" applyAlignment="1">
      <alignment horizontal="center" vertical="center" wrapText="1"/>
    </xf>
    <xf numFmtId="9" fontId="19" fillId="16" borderId="1" xfId="0" applyNumberFormat="1" applyFont="1" applyFill="1" applyBorder="1" applyAlignment="1">
      <alignment horizontal="center" vertical="center" wrapText="1"/>
    </xf>
    <xf numFmtId="9" fontId="19" fillId="11" borderId="1" xfId="0" applyNumberFormat="1" applyFont="1" applyFill="1" applyBorder="1" applyAlignment="1">
      <alignment horizontal="center" vertical="center" wrapText="1"/>
    </xf>
    <xf numFmtId="9" fontId="12" fillId="2" borderId="1" xfId="0" applyNumberFormat="1" applyFont="1" applyFill="1" applyBorder="1" applyAlignment="1">
      <alignment horizontal="center"/>
    </xf>
    <xf numFmtId="169" fontId="11" fillId="14" borderId="1" xfId="0" applyNumberFormat="1" applyFont="1" applyFill="1" applyBorder="1" applyAlignment="1">
      <alignment horizontal="center"/>
    </xf>
    <xf numFmtId="2" fontId="48" fillId="0" borderId="0" xfId="0" applyNumberFormat="1" applyFont="1"/>
    <xf numFmtId="0" fontId="21" fillId="2" borderId="53" xfId="0" applyFont="1" applyFill="1" applyBorder="1" applyAlignment="1">
      <alignment horizontal="center" vertical="center" wrapText="1"/>
    </xf>
    <xf numFmtId="0" fontId="37" fillId="14" borderId="53" xfId="0" applyFont="1" applyFill="1" applyBorder="1" applyAlignment="1">
      <alignment horizontal="center" vertical="center" wrapText="1"/>
    </xf>
    <xf numFmtId="0" fontId="37" fillId="5" borderId="53" xfId="0" applyFont="1" applyFill="1" applyBorder="1" applyAlignment="1">
      <alignment horizontal="center" vertical="center" wrapText="1"/>
    </xf>
    <xf numFmtId="0" fontId="37" fillId="16" borderId="53" xfId="0" applyFont="1" applyFill="1" applyBorder="1" applyAlignment="1">
      <alignment horizontal="center" vertical="center" wrapText="1"/>
    </xf>
    <xf numFmtId="0" fontId="37" fillId="11" borderId="53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/>
    </xf>
    <xf numFmtId="0" fontId="47" fillId="2" borderId="6" xfId="0" applyFont="1" applyFill="1" applyBorder="1" applyAlignment="1">
      <alignment horizontal="center" vertical="center" wrapText="1"/>
    </xf>
    <xf numFmtId="1" fontId="47" fillId="0" borderId="13" xfId="0" applyNumberFormat="1" applyFont="1" applyBorder="1" applyAlignment="1">
      <alignment horizontal="center"/>
    </xf>
    <xf numFmtId="9" fontId="47" fillId="14" borderId="6" xfId="0" applyNumberFormat="1" applyFont="1" applyFill="1" applyBorder="1" applyAlignment="1">
      <alignment horizontal="center"/>
    </xf>
    <xf numFmtId="1" fontId="47" fillId="14" borderId="6" xfId="0" applyNumberFormat="1" applyFont="1" applyFill="1" applyBorder="1" applyAlignment="1">
      <alignment horizontal="center"/>
    </xf>
    <xf numFmtId="1" fontId="47" fillId="9" borderId="6" xfId="0" applyNumberFormat="1" applyFont="1" applyFill="1" applyBorder="1" applyAlignment="1">
      <alignment horizontal="center"/>
    </xf>
    <xf numFmtId="2" fontId="47" fillId="9" borderId="6" xfId="0" applyNumberFormat="1" applyFont="1" applyFill="1" applyBorder="1" applyAlignment="1">
      <alignment horizontal="center"/>
    </xf>
    <xf numFmtId="181" fontId="19" fillId="16" borderId="5" xfId="0" applyNumberFormat="1" applyFont="1" applyFill="1" applyBorder="1" applyAlignment="1">
      <alignment horizontal="center" vertical="center" wrapText="1"/>
    </xf>
    <xf numFmtId="1" fontId="47" fillId="4" borderId="6" xfId="0" applyNumberFormat="1" applyFont="1" applyFill="1" applyBorder="1" applyAlignment="1">
      <alignment horizontal="center"/>
    </xf>
    <xf numFmtId="169" fontId="47" fillId="4" borderId="6" xfId="0" applyNumberFormat="1" applyFont="1" applyFill="1" applyBorder="1" applyAlignment="1">
      <alignment horizontal="center"/>
    </xf>
    <xf numFmtId="1" fontId="11" fillId="14" borderId="6" xfId="0" applyNumberFormat="1" applyFont="1" applyFill="1" applyBorder="1" applyAlignment="1">
      <alignment horizontal="center" vertical="center"/>
    </xf>
    <xf numFmtId="1" fontId="47" fillId="0" borderId="0" xfId="0" applyNumberFormat="1" applyFont="1" applyAlignment="1">
      <alignment horizontal="center"/>
    </xf>
    <xf numFmtId="0" fontId="47" fillId="0" borderId="13" xfId="0" applyFont="1" applyBorder="1" applyAlignment="1">
      <alignment horizontal="center"/>
    </xf>
    <xf numFmtId="1" fontId="11" fillId="14" borderId="6" xfId="0" applyNumberFormat="1" applyFont="1" applyFill="1" applyBorder="1" applyAlignment="1">
      <alignment horizontal="center"/>
    </xf>
    <xf numFmtId="0" fontId="11" fillId="14" borderId="6" xfId="0" applyFont="1" applyFill="1" applyBorder="1" applyAlignment="1">
      <alignment horizontal="center"/>
    </xf>
    <xf numFmtId="9" fontId="19" fillId="16" borderId="6" xfId="0" applyNumberFormat="1" applyFont="1" applyFill="1" applyBorder="1" applyAlignment="1">
      <alignment horizontal="center" vertical="center" wrapText="1"/>
    </xf>
    <xf numFmtId="9" fontId="19" fillId="11" borderId="6" xfId="0" applyNumberFormat="1" applyFont="1" applyFill="1" applyBorder="1" applyAlignment="1">
      <alignment horizontal="center" vertical="center" wrapText="1"/>
    </xf>
    <xf numFmtId="1" fontId="11" fillId="0" borderId="14" xfId="0" applyNumberFormat="1" applyFont="1" applyBorder="1"/>
    <xf numFmtId="1" fontId="11" fillId="0" borderId="15" xfId="0" applyNumberFormat="1" applyFont="1" applyBorder="1"/>
    <xf numFmtId="1" fontId="11" fillId="0" borderId="24" xfId="0" applyNumberFormat="1" applyFont="1" applyBorder="1"/>
    <xf numFmtId="1" fontId="11" fillId="0" borderId="16" xfId="0" applyNumberFormat="1" applyFont="1" applyBorder="1"/>
    <xf numFmtId="1" fontId="11" fillId="0" borderId="18" xfId="0" applyNumberFormat="1" applyFont="1" applyBorder="1"/>
    <xf numFmtId="1" fontId="11" fillId="0" borderId="23" xfId="0" applyNumberFormat="1" applyFont="1" applyBorder="1"/>
    <xf numFmtId="1" fontId="11" fillId="0" borderId="19" xfId="0" applyNumberFormat="1" applyFont="1" applyBorder="1"/>
    <xf numFmtId="0" fontId="21" fillId="2" borderId="53" xfId="0" applyFont="1" applyFill="1" applyBorder="1" applyAlignment="1">
      <alignment horizontal="left" vertical="center"/>
    </xf>
    <xf numFmtId="0" fontId="37" fillId="2" borderId="53" xfId="0" applyFont="1" applyFill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1" fontId="47" fillId="2" borderId="1" xfId="0" applyNumberFormat="1" applyFont="1" applyFill="1" applyBorder="1" applyAlignment="1">
      <alignment horizontal="center"/>
    </xf>
    <xf numFmtId="176" fontId="15" fillId="2" borderId="1" xfId="0" applyNumberFormat="1" applyFont="1" applyFill="1" applyBorder="1" applyAlignment="1">
      <alignment horizontal="center"/>
    </xf>
    <xf numFmtId="0" fontId="22" fillId="0" borderId="0" xfId="0" applyFont="1" applyAlignment="1">
      <alignment horizontal="center" wrapText="1"/>
    </xf>
    <xf numFmtId="1" fontId="50" fillId="0" borderId="0" xfId="0" applyNumberFormat="1" applyFont="1"/>
    <xf numFmtId="0" fontId="50" fillId="0" borderId="0" xfId="0" applyFont="1"/>
    <xf numFmtId="0" fontId="11" fillId="5" borderId="5" xfId="0" applyFont="1" applyFill="1" applyBorder="1" applyAlignment="1">
      <alignment horizontal="center" vertical="center"/>
    </xf>
    <xf numFmtId="0" fontId="47" fillId="0" borderId="15" xfId="0" applyFont="1" applyBorder="1" applyAlignment="1">
      <alignment horizontal="center"/>
    </xf>
    <xf numFmtId="1" fontId="11" fillId="11" borderId="1" xfId="0" applyNumberFormat="1" applyFont="1" applyFill="1" applyBorder="1"/>
    <xf numFmtId="167" fontId="11" fillId="0" borderId="0" xfId="0" applyNumberFormat="1" applyFont="1"/>
    <xf numFmtId="0" fontId="12" fillId="0" borderId="0" xfId="0" applyFont="1" applyAlignment="1">
      <alignment horizontal="center" vertical="center" wrapText="1"/>
    </xf>
    <xf numFmtId="169" fontId="11" fillId="12" borderId="1" xfId="0" applyNumberFormat="1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 wrapText="1"/>
    </xf>
    <xf numFmtId="2" fontId="11" fillId="12" borderId="1" xfId="0" applyNumberFormat="1" applyFont="1" applyFill="1" applyBorder="1" applyAlignment="1">
      <alignment horizontal="center" vertical="center"/>
    </xf>
    <xf numFmtId="2" fontId="11" fillId="5" borderId="1" xfId="0" applyNumberFormat="1" applyFont="1" applyFill="1" applyBorder="1" applyAlignment="1">
      <alignment horizontal="center" vertical="center"/>
    </xf>
    <xf numFmtId="0" fontId="11" fillId="2" borderId="46" xfId="0" applyFont="1" applyFill="1" applyBorder="1"/>
    <xf numFmtId="0" fontId="11" fillId="2" borderId="45" xfId="0" applyFont="1" applyFill="1" applyBorder="1"/>
    <xf numFmtId="0" fontId="38" fillId="2" borderId="46" xfId="0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0" borderId="21" xfId="0" applyFont="1" applyBorder="1"/>
    <xf numFmtId="0" fontId="51" fillId="0" borderId="0" xfId="0" applyFont="1"/>
    <xf numFmtId="0" fontId="51" fillId="0" borderId="21" xfId="0" applyFont="1" applyBorder="1"/>
    <xf numFmtId="0" fontId="51" fillId="2" borderId="46" xfId="0" applyFont="1" applyFill="1" applyBorder="1"/>
    <xf numFmtId="0" fontId="51" fillId="0" borderId="0" xfId="0" applyFont="1" applyAlignment="1">
      <alignment horizontal="center"/>
    </xf>
    <xf numFmtId="0" fontId="51" fillId="2" borderId="1" xfId="0" applyFont="1" applyFill="1" applyBorder="1" applyAlignment="1">
      <alignment horizontal="center"/>
    </xf>
    <xf numFmtId="0" fontId="51" fillId="2" borderId="1" xfId="0" applyFont="1" applyFill="1" applyBorder="1"/>
    <xf numFmtId="0" fontId="51" fillId="2" borderId="1" xfId="0" applyFont="1" applyFill="1" applyBorder="1" applyAlignment="1">
      <alignment horizontal="left"/>
    </xf>
    <xf numFmtId="0" fontId="51" fillId="0" borderId="11" xfId="0" applyFont="1" applyBorder="1"/>
    <xf numFmtId="0" fontId="51" fillId="0" borderId="0" xfId="0" applyFont="1" applyAlignment="1">
      <alignment horizontal="left"/>
    </xf>
    <xf numFmtId="0" fontId="51" fillId="2" borderId="45" xfId="0" applyFont="1" applyFill="1" applyBorder="1"/>
    <xf numFmtId="0" fontId="51" fillId="0" borderId="12" xfId="0" applyFont="1" applyBorder="1"/>
    <xf numFmtId="0" fontId="12" fillId="3" borderId="6" xfId="0" applyFont="1" applyFill="1" applyBorder="1" applyAlignment="1">
      <alignment horizontal="left"/>
    </xf>
    <xf numFmtId="0" fontId="12" fillId="2" borderId="46" xfId="0" applyFont="1" applyFill="1" applyBorder="1" applyAlignment="1">
      <alignment horizontal="left"/>
    </xf>
    <xf numFmtId="0" fontId="12" fillId="10" borderId="51" xfId="0" applyFont="1" applyFill="1" applyBorder="1" applyAlignment="1">
      <alignment horizontal="left" vertical="center"/>
    </xf>
    <xf numFmtId="0" fontId="12" fillId="3" borderId="6" xfId="0" applyFont="1" applyFill="1" applyBorder="1" applyAlignment="1">
      <alignment horizontal="center" vertical="center"/>
    </xf>
    <xf numFmtId="0" fontId="12" fillId="2" borderId="46" xfId="0" applyFont="1" applyFill="1" applyBorder="1" applyAlignment="1">
      <alignment horizontal="center" vertical="center"/>
    </xf>
    <xf numFmtId="0" fontId="16" fillId="2" borderId="46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6" fillId="10" borderId="6" xfId="0" applyFont="1" applyFill="1" applyBorder="1" applyAlignment="1">
      <alignment horizontal="left"/>
    </xf>
    <xf numFmtId="0" fontId="16" fillId="10" borderId="6" xfId="0" applyFont="1" applyFill="1" applyBorder="1" applyAlignment="1">
      <alignment horizontal="center"/>
    </xf>
    <xf numFmtId="0" fontId="16" fillId="3" borderId="52" xfId="0" applyFont="1" applyFill="1" applyBorder="1" applyAlignment="1">
      <alignment horizontal="left"/>
    </xf>
    <xf numFmtId="0" fontId="16" fillId="2" borderId="1" xfId="0" applyFont="1" applyFill="1" applyBorder="1" applyAlignment="1">
      <alignment horizontal="left"/>
    </xf>
    <xf numFmtId="0" fontId="16" fillId="12" borderId="6" xfId="0" applyFont="1" applyFill="1" applyBorder="1" applyAlignment="1">
      <alignment horizontal="center" vertical="center"/>
    </xf>
    <xf numFmtId="0" fontId="16" fillId="12" borderId="6" xfId="0" applyFont="1" applyFill="1" applyBorder="1" applyAlignment="1">
      <alignment horizontal="left"/>
    </xf>
    <xf numFmtId="0" fontId="16" fillId="12" borderId="6" xfId="0" applyFont="1" applyFill="1" applyBorder="1" applyAlignment="1">
      <alignment horizontal="center"/>
    </xf>
    <xf numFmtId="0" fontId="16" fillId="12" borderId="52" xfId="0" applyFont="1" applyFill="1" applyBorder="1" applyAlignment="1">
      <alignment horizontal="left"/>
    </xf>
    <xf numFmtId="0" fontId="16" fillId="2" borderId="46" xfId="0" applyFont="1" applyFill="1" applyBorder="1" applyAlignment="1">
      <alignment horizontal="left"/>
    </xf>
    <xf numFmtId="0" fontId="16" fillId="2" borderId="45" xfId="0" applyFont="1" applyFill="1" applyBorder="1" applyAlignment="1">
      <alignment horizontal="center" vertical="center"/>
    </xf>
    <xf numFmtId="0" fontId="16" fillId="19" borderId="6" xfId="0" applyFont="1" applyFill="1" applyBorder="1" applyAlignment="1">
      <alignment horizontal="center" vertical="center"/>
    </xf>
    <xf numFmtId="0" fontId="16" fillId="19" borderId="6" xfId="0" applyFont="1" applyFill="1" applyBorder="1" applyAlignment="1">
      <alignment horizontal="left"/>
    </xf>
    <xf numFmtId="0" fontId="16" fillId="19" borderId="51" xfId="0" applyFont="1" applyFill="1" applyBorder="1" applyAlignment="1">
      <alignment horizontal="center" vertical="center"/>
    </xf>
    <xf numFmtId="0" fontId="16" fillId="19" borderId="52" xfId="0" applyFont="1" applyFill="1" applyBorder="1" applyAlignment="1">
      <alignment horizontal="center" vertical="center"/>
    </xf>
    <xf numFmtId="0" fontId="16" fillId="12" borderId="5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/>
    </xf>
    <xf numFmtId="0" fontId="16" fillId="2" borderId="46" xfId="0" applyFont="1" applyFill="1" applyBorder="1" applyAlignment="1">
      <alignment horizontal="center"/>
    </xf>
    <xf numFmtId="176" fontId="11" fillId="5" borderId="1" xfId="0" applyNumberFormat="1" applyFont="1" applyFill="1" applyBorder="1" applyAlignment="1">
      <alignment horizontal="center"/>
    </xf>
    <xf numFmtId="9" fontId="11" fillId="2" borderId="46" xfId="0" applyNumberFormat="1" applyFont="1" applyFill="1" applyBorder="1" applyAlignment="1">
      <alignment horizontal="center"/>
    </xf>
    <xf numFmtId="10" fontId="11" fillId="0" borderId="0" xfId="0" applyNumberFormat="1" applyFont="1" applyAlignment="1">
      <alignment horizontal="left"/>
    </xf>
    <xf numFmtId="10" fontId="11" fillId="2" borderId="1" xfId="0" applyNumberFormat="1" applyFont="1" applyFill="1" applyBorder="1"/>
    <xf numFmtId="10" fontId="11" fillId="2" borderId="46" xfId="0" applyNumberFormat="1" applyFont="1" applyFill="1" applyBorder="1"/>
    <xf numFmtId="183" fontId="11" fillId="2" borderId="1" xfId="0" applyNumberFormat="1" applyFont="1" applyFill="1" applyBorder="1"/>
    <xf numFmtId="165" fontId="11" fillId="2" borderId="46" xfId="0" applyNumberFormat="1" applyFont="1" applyFill="1" applyBorder="1"/>
    <xf numFmtId="165" fontId="11" fillId="2" borderId="1" xfId="0" applyNumberFormat="1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center"/>
    </xf>
    <xf numFmtId="2" fontId="11" fillId="12" borderId="1" xfId="0" applyNumberFormat="1" applyFont="1" applyFill="1" applyBorder="1"/>
    <xf numFmtId="9" fontId="11" fillId="2" borderId="46" xfId="0" applyNumberFormat="1" applyFont="1" applyFill="1" applyBorder="1"/>
    <xf numFmtId="9" fontId="11" fillId="2" borderId="45" xfId="0" applyNumberFormat="1" applyFont="1" applyFill="1" applyBorder="1"/>
    <xf numFmtId="10" fontId="11" fillId="2" borderId="1" xfId="0" applyNumberFormat="1" applyFont="1" applyFill="1" applyBorder="1" applyAlignment="1">
      <alignment horizontal="center"/>
    </xf>
    <xf numFmtId="10" fontId="11" fillId="2" borderId="1" xfId="0" applyNumberFormat="1" applyFont="1" applyFill="1" applyBorder="1" applyAlignment="1">
      <alignment horizontal="center" vertical="center"/>
    </xf>
    <xf numFmtId="10" fontId="11" fillId="2" borderId="46" xfId="0" applyNumberFormat="1" applyFont="1" applyFill="1" applyBorder="1" applyAlignment="1">
      <alignment horizontal="center"/>
    </xf>
    <xf numFmtId="9" fontId="43" fillId="0" borderId="0" xfId="0" applyNumberFormat="1" applyFont="1"/>
    <xf numFmtId="9" fontId="34" fillId="2" borderId="45" xfId="0" applyNumberFormat="1" applyFont="1" applyFill="1" applyBorder="1"/>
    <xf numFmtId="9" fontId="34" fillId="2" borderId="1" xfId="0" applyNumberFormat="1" applyFont="1" applyFill="1" applyBorder="1"/>
    <xf numFmtId="0" fontId="12" fillId="10" borderId="52" xfId="0" applyFont="1" applyFill="1" applyBorder="1"/>
    <xf numFmtId="2" fontId="11" fillId="2" borderId="46" xfId="0" applyNumberFormat="1" applyFont="1" applyFill="1" applyBorder="1" applyAlignment="1">
      <alignment horizontal="center" vertical="center"/>
    </xf>
    <xf numFmtId="0" fontId="16" fillId="12" borderId="6" xfId="0" applyFont="1" applyFill="1" applyBorder="1" applyAlignment="1">
      <alignment horizontal="left" vertical="center"/>
    </xf>
    <xf numFmtId="2" fontId="11" fillId="2" borderId="45" xfId="0" applyNumberFormat="1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left"/>
    </xf>
    <xf numFmtId="9" fontId="18" fillId="0" borderId="0" xfId="0" applyNumberFormat="1" applyFont="1"/>
    <xf numFmtId="9" fontId="11" fillId="2" borderId="1" xfId="0" applyNumberFormat="1" applyFont="1" applyFill="1" applyBorder="1" applyAlignment="1">
      <alignment horizontal="left"/>
    </xf>
    <xf numFmtId="9" fontId="11" fillId="0" borderId="0" xfId="0" applyNumberFormat="1" applyFont="1" applyAlignment="1">
      <alignment horizontal="left"/>
    </xf>
    <xf numFmtId="184" fontId="11" fillId="0" borderId="0" xfId="0" applyNumberFormat="1" applyFont="1" applyAlignment="1">
      <alignment horizontal="center"/>
    </xf>
    <xf numFmtId="0" fontId="16" fillId="13" borderId="6" xfId="0" applyFont="1" applyFill="1" applyBorder="1" applyAlignment="1">
      <alignment horizontal="right" vertical="center"/>
    </xf>
    <xf numFmtId="0" fontId="16" fillId="13" borderId="6" xfId="0" applyFont="1" applyFill="1" applyBorder="1" applyAlignment="1">
      <alignment horizontal="left" vertical="center"/>
    </xf>
    <xf numFmtId="2" fontId="11" fillId="0" borderId="0" xfId="0" applyNumberFormat="1" applyFont="1" applyAlignment="1">
      <alignment horizontal="right" vertical="center"/>
    </xf>
    <xf numFmtId="0" fontId="11" fillId="2" borderId="65" xfId="0" applyFont="1" applyFill="1" applyBorder="1"/>
    <xf numFmtId="0" fontId="11" fillId="2" borderId="66" xfId="0" applyFont="1" applyFill="1" applyBorder="1"/>
    <xf numFmtId="0" fontId="11" fillId="2" borderId="67" xfId="0" applyFont="1" applyFill="1" applyBorder="1"/>
    <xf numFmtId="0" fontId="11" fillId="2" borderId="68" xfId="0" applyFont="1" applyFill="1" applyBorder="1"/>
    <xf numFmtId="0" fontId="11" fillId="2" borderId="69" xfId="0" applyFont="1" applyFill="1" applyBorder="1"/>
    <xf numFmtId="0" fontId="12" fillId="2" borderId="52" xfId="0" applyFont="1" applyFill="1" applyBorder="1" applyAlignment="1">
      <alignment horizontal="center"/>
    </xf>
    <xf numFmtId="0" fontId="12" fillId="2" borderId="43" xfId="0" applyFont="1" applyFill="1" applyBorder="1" applyAlignment="1">
      <alignment horizontal="center"/>
    </xf>
    <xf numFmtId="0" fontId="12" fillId="2" borderId="44" xfId="0" applyFont="1" applyFill="1" applyBorder="1"/>
    <xf numFmtId="0" fontId="12" fillId="2" borderId="20" xfId="0" applyFont="1" applyFill="1" applyBorder="1"/>
    <xf numFmtId="0" fontId="19" fillId="2" borderId="51" xfId="0" applyFont="1" applyFill="1" applyBorder="1" applyAlignment="1">
      <alignment horizontal="center" vertical="center" wrapText="1"/>
    </xf>
    <xf numFmtId="0" fontId="19" fillId="2" borderId="6" xfId="0" applyFont="1" applyFill="1" applyBorder="1" applyAlignment="1">
      <alignment horizontal="center" vertical="center" wrapText="1"/>
    </xf>
    <xf numFmtId="0" fontId="19" fillId="2" borderId="52" xfId="0" applyFont="1" applyFill="1" applyBorder="1" applyAlignment="1">
      <alignment horizontal="center" vertical="center" wrapText="1"/>
    </xf>
    <xf numFmtId="0" fontId="19" fillId="2" borderId="10" xfId="0" applyFont="1" applyFill="1" applyBorder="1" applyAlignment="1">
      <alignment horizontal="center" vertical="center" wrapText="1"/>
    </xf>
    <xf numFmtId="0" fontId="12" fillId="2" borderId="43" xfId="0" applyFont="1" applyFill="1" applyBorder="1"/>
    <xf numFmtId="0" fontId="34" fillId="2" borderId="43" xfId="0" applyFont="1" applyFill="1" applyBorder="1"/>
    <xf numFmtId="0" fontId="11" fillId="2" borderId="44" xfId="0" applyFont="1" applyFill="1" applyBorder="1"/>
    <xf numFmtId="0" fontId="11" fillId="2" borderId="20" xfId="0" applyFont="1" applyFill="1" applyBorder="1"/>
    <xf numFmtId="0" fontId="11" fillId="2" borderId="51" xfId="0" applyFont="1" applyFill="1" applyBorder="1"/>
    <xf numFmtId="0" fontId="11" fillId="9" borderId="51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52" xfId="0" applyFont="1" applyFill="1" applyBorder="1" applyAlignment="1">
      <alignment horizontal="center" vertical="center"/>
    </xf>
    <xf numFmtId="0" fontId="11" fillId="9" borderId="10" xfId="0" applyFont="1" applyFill="1" applyBorder="1" applyAlignment="1">
      <alignment horizontal="center" vertical="center"/>
    </xf>
    <xf numFmtId="0" fontId="11" fillId="2" borderId="45" xfId="0" applyFont="1" applyFill="1" applyBorder="1" applyAlignment="1">
      <alignment horizontal="left"/>
    </xf>
    <xf numFmtId="0" fontId="11" fillId="2" borderId="59" xfId="0" applyFont="1" applyFill="1" applyBorder="1"/>
    <xf numFmtId="0" fontId="11" fillId="2" borderId="59" xfId="0" applyFont="1" applyFill="1" applyBorder="1" applyAlignment="1">
      <alignment horizontal="left"/>
    </xf>
    <xf numFmtId="0" fontId="11" fillId="2" borderId="45" xfId="0" applyFont="1" applyFill="1" applyBorder="1" applyAlignment="1">
      <alignment horizontal="center"/>
    </xf>
    <xf numFmtId="0" fontId="11" fillId="2" borderId="59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left"/>
    </xf>
    <xf numFmtId="0" fontId="11" fillId="2" borderId="51" xfId="0" applyFont="1" applyFill="1" applyBorder="1" applyAlignment="1">
      <alignment horizontal="left"/>
    </xf>
    <xf numFmtId="0" fontId="11" fillId="2" borderId="10" xfId="0" applyFont="1" applyFill="1" applyBorder="1"/>
    <xf numFmtId="169" fontId="11" fillId="2" borderId="50" xfId="0" applyNumberFormat="1" applyFont="1" applyFill="1" applyBorder="1"/>
    <xf numFmtId="0" fontId="11" fillId="2" borderId="22" xfId="0" applyFont="1" applyFill="1" applyBorder="1"/>
    <xf numFmtId="0" fontId="11" fillId="2" borderId="10" xfId="0" applyFont="1" applyFill="1" applyBorder="1" applyAlignment="1">
      <alignment horizontal="left"/>
    </xf>
    <xf numFmtId="0" fontId="11" fillId="9" borderId="51" xfId="0" applyFont="1" applyFill="1" applyBorder="1" applyAlignment="1">
      <alignment horizontal="center"/>
    </xf>
    <xf numFmtId="0" fontId="11" fillId="2" borderId="52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center"/>
    </xf>
    <xf numFmtId="0" fontId="12" fillId="2" borderId="51" xfId="0" applyFont="1" applyFill="1" applyBorder="1" applyAlignment="1">
      <alignment horizontal="center"/>
    </xf>
    <xf numFmtId="0" fontId="12" fillId="2" borderId="52" xfId="0" applyFont="1" applyFill="1" applyBorder="1"/>
    <xf numFmtId="0" fontId="12" fillId="2" borderId="10" xfId="0" applyFont="1" applyFill="1" applyBorder="1"/>
    <xf numFmtId="0" fontId="12" fillId="2" borderId="45" xfId="0" applyFont="1" applyFill="1" applyBorder="1"/>
    <xf numFmtId="0" fontId="12" fillId="2" borderId="59" xfId="0" applyFont="1" applyFill="1" applyBorder="1"/>
    <xf numFmtId="0" fontId="12" fillId="2" borderId="10" xfId="0" applyFont="1" applyFill="1" applyBorder="1" applyAlignment="1">
      <alignment horizontal="center"/>
    </xf>
    <xf numFmtId="0" fontId="11" fillId="2" borderId="10" xfId="0" applyFont="1" applyFill="1" applyBorder="1" applyAlignment="1">
      <alignment horizontal="center" vertical="center"/>
    </xf>
    <xf numFmtId="0" fontId="11" fillId="2" borderId="52" xfId="0" applyFont="1" applyFill="1" applyBorder="1" applyAlignment="1">
      <alignment horizontal="center" vertical="center"/>
    </xf>
    <xf numFmtId="0" fontId="11" fillId="2" borderId="59" xfId="0" applyFont="1" applyFill="1" applyBorder="1" applyAlignment="1">
      <alignment horizontal="center" vertical="center"/>
    </xf>
    <xf numFmtId="0" fontId="46" fillId="2" borderId="43" xfId="0" applyFont="1" applyFill="1" applyBorder="1"/>
    <xf numFmtId="0" fontId="11" fillId="2" borderId="22" xfId="0" applyFont="1" applyFill="1" applyBorder="1" applyAlignment="1">
      <alignment horizontal="center" vertical="center"/>
    </xf>
    <xf numFmtId="2" fontId="11" fillId="2" borderId="52" xfId="0" applyNumberFormat="1" applyFont="1" applyFill="1" applyBorder="1"/>
    <xf numFmtId="0" fontId="11" fillId="2" borderId="48" xfId="0" applyFont="1" applyFill="1" applyBorder="1" applyAlignment="1">
      <alignment horizontal="center"/>
    </xf>
    <xf numFmtId="0" fontId="11" fillId="5" borderId="22" xfId="0" applyFont="1" applyFill="1" applyBorder="1" applyAlignment="1">
      <alignment horizontal="center"/>
    </xf>
    <xf numFmtId="0" fontId="11" fillId="2" borderId="70" xfId="0" applyFont="1" applyFill="1" applyBorder="1"/>
    <xf numFmtId="0" fontId="11" fillId="2" borderId="71" xfId="0" applyFont="1" applyFill="1" applyBorder="1"/>
    <xf numFmtId="0" fontId="11" fillId="2" borderId="72" xfId="0" applyFont="1" applyFill="1" applyBorder="1"/>
    <xf numFmtId="0" fontId="11" fillId="2" borderId="43" xfId="0" applyFont="1" applyFill="1" applyBorder="1"/>
    <xf numFmtId="0" fontId="11" fillId="2" borderId="44" xfId="0" applyFont="1" applyFill="1" applyBorder="1" applyAlignment="1">
      <alignment horizontal="center"/>
    </xf>
    <xf numFmtId="0" fontId="11" fillId="2" borderId="46" xfId="0" applyFont="1" applyFill="1" applyBorder="1" applyAlignment="1">
      <alignment horizontal="center"/>
    </xf>
    <xf numFmtId="0" fontId="12" fillId="0" borderId="18" xfId="0" applyFont="1" applyBorder="1"/>
    <xf numFmtId="0" fontId="12" fillId="0" borderId="13" xfId="0" applyFont="1" applyBorder="1"/>
    <xf numFmtId="0" fontId="11" fillId="2" borderId="53" xfId="0" applyFont="1" applyFill="1" applyBorder="1"/>
    <xf numFmtId="0" fontId="11" fillId="2" borderId="5" xfId="0" applyFont="1" applyFill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11" fillId="0" borderId="15" xfId="0" applyNumberFormat="1" applyFont="1" applyBorder="1" applyAlignment="1">
      <alignment horizontal="center"/>
    </xf>
    <xf numFmtId="0" fontId="11" fillId="2" borderId="53" xfId="0" applyFont="1" applyFill="1" applyBorder="1" applyAlignment="1">
      <alignment horizontal="center"/>
    </xf>
    <xf numFmtId="1" fontId="11" fillId="0" borderId="18" xfId="0" applyNumberFormat="1" applyFont="1" applyBorder="1" applyAlignment="1">
      <alignment horizontal="center"/>
    </xf>
    <xf numFmtId="0" fontId="12" fillId="2" borderId="1" xfId="0" applyFont="1" applyFill="1" applyBorder="1" applyAlignment="1">
      <alignment horizontal="left"/>
    </xf>
    <xf numFmtId="9" fontId="11" fillId="0" borderId="15" xfId="0" applyNumberFormat="1" applyFont="1" applyBorder="1"/>
    <xf numFmtId="9" fontId="11" fillId="0" borderId="18" xfId="0" applyNumberFormat="1" applyFont="1" applyBorder="1"/>
    <xf numFmtId="0" fontId="11" fillId="0" borderId="23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9" fontId="11" fillId="0" borderId="12" xfId="0" applyNumberFormat="1" applyFont="1" applyBorder="1" applyAlignment="1">
      <alignment horizontal="center"/>
    </xf>
    <xf numFmtId="9" fontId="11" fillId="0" borderId="18" xfId="0" applyNumberFormat="1" applyFont="1" applyBorder="1" applyAlignment="1">
      <alignment horizontal="center"/>
    </xf>
    <xf numFmtId="9" fontId="11" fillId="0" borderId="19" xfId="0" applyNumberFormat="1" applyFont="1" applyBorder="1" applyAlignment="1">
      <alignment horizontal="center"/>
    </xf>
    <xf numFmtId="0" fontId="11" fillId="0" borderId="13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9" fontId="11" fillId="0" borderId="21" xfId="0" applyNumberFormat="1" applyFont="1" applyBorder="1"/>
    <xf numFmtId="9" fontId="11" fillId="0" borderId="23" xfId="0" applyNumberFormat="1" applyFont="1" applyBorder="1"/>
    <xf numFmtId="9" fontId="11" fillId="0" borderId="19" xfId="0" applyNumberFormat="1" applyFont="1" applyBorder="1"/>
    <xf numFmtId="0" fontId="11" fillId="0" borderId="9" xfId="0" applyFont="1" applyBorder="1"/>
    <xf numFmtId="0" fontId="10" fillId="0" borderId="0" xfId="0" applyFont="1" applyAlignment="1">
      <alignment horizontal="center"/>
    </xf>
    <xf numFmtId="0" fontId="9" fillId="0" borderId="0" xfId="0" applyFont="1"/>
    <xf numFmtId="184" fontId="0" fillId="0" borderId="0" xfId="0" applyNumberFormat="1"/>
    <xf numFmtId="0" fontId="18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7" fillId="0" borderId="0" xfId="0" applyFont="1"/>
    <xf numFmtId="167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85" fontId="11" fillId="10" borderId="1" xfId="1" applyNumberFormat="1" applyFont="1" applyFill="1" applyBorder="1"/>
    <xf numFmtId="0" fontId="62" fillId="0" borderId="0" xfId="0" applyFont="1"/>
    <xf numFmtId="0" fontId="60" fillId="0" borderId="0" xfId="0" applyFont="1"/>
    <xf numFmtId="174" fontId="34" fillId="0" borderId="0" xfId="0" applyNumberFormat="1" applyFont="1"/>
    <xf numFmtId="9" fontId="34" fillId="0" borderId="0" xfId="0" applyNumberFormat="1" applyFont="1"/>
    <xf numFmtId="10" fontId="0" fillId="0" borderId="0" xfId="0" applyNumberFormat="1"/>
    <xf numFmtId="0" fontId="6" fillId="0" borderId="0" xfId="0" applyFont="1"/>
    <xf numFmtId="186" fontId="0" fillId="0" borderId="0" xfId="1" applyNumberFormat="1" applyFont="1"/>
    <xf numFmtId="186" fontId="11" fillId="0" borderId="12" xfId="1" applyNumberFormat="1" applyFont="1" applyBorder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167" fontId="0" fillId="0" borderId="0" xfId="0" applyNumberFormat="1" applyAlignment="1">
      <alignment horizontal="center"/>
    </xf>
    <xf numFmtId="0" fontId="61" fillId="0" borderId="0" xfId="0" applyFont="1"/>
    <xf numFmtId="170" fontId="0" fillId="0" borderId="0" xfId="0" applyNumberFormat="1" applyAlignment="1">
      <alignment horizontal="center"/>
    </xf>
    <xf numFmtId="0" fontId="0" fillId="0" borderId="73" xfId="0" applyBorder="1"/>
    <xf numFmtId="0" fontId="6" fillId="0" borderId="73" xfId="0" applyFont="1" applyBorder="1" applyAlignment="1">
      <alignment horizontal="center"/>
    </xf>
    <xf numFmtId="0" fontId="6" fillId="0" borderId="73" xfId="0" applyFont="1" applyBorder="1"/>
    <xf numFmtId="1" fontId="0" fillId="0" borderId="73" xfId="0" applyNumberFormat="1" applyBorder="1" applyAlignment="1">
      <alignment horizontal="center"/>
    </xf>
    <xf numFmtId="169" fontId="0" fillId="0" borderId="73" xfId="0" applyNumberFormat="1" applyBorder="1" applyAlignment="1">
      <alignment horizontal="center"/>
    </xf>
    <xf numFmtId="0" fontId="64" fillId="0" borderId="0" xfId="0" applyFont="1"/>
    <xf numFmtId="9" fontId="0" fillId="0" borderId="0" xfId="0" applyNumberFormat="1"/>
    <xf numFmtId="0" fontId="11" fillId="2" borderId="5" xfId="0" applyFont="1" applyFill="1" applyBorder="1" applyAlignment="1">
      <alignment horizontal="right" vertical="center"/>
    </xf>
    <xf numFmtId="9" fontId="0" fillId="0" borderId="76" xfId="0" applyNumberFormat="1" applyBorder="1"/>
    <xf numFmtId="169" fontId="0" fillId="0" borderId="0" xfId="0" applyNumberFormat="1"/>
    <xf numFmtId="0" fontId="65" fillId="0" borderId="0" xfId="0" applyFont="1"/>
    <xf numFmtId="0" fontId="65" fillId="0" borderId="0" xfId="0" applyFont="1" applyAlignment="1">
      <alignment horizontal="center"/>
    </xf>
    <xf numFmtId="169" fontId="6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center"/>
    </xf>
    <xf numFmtId="9" fontId="0" fillId="0" borderId="0" xfId="2" applyFont="1"/>
    <xf numFmtId="186" fontId="65" fillId="0" borderId="0" xfId="1" applyNumberFormat="1" applyFont="1" applyAlignment="1">
      <alignment horizontal="center"/>
    </xf>
    <xf numFmtId="186" fontId="65" fillId="0" borderId="0" xfId="0" applyNumberFormat="1" applyFont="1" applyAlignment="1">
      <alignment horizontal="center"/>
    </xf>
    <xf numFmtId="0" fontId="66" fillId="0" borderId="0" xfId="0" applyFont="1" applyAlignment="1">
      <alignment horizontal="center"/>
    </xf>
    <xf numFmtId="186" fontId="66" fillId="0" borderId="0" xfId="1" applyNumberFormat="1" applyFont="1" applyAlignment="1">
      <alignment horizontal="center"/>
    </xf>
    <xf numFmtId="167" fontId="61" fillId="0" borderId="0" xfId="0" applyNumberFormat="1" applyFont="1"/>
    <xf numFmtId="2" fontId="65" fillId="0" borderId="0" xfId="0" applyNumberFormat="1" applyFont="1"/>
    <xf numFmtId="0" fontId="67" fillId="0" borderId="0" xfId="0" applyFont="1"/>
    <xf numFmtId="0" fontId="68" fillId="0" borderId="0" xfId="0" applyFont="1"/>
    <xf numFmtId="0" fontId="6" fillId="0" borderId="0" xfId="0" applyFont="1" applyAlignment="1">
      <alignment vertical="center"/>
    </xf>
    <xf numFmtId="167" fontId="19" fillId="0" borderId="17" xfId="0" applyNumberFormat="1" applyFont="1" applyBorder="1"/>
    <xf numFmtId="0" fontId="6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0" fontId="5" fillId="0" borderId="0" xfId="0" applyFont="1"/>
    <xf numFmtId="43" fontId="0" fillId="0" borderId="0" xfId="1" applyFont="1"/>
    <xf numFmtId="1" fontId="0" fillId="0" borderId="0" xfId="0" applyNumberFormat="1"/>
    <xf numFmtId="1" fontId="70" fillId="20" borderId="0" xfId="0" applyNumberFormat="1" applyFont="1" applyFill="1"/>
    <xf numFmtId="2" fontId="5" fillId="0" borderId="0" xfId="0" applyNumberFormat="1" applyFont="1"/>
    <xf numFmtId="0" fontId="0" fillId="0" borderId="0" xfId="0" applyAlignment="1">
      <alignment horizontal="left"/>
    </xf>
    <xf numFmtId="0" fontId="5" fillId="0" borderId="0" xfId="0" applyFont="1" applyAlignment="1">
      <alignment horizontal="center" vertical="center"/>
    </xf>
    <xf numFmtId="184" fontId="0" fillId="0" borderId="76" xfId="0" applyNumberFormat="1" applyBorder="1"/>
    <xf numFmtId="0" fontId="61" fillId="0" borderId="0" xfId="0" applyFont="1" applyAlignment="1">
      <alignment horizontal="center"/>
    </xf>
    <xf numFmtId="0" fontId="0" fillId="21" borderId="0" xfId="0" applyFill="1"/>
    <xf numFmtId="165" fontId="0" fillId="0" borderId="0" xfId="2" applyNumberFormat="1" applyFont="1"/>
    <xf numFmtId="9" fontId="18" fillId="0" borderId="0" xfId="2" applyFont="1"/>
    <xf numFmtId="0" fontId="0" fillId="0" borderId="0" xfId="0" applyAlignment="1">
      <alignment horizontal="right"/>
    </xf>
    <xf numFmtId="2" fontId="11" fillId="0" borderId="0" xfId="0" applyNumberFormat="1" applyFont="1" applyAlignment="1">
      <alignment horizontal="left"/>
    </xf>
    <xf numFmtId="43" fontId="18" fillId="0" borderId="0" xfId="1" applyFont="1"/>
    <xf numFmtId="0" fontId="72" fillId="0" borderId="0" xfId="0" applyFont="1"/>
    <xf numFmtId="0" fontId="11" fillId="22" borderId="1" xfId="0" applyFont="1" applyFill="1" applyBorder="1"/>
    <xf numFmtId="0" fontId="0" fillId="23" borderId="0" xfId="0" applyFill="1"/>
    <xf numFmtId="0" fontId="11" fillId="24" borderId="1" xfId="0" applyFont="1" applyFill="1" applyBorder="1"/>
    <xf numFmtId="0" fontId="11" fillId="25" borderId="1" xfId="0" applyFont="1" applyFill="1" applyBorder="1"/>
    <xf numFmtId="0" fontId="11" fillId="2" borderId="64" xfId="0" applyFont="1" applyFill="1" applyBorder="1"/>
    <xf numFmtId="43" fontId="0" fillId="23" borderId="0" xfId="0" applyNumberFormat="1" applyFill="1"/>
    <xf numFmtId="165" fontId="11" fillId="0" borderId="0" xfId="2" applyNumberFormat="1" applyFont="1"/>
    <xf numFmtId="10" fontId="11" fillId="21" borderId="0" xfId="0" applyNumberFormat="1" applyFont="1" applyFill="1"/>
    <xf numFmtId="0" fontId="11" fillId="21" borderId="0" xfId="0" applyFont="1" applyFill="1" applyAlignment="1">
      <alignment horizontal="center" vertical="center"/>
    </xf>
    <xf numFmtId="0" fontId="4" fillId="0" borderId="0" xfId="0" applyFont="1"/>
    <xf numFmtId="0" fontId="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 applyAlignment="1">
      <alignment horizontal="center"/>
    </xf>
    <xf numFmtId="9" fontId="75" fillId="0" borderId="0" xfId="0" applyNumberFormat="1" applyFont="1"/>
    <xf numFmtId="9" fontId="75" fillId="0" borderId="0" xfId="2" applyFont="1"/>
    <xf numFmtId="169" fontId="76" fillId="0" borderId="0" xfId="0" applyNumberFormat="1" applyFont="1" applyAlignment="1">
      <alignment horizontal="center"/>
    </xf>
    <xf numFmtId="1" fontId="76" fillId="0" borderId="0" xfId="0" applyNumberFormat="1" applyFont="1" applyAlignment="1">
      <alignment horizontal="center"/>
    </xf>
    <xf numFmtId="186" fontId="76" fillId="0" borderId="0" xfId="1" applyNumberFormat="1" applyFont="1" applyAlignment="1">
      <alignment horizontal="center"/>
    </xf>
    <xf numFmtId="9" fontId="75" fillId="0" borderId="76" xfId="0" applyNumberFormat="1" applyFont="1" applyBorder="1"/>
    <xf numFmtId="186" fontId="76" fillId="0" borderId="0" xfId="0" applyNumberFormat="1" applyFont="1" applyAlignment="1">
      <alignment horizontal="center"/>
    </xf>
    <xf numFmtId="0" fontId="77" fillId="0" borderId="0" xfId="0" applyFont="1" applyAlignment="1">
      <alignment horizontal="center"/>
    </xf>
    <xf numFmtId="186" fontId="77" fillId="0" borderId="0" xfId="1" applyNumberFormat="1" applyFont="1" applyAlignment="1">
      <alignment horizontal="center"/>
    </xf>
    <xf numFmtId="0" fontId="78" fillId="0" borderId="0" xfId="0" applyFont="1" applyAlignment="1">
      <alignment horizontal="right"/>
    </xf>
    <xf numFmtId="2" fontId="3" fillId="0" borderId="0" xfId="0" applyNumberFormat="1" applyFont="1"/>
    <xf numFmtId="169" fontId="3" fillId="0" borderId="0" xfId="0" applyNumberFormat="1" applyFont="1"/>
    <xf numFmtId="169" fontId="5" fillId="0" borderId="0" xfId="0" applyNumberFormat="1" applyFont="1"/>
    <xf numFmtId="169" fontId="0" fillId="21" borderId="0" xfId="0" applyNumberFormat="1" applyFill="1"/>
    <xf numFmtId="169" fontId="0" fillId="26" borderId="0" xfId="0" applyNumberFormat="1" applyFill="1"/>
    <xf numFmtId="10" fontId="0" fillId="0" borderId="0" xfId="2" applyNumberFormat="1" applyFont="1"/>
    <xf numFmtId="165" fontId="0" fillId="0" borderId="0" xfId="0" applyNumberFormat="1"/>
    <xf numFmtId="0" fontId="0" fillId="0" borderId="0" xfId="0"/>
    <xf numFmtId="2" fontId="19" fillId="0" borderId="0" xfId="0" applyNumberFormat="1" applyFont="1"/>
    <xf numFmtId="0" fontId="2" fillId="0" borderId="0" xfId="0" applyFont="1"/>
    <xf numFmtId="169" fontId="65" fillId="0" borderId="0" xfId="0" applyNumberFormat="1" applyFont="1"/>
    <xf numFmtId="0" fontId="79" fillId="4" borderId="7" xfId="0" applyFont="1" applyFill="1" applyBorder="1" applyAlignment="1">
      <alignment horizontal="center"/>
    </xf>
    <xf numFmtId="176" fontId="19" fillId="0" borderId="0" xfId="0" applyNumberFormat="1" applyFont="1"/>
    <xf numFmtId="187" fontId="19" fillId="0" borderId="0" xfId="0" applyNumberFormat="1" applyFont="1"/>
    <xf numFmtId="0" fontId="80" fillId="0" borderId="0" xfId="0" applyFont="1"/>
    <xf numFmtId="0" fontId="81" fillId="28" borderId="76" xfId="0" applyFont="1" applyFill="1" applyBorder="1" applyAlignment="1">
      <alignment horizontal="center"/>
    </xf>
    <xf numFmtId="0" fontId="17" fillId="27" borderId="77" xfId="3" applyFont="1" applyBorder="1" applyAlignment="1">
      <alignment horizontal="center" wrapText="1"/>
    </xf>
    <xf numFmtId="0" fontId="17" fillId="27" borderId="77" xfId="3" applyFont="1" applyBorder="1" applyAlignment="1"/>
    <xf numFmtId="0" fontId="84" fillId="0" borderId="0" xfId="0" applyFont="1"/>
    <xf numFmtId="169" fontId="11" fillId="26" borderId="0" xfId="0" applyNumberFormat="1" applyFont="1" applyFill="1" applyAlignment="1">
      <alignment horizontal="center" vertical="center"/>
    </xf>
    <xf numFmtId="169" fontId="0" fillId="26" borderId="0" xfId="0" applyNumberFormat="1" applyFill="1" applyAlignment="1">
      <alignment horizontal="center"/>
    </xf>
    <xf numFmtId="0" fontId="12" fillId="2" borderId="2" xfId="0" applyFont="1" applyFill="1" applyBorder="1" applyAlignment="1">
      <alignment horizontal="center"/>
    </xf>
    <xf numFmtId="0" fontId="13" fillId="0" borderId="3" xfId="0" applyFont="1" applyBorder="1"/>
    <xf numFmtId="0" fontId="13" fillId="0" borderId="4" xfId="0" applyFont="1" applyBorder="1"/>
    <xf numFmtId="0" fontId="12" fillId="0" borderId="0" xfId="0" applyFont="1" applyAlignment="1">
      <alignment horizontal="center"/>
    </xf>
    <xf numFmtId="0" fontId="0" fillId="0" borderId="0" xfId="0"/>
    <xf numFmtId="0" fontId="19" fillId="26" borderId="0" xfId="0" applyFont="1" applyFill="1" applyAlignment="1">
      <alignment horizontal="center"/>
    </xf>
    <xf numFmtId="0" fontId="28" fillId="7" borderId="29" xfId="0" applyFont="1" applyFill="1" applyBorder="1" applyAlignment="1">
      <alignment horizontal="center" vertical="center" wrapText="1"/>
    </xf>
    <xf numFmtId="0" fontId="13" fillId="0" borderId="30" xfId="0" applyFont="1" applyBorder="1"/>
    <xf numFmtId="0" fontId="13" fillId="0" borderId="31" xfId="0" applyFont="1" applyBorder="1"/>
    <xf numFmtId="0" fontId="27" fillId="6" borderId="29" xfId="0" applyFont="1" applyFill="1" applyBorder="1" applyAlignment="1">
      <alignment horizontal="center" vertical="center"/>
    </xf>
    <xf numFmtId="0" fontId="27" fillId="6" borderId="35" xfId="0" applyFont="1" applyFill="1" applyBorder="1" applyAlignment="1">
      <alignment horizontal="center" vertical="center"/>
    </xf>
    <xf numFmtId="0" fontId="13" fillId="0" borderId="36" xfId="0" applyFont="1" applyBorder="1"/>
    <xf numFmtId="0" fontId="13" fillId="0" borderId="37" xfId="0" applyFont="1" applyBorder="1"/>
    <xf numFmtId="0" fontId="27" fillId="6" borderId="38" xfId="0" applyFont="1" applyFill="1" applyBorder="1" applyAlignment="1">
      <alignment horizontal="center" vertical="center"/>
    </xf>
    <xf numFmtId="0" fontId="13" fillId="0" borderId="39" xfId="0" applyFont="1" applyBorder="1"/>
    <xf numFmtId="0" fontId="13" fillId="0" borderId="40" xfId="0" applyFont="1" applyBorder="1"/>
    <xf numFmtId="2" fontId="11" fillId="0" borderId="24" xfId="0" applyNumberFormat="1" applyFont="1" applyBorder="1" applyAlignment="1">
      <alignment horizontal="center" vertical="center"/>
    </xf>
    <xf numFmtId="0" fontId="13" fillId="0" borderId="21" xfId="0" applyFont="1" applyBorder="1"/>
    <xf numFmtId="0" fontId="13" fillId="0" borderId="23" xfId="0" applyFont="1" applyBorder="1"/>
    <xf numFmtId="171" fontId="11" fillId="0" borderId="16" xfId="0" applyNumberFormat="1" applyFont="1" applyBorder="1" applyAlignment="1">
      <alignment horizontal="center" vertical="center"/>
    </xf>
    <xf numFmtId="0" fontId="13" fillId="0" borderId="12" xfId="0" applyFont="1" applyBorder="1"/>
    <xf numFmtId="0" fontId="13" fillId="0" borderId="19" xfId="0" applyFont="1" applyBorder="1"/>
    <xf numFmtId="2" fontId="19" fillId="0" borderId="24" xfId="0" applyNumberFormat="1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3" fillId="0" borderId="18" xfId="0" applyFont="1" applyBorder="1"/>
    <xf numFmtId="0" fontId="20" fillId="0" borderId="16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/>
    </xf>
    <xf numFmtId="0" fontId="13" fillId="0" borderId="9" xfId="0" applyFont="1" applyBorder="1"/>
    <xf numFmtId="0" fontId="19" fillId="0" borderId="16" xfId="0" applyFont="1" applyBorder="1" applyAlignment="1">
      <alignment horizontal="left" vertical="center"/>
    </xf>
    <xf numFmtId="0" fontId="12" fillId="0" borderId="23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39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6" fillId="0" borderId="73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13" fillId="0" borderId="13" xfId="0" applyFont="1" applyBorder="1"/>
    <xf numFmtId="0" fontId="12" fillId="2" borderId="8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9" fontId="11" fillId="2" borderId="47" xfId="0" applyNumberFormat="1" applyFont="1" applyFill="1" applyBorder="1" applyAlignment="1">
      <alignment horizontal="center" vertical="center"/>
    </xf>
    <xf numFmtId="0" fontId="13" fillId="0" borderId="49" xfId="0" applyFont="1" applyBorder="1"/>
    <xf numFmtId="9" fontId="11" fillId="0" borderId="0" xfId="0" applyNumberFormat="1" applyFont="1" applyAlignment="1">
      <alignment horizontal="center"/>
    </xf>
    <xf numFmtId="0" fontId="12" fillId="2" borderId="54" xfId="0" applyFont="1" applyFill="1" applyBorder="1" applyAlignment="1">
      <alignment horizontal="center" vertical="center"/>
    </xf>
    <xf numFmtId="0" fontId="13" fillId="0" borderId="55" xfId="0" applyFont="1" applyBorder="1"/>
    <xf numFmtId="0" fontId="13" fillId="0" borderId="56" xfId="0" applyFont="1" applyBorder="1"/>
    <xf numFmtId="0" fontId="12" fillId="2" borderId="57" xfId="0" applyFont="1" applyFill="1" applyBorder="1" applyAlignment="1">
      <alignment horizontal="center" vertical="center"/>
    </xf>
    <xf numFmtId="0" fontId="13" fillId="0" borderId="58" xfId="0" applyFont="1" applyBorder="1"/>
    <xf numFmtId="0" fontId="45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21" fillId="18" borderId="2" xfId="0" applyFont="1" applyFill="1" applyBorder="1" applyAlignment="1">
      <alignment horizontal="center"/>
    </xf>
    <xf numFmtId="0" fontId="21" fillId="5" borderId="2" xfId="0" applyFont="1" applyFill="1" applyBorder="1" applyAlignment="1">
      <alignment horizontal="center"/>
    </xf>
    <xf numFmtId="0" fontId="49" fillId="10" borderId="60" xfId="0" applyFont="1" applyFill="1" applyBorder="1" applyAlignment="1">
      <alignment horizontal="center"/>
    </xf>
    <xf numFmtId="0" fontId="13" fillId="0" borderId="61" xfId="0" applyFont="1" applyBorder="1"/>
    <xf numFmtId="0" fontId="13" fillId="0" borderId="62" xfId="0" applyFont="1" applyBorder="1"/>
    <xf numFmtId="0" fontId="49" fillId="10" borderId="60" xfId="0" applyFont="1" applyFill="1" applyBorder="1" applyAlignment="1">
      <alignment horizontal="center" wrapText="1"/>
    </xf>
    <xf numFmtId="0" fontId="12" fillId="5" borderId="2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/>
    </xf>
    <xf numFmtId="0" fontId="21" fillId="18" borderId="8" xfId="0" applyFont="1" applyFill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1" fillId="18" borderId="8" xfId="0" applyFont="1" applyFill="1" applyBorder="1" applyAlignment="1">
      <alignment horizontal="center" vertical="center"/>
    </xf>
    <xf numFmtId="0" fontId="37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51" fillId="0" borderId="63" xfId="0" applyFont="1" applyBorder="1" applyAlignment="1">
      <alignment horizontal="center"/>
    </xf>
    <xf numFmtId="0" fontId="13" fillId="0" borderId="63" xfId="0" applyFont="1" applyBorder="1"/>
    <xf numFmtId="0" fontId="13" fillId="0" borderId="64" xfId="0" applyFont="1" applyBorder="1"/>
    <xf numFmtId="0" fontId="38" fillId="2" borderId="2" xfId="0" applyFont="1" applyFill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1" fillId="0" borderId="18" xfId="0" applyFont="1" applyBorder="1" applyAlignment="1">
      <alignment horizontal="center"/>
    </xf>
  </cellXfs>
  <cellStyles count="4">
    <cellStyle name="20% - Énfasis5" xfId="3" builtinId="46"/>
    <cellStyle name="Millares" xfId="1" builtinId="3"/>
    <cellStyle name="Normal" xfId="0" builtinId="0"/>
    <cellStyle name="Porcentaje" xfId="2" builtinId="5"/>
  </cellStyles>
  <dxfs count="94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EXP_IMP'!$J$144:$Q$144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EXP_IMP'!$J$146:$Q$146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EXP_IMP'!$J$147:$Q$147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EXP_IMP'!$J$148:$Q$148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EXP_IMP'!$J$149:$Q$149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EXP_IMP'!$J$150:$Q$150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EXP_IMP'!$J$152:$Q$152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EXP_IMP'!$J$153:$Q$153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EXP_IMP'!$J$156:$Q$156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157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81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96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157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157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157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C1B26-2F45-E2C9-BB89-09D49E8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24539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88FF94-D417-4D15-8404-79FF7331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25532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49</xdr:row>
      <xdr:rowOff>171450</xdr:rowOff>
    </xdr:from>
    <xdr:ext cx="7915275" cy="46101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0" y="9782175"/>
          <a:ext cx="7915275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opLeftCell="A100" zoomScaleNormal="100" workbookViewId="0">
      <selection activeCell="D100" sqref="D100:F113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918" t="s">
        <v>36</v>
      </c>
      <c r="Y14" s="919"/>
      <c r="Z14" s="919"/>
      <c r="AA14" s="919"/>
      <c r="AB14" s="919"/>
      <c r="AC14" s="919"/>
      <c r="AD14" s="919"/>
      <c r="AE14" s="919"/>
      <c r="AF14" s="920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918" t="s">
        <v>37</v>
      </c>
      <c r="C15" s="919"/>
      <c r="D15" s="919"/>
      <c r="E15" s="919"/>
      <c r="F15" s="919"/>
      <c r="G15" s="919"/>
      <c r="H15" s="919"/>
      <c r="I15" s="919"/>
      <c r="J15" s="920"/>
      <c r="K15" s="1"/>
      <c r="L15" s="1"/>
      <c r="M15" s="918" t="s">
        <v>38</v>
      </c>
      <c r="N15" s="919"/>
      <c r="O15" s="919"/>
      <c r="P15" s="919"/>
      <c r="Q15" s="919"/>
      <c r="R15" s="919"/>
      <c r="S15" s="919"/>
      <c r="T15" s="919"/>
      <c r="U15" s="920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918" t="s">
        <v>39</v>
      </c>
      <c r="AJ15" s="919"/>
      <c r="AK15" s="919"/>
      <c r="AL15" s="919"/>
      <c r="AM15" s="919"/>
      <c r="AN15" s="919"/>
      <c r="AO15" s="919"/>
      <c r="AP15" s="919"/>
      <c r="AQ15" s="920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tr">
        <f t="array" ref="D114:D120">+"FUEL-DSL-"&amp;B3:B9</f>
        <v>FUEL-DSL-CAM1</v>
      </c>
      <c r="E114" s="1" t="s">
        <v>205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tr">
        <v>FUEL-DSL-CAM2</v>
      </c>
      <c r="E115" s="1" t="s">
        <v>206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tr">
        <v>FUEL-DSL-CAM3</v>
      </c>
      <c r="E116" s="1" t="s">
        <v>207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tr">
        <v>FUEL-DSL-CAM4</v>
      </c>
      <c r="E117" s="1" t="s">
        <v>208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tr">
        <v>FUEL-DSL-CAM5</v>
      </c>
      <c r="E118" s="1" t="s">
        <v>209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tr">
        <v>FUEL-DSL-CAM6</v>
      </c>
      <c r="E119" s="1" t="s">
        <v>210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tr">
        <v>FUEL-DSL-CAM7</v>
      </c>
      <c r="E120" s="1" t="s">
        <v>211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212</v>
      </c>
      <c r="E121" s="1" t="s">
        <v>213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tr">
        <f>+'1. EXP_IMP'!J53</f>
        <v>ELC-SIN</v>
      </c>
      <c r="E122" s="1" t="s">
        <v>214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215</v>
      </c>
      <c r="E123" s="1" t="s">
        <v>216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217</v>
      </c>
      <c r="E124" s="1" t="s">
        <v>218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 t="s">
        <v>219</v>
      </c>
      <c r="E125" s="1" t="s">
        <v>220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 t="s">
        <v>221</v>
      </c>
      <c r="E126" s="1" t="s">
        <v>222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25">
      <c r="A127" s="1"/>
      <c r="B127" s="1"/>
      <c r="C127" s="1"/>
      <c r="D127" s="1" t="s">
        <v>223</v>
      </c>
      <c r="E127" s="1" t="s">
        <v>224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">
        <v>225</v>
      </c>
      <c r="E128" s="1" t="s">
        <v>226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">
        <v>227</v>
      </c>
      <c r="E129" s="1" t="s">
        <v>228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">
        <v>229</v>
      </c>
      <c r="E130" s="1" t="s">
        <v>230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1" t="s">
        <v>231</v>
      </c>
      <c r="E131" s="1" t="s">
        <v>232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2" t="s">
        <v>233</v>
      </c>
      <c r="E132" s="1" t="s">
        <v>234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1" t="s">
        <v>235</v>
      </c>
      <c r="E133" s="1" t="s">
        <v>236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1" t="s">
        <v>237</v>
      </c>
      <c r="E134" s="1" t="s">
        <v>238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25">
      <c r="A135" s="1"/>
      <c r="B135" s="1"/>
      <c r="C135" s="1"/>
      <c r="D135" s="11" t="s">
        <v>239</v>
      </c>
      <c r="E135" s="1" t="s">
        <v>240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 x14ac:dyDescent="0.25">
      <c r="A136" s="1"/>
      <c r="B136" s="1"/>
      <c r="C136" s="1"/>
      <c r="D136" s="11" t="s">
        <v>241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2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abSelected="1" topLeftCell="D64" zoomScale="85" zoomScaleNormal="85" workbookViewId="0">
      <selection activeCell="N44" sqref="N44:O63"/>
    </sheetView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255</v>
      </c>
      <c r="E3" s="12" t="s">
        <v>256</v>
      </c>
      <c r="F3" s="13" t="s">
        <v>257</v>
      </c>
    </row>
    <row r="4" spans="2:6" x14ac:dyDescent="0.25">
      <c r="B4" s="12" t="s">
        <v>6</v>
      </c>
      <c r="D4" s="12" t="s">
        <v>258</v>
      </c>
      <c r="E4" s="1" t="s">
        <v>8</v>
      </c>
      <c r="F4" s="14" t="s">
        <v>259</v>
      </c>
    </row>
    <row r="5" spans="2:6" x14ac:dyDescent="0.25">
      <c r="B5" s="12" t="s">
        <v>12</v>
      </c>
      <c r="D5" s="12" t="s">
        <v>260</v>
      </c>
      <c r="E5" s="3" t="s">
        <v>14</v>
      </c>
      <c r="F5" s="14" t="s">
        <v>261</v>
      </c>
    </row>
    <row r="6" spans="2:6" x14ac:dyDescent="0.25">
      <c r="B6" s="12" t="s">
        <v>16</v>
      </c>
      <c r="D6" s="12" t="s">
        <v>262</v>
      </c>
      <c r="E6" s="1" t="s">
        <v>18</v>
      </c>
    </row>
    <row r="7" spans="2:6" x14ac:dyDescent="0.25">
      <c r="B7" s="12" t="s">
        <v>20</v>
      </c>
      <c r="D7" s="12" t="s">
        <v>263</v>
      </c>
      <c r="E7" s="1" t="s">
        <v>22</v>
      </c>
    </row>
    <row r="8" spans="2:6" x14ac:dyDescent="0.25">
      <c r="B8" s="12" t="s">
        <v>24</v>
      </c>
      <c r="D8" s="12" t="s">
        <v>264</v>
      </c>
      <c r="E8" s="1" t="s">
        <v>26</v>
      </c>
    </row>
    <row r="9" spans="2:6" x14ac:dyDescent="0.25">
      <c r="B9" s="12" t="s">
        <v>28</v>
      </c>
      <c r="D9" s="12" t="s">
        <v>265</v>
      </c>
      <c r="E9" s="1" t="s">
        <v>30</v>
      </c>
    </row>
    <row r="10" spans="2:6" x14ac:dyDescent="0.25">
      <c r="B10" s="12" t="s">
        <v>31</v>
      </c>
      <c r="D10" s="12" t="s">
        <v>266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921" t="s">
        <v>267</v>
      </c>
      <c r="C18" s="922"/>
      <c r="D18" s="922"/>
      <c r="E18" s="922"/>
      <c r="F18" s="922"/>
      <c r="G18" s="922"/>
      <c r="H18" s="922"/>
      <c r="I18" s="922"/>
      <c r="J18" s="922"/>
      <c r="L18" s="921" t="s">
        <v>268</v>
      </c>
      <c r="M18" s="922"/>
      <c r="N18" s="922"/>
      <c r="O18" s="922"/>
      <c r="P18" s="922"/>
      <c r="Q18" s="922"/>
      <c r="R18" s="922"/>
      <c r="S18" s="922"/>
      <c r="T18" s="922"/>
      <c r="V18" s="921" t="s">
        <v>269</v>
      </c>
      <c r="W18" s="922"/>
      <c r="X18" s="922"/>
      <c r="Y18" s="922"/>
      <c r="Z18" s="922"/>
      <c r="AA18" s="922"/>
      <c r="AB18" s="922"/>
      <c r="AC18" s="922"/>
      <c r="AD18" s="922"/>
    </row>
    <row r="20" spans="1:30" x14ac:dyDescent="0.25">
      <c r="B20" s="15" t="s">
        <v>270</v>
      </c>
      <c r="C20" s="1"/>
      <c r="D20" s="1"/>
      <c r="E20" s="1"/>
      <c r="F20" s="1"/>
      <c r="G20" s="1"/>
      <c r="H20" s="1"/>
      <c r="I20" s="1"/>
      <c r="J20" s="1"/>
      <c r="L20" s="15" t="s">
        <v>270</v>
      </c>
      <c r="M20" s="1"/>
      <c r="N20" s="1"/>
      <c r="O20" s="1"/>
      <c r="P20" s="1"/>
      <c r="Q20" s="1"/>
      <c r="R20" s="1"/>
      <c r="S20" s="1"/>
      <c r="T20" s="1"/>
      <c r="V20" s="15" t="s">
        <v>270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271</v>
      </c>
      <c r="C21" s="9" t="s">
        <v>42</v>
      </c>
      <c r="D21" s="8" t="s">
        <v>272</v>
      </c>
      <c r="E21" s="8" t="s">
        <v>273</v>
      </c>
      <c r="F21" s="8" t="s">
        <v>274</v>
      </c>
      <c r="G21" s="8" t="s">
        <v>275</v>
      </c>
      <c r="H21" s="8" t="s">
        <v>276</v>
      </c>
      <c r="I21" s="8" t="s">
        <v>277</v>
      </c>
      <c r="J21" s="8" t="s">
        <v>278</v>
      </c>
      <c r="L21" s="8" t="s">
        <v>271</v>
      </c>
      <c r="M21" s="9" t="s">
        <v>42</v>
      </c>
      <c r="N21" s="8" t="s">
        <v>272</v>
      </c>
      <c r="O21" s="8" t="s">
        <v>273</v>
      </c>
      <c r="P21" s="8" t="s">
        <v>274</v>
      </c>
      <c r="Q21" s="8" t="s">
        <v>275</v>
      </c>
      <c r="R21" s="8" t="s">
        <v>276</v>
      </c>
      <c r="S21" s="8" t="s">
        <v>277</v>
      </c>
      <c r="T21" s="8" t="s">
        <v>278</v>
      </c>
      <c r="V21" s="8" t="s">
        <v>271</v>
      </c>
      <c r="W21" s="9" t="s">
        <v>42</v>
      </c>
      <c r="X21" s="8" t="s">
        <v>272</v>
      </c>
      <c r="Y21" s="8" t="s">
        <v>273</v>
      </c>
      <c r="Z21" s="8" t="s">
        <v>274</v>
      </c>
      <c r="AA21" s="8" t="s">
        <v>275</v>
      </c>
      <c r="AB21" s="8" t="s">
        <v>276</v>
      </c>
      <c r="AC21" s="8" t="s">
        <v>277</v>
      </c>
      <c r="AD21" s="8" t="s">
        <v>278</v>
      </c>
    </row>
    <row r="22" spans="1:30" ht="15.75" customHeight="1" x14ac:dyDescent="0.25">
      <c r="A22" s="5"/>
      <c r="B22" s="10" t="s">
        <v>279</v>
      </c>
      <c r="C22" s="10" t="s">
        <v>51</v>
      </c>
      <c r="D22" s="10" t="s">
        <v>280</v>
      </c>
      <c r="E22" s="10" t="s">
        <v>281</v>
      </c>
      <c r="F22" s="10" t="s">
        <v>282</v>
      </c>
      <c r="G22" s="10" t="s">
        <v>283</v>
      </c>
      <c r="H22" s="10" t="s">
        <v>284</v>
      </c>
      <c r="I22" s="10" t="s">
        <v>285</v>
      </c>
      <c r="J22" s="10" t="s">
        <v>286</v>
      </c>
      <c r="K22" s="5"/>
      <c r="L22" s="10" t="s">
        <v>279</v>
      </c>
      <c r="M22" s="10" t="s">
        <v>51</v>
      </c>
      <c r="N22" s="10" t="s">
        <v>280</v>
      </c>
      <c r="O22" s="10" t="s">
        <v>281</v>
      </c>
      <c r="P22" s="10" t="s">
        <v>282</v>
      </c>
      <c r="Q22" s="10" t="s">
        <v>283</v>
      </c>
      <c r="R22" s="10" t="s">
        <v>284</v>
      </c>
      <c r="S22" s="10" t="s">
        <v>285</v>
      </c>
      <c r="T22" s="10" t="s">
        <v>286</v>
      </c>
      <c r="U22" s="5"/>
      <c r="V22" s="10" t="s">
        <v>279</v>
      </c>
      <c r="W22" s="10" t="s">
        <v>51</v>
      </c>
      <c r="X22" s="10" t="s">
        <v>280</v>
      </c>
      <c r="Y22" s="10" t="s">
        <v>281</v>
      </c>
      <c r="Z22" s="10" t="s">
        <v>282</v>
      </c>
      <c r="AA22" s="10" t="s">
        <v>283</v>
      </c>
      <c r="AB22" s="10" t="s">
        <v>284</v>
      </c>
      <c r="AC22" s="10" t="s">
        <v>285</v>
      </c>
      <c r="AD22" s="10" t="s">
        <v>286</v>
      </c>
    </row>
    <row r="23" spans="1:30" ht="15.75" customHeight="1" x14ac:dyDescent="0.25">
      <c r="B23" s="10" t="s">
        <v>287</v>
      </c>
      <c r="C23" s="10"/>
      <c r="D23" s="10"/>
      <c r="E23" s="10"/>
      <c r="F23" s="10"/>
      <c r="G23" s="10"/>
      <c r="H23" s="10"/>
      <c r="I23" s="10"/>
      <c r="J23" s="10"/>
      <c r="L23" s="10" t="s">
        <v>287</v>
      </c>
      <c r="M23" s="10"/>
      <c r="N23" s="10"/>
      <c r="O23" s="10"/>
      <c r="P23" s="10"/>
      <c r="Q23" s="10"/>
      <c r="R23" s="10"/>
      <c r="S23" s="10"/>
      <c r="T23" s="10"/>
      <c r="V23" s="10" t="s">
        <v>287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258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288</v>
      </c>
      <c r="L24" s="12" t="s">
        <v>289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288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288</v>
      </c>
      <c r="N25" s="12" t="str">
        <v>PROF-CAM2</v>
      </c>
      <c r="O25" s="12" t="str">
        <v>Produccion con flaring de CAM2</v>
      </c>
      <c r="P25" s="12" t="s">
        <v>59</v>
      </c>
      <c r="Q25" s="12" t="s">
        <v>288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288</v>
      </c>
      <c r="N26" s="12" t="str">
        <v>PROF-CAM3</v>
      </c>
      <c r="O26" s="12" t="str">
        <v>Produccion con flaring de CAM3</v>
      </c>
      <c r="P26" s="12" t="s">
        <v>59</v>
      </c>
      <c r="Q26" s="12" t="s">
        <v>288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288</v>
      </c>
      <c r="N27" s="12" t="str">
        <v>PROF-CAM4</v>
      </c>
      <c r="O27" s="12" t="str">
        <v>Produccion con flaring de CAM4</v>
      </c>
      <c r="P27" s="12" t="s">
        <v>59</v>
      </c>
      <c r="Q27" s="12" t="s">
        <v>288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288</v>
      </c>
      <c r="N28" s="12" t="str">
        <v>PROF-CAM5</v>
      </c>
      <c r="O28" s="12" t="str">
        <v>Produccion con flaring de CAM5</v>
      </c>
      <c r="P28" s="12" t="s">
        <v>59</v>
      </c>
      <c r="Q28" s="12" t="s">
        <v>288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288</v>
      </c>
      <c r="N29" s="12" t="str">
        <v>PROF-CAM6</v>
      </c>
      <c r="O29" s="12" t="str">
        <v>Produccion con flaring de CAM6</v>
      </c>
      <c r="P29" s="12" t="s">
        <v>59</v>
      </c>
      <c r="Q29" s="12" t="s">
        <v>288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288</v>
      </c>
      <c r="N30" s="12" t="str">
        <v>PROF-CAM7</v>
      </c>
      <c r="O30" s="12" t="str">
        <v>Produccion con flaring de CAM7</v>
      </c>
      <c r="P30" s="12" t="s">
        <v>59</v>
      </c>
      <c r="Q30" s="12" t="s">
        <v>288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288</v>
      </c>
      <c r="N31" s="12" t="str">
        <v>PROF-CAM8</v>
      </c>
      <c r="O31" s="12" t="str">
        <v>Produccion con flaring de CAM8</v>
      </c>
      <c r="P31" s="12" t="s">
        <v>59</v>
      </c>
      <c r="Q31" s="12" t="s">
        <v>288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288</v>
      </c>
      <c r="N32" s="12" t="str">
        <v>PROF-CAM9</v>
      </c>
      <c r="O32" s="12" t="str">
        <v>Produccion con flaring de CAM9</v>
      </c>
      <c r="P32" s="12" t="s">
        <v>59</v>
      </c>
      <c r="Q32" s="12" t="s">
        <v>288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288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288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288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288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288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288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288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288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288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288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288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288</v>
      </c>
    </row>
    <row r="44" spans="4:17" ht="15.75" customHeight="1" x14ac:dyDescent="0.25">
      <c r="N44" s="12" t="str">
        <f t="array" ref="N44:N53">+"SEP-"&amp;B4:B13</f>
        <v>SEP-CAM1</v>
      </c>
      <c r="O44" s="12" t="s">
        <v>290</v>
      </c>
      <c r="P44" s="12" t="s">
        <v>59</v>
      </c>
      <c r="Q44" s="12" t="s">
        <v>288</v>
      </c>
    </row>
    <row r="45" spans="4:17" ht="15.75" customHeight="1" x14ac:dyDescent="0.25">
      <c r="N45" s="12" t="str">
        <v>SEP-CAM2</v>
      </c>
      <c r="O45" s="12" t="s">
        <v>291</v>
      </c>
      <c r="P45" s="12" t="s">
        <v>59</v>
      </c>
      <c r="Q45" s="12" t="s">
        <v>288</v>
      </c>
    </row>
    <row r="46" spans="4:17" ht="15.75" customHeight="1" x14ac:dyDescent="0.25">
      <c r="N46" s="12" t="str">
        <v>SEP-CAM3</v>
      </c>
      <c r="O46" s="12" t="s">
        <v>292</v>
      </c>
      <c r="P46" s="12" t="s">
        <v>59</v>
      </c>
      <c r="Q46" s="12" t="s">
        <v>288</v>
      </c>
    </row>
    <row r="47" spans="4:17" ht="15.75" customHeight="1" x14ac:dyDescent="0.25">
      <c r="N47" s="12" t="str">
        <v>SEP-CAM4</v>
      </c>
      <c r="O47" s="12" t="s">
        <v>293</v>
      </c>
      <c r="P47" s="12" t="s">
        <v>59</v>
      </c>
      <c r="Q47" s="12" t="s">
        <v>288</v>
      </c>
    </row>
    <row r="48" spans="4:17" ht="15.75" customHeight="1" x14ac:dyDescent="0.25">
      <c r="N48" s="12" t="str">
        <v>SEP-CAM5</v>
      </c>
      <c r="O48" s="12" t="s">
        <v>294</v>
      </c>
      <c r="P48" s="12" t="s">
        <v>59</v>
      </c>
      <c r="Q48" s="12" t="s">
        <v>288</v>
      </c>
    </row>
    <row r="49" spans="14:17" ht="15.75" customHeight="1" x14ac:dyDescent="0.25">
      <c r="N49" s="12" t="str">
        <v>SEP-CAM6</v>
      </c>
      <c r="O49" s="12" t="s">
        <v>295</v>
      </c>
      <c r="P49" s="12" t="s">
        <v>59</v>
      </c>
      <c r="Q49" s="12" t="s">
        <v>288</v>
      </c>
    </row>
    <row r="50" spans="14:17" ht="15.75" customHeight="1" x14ac:dyDescent="0.25">
      <c r="N50" s="12" t="str">
        <v>SEP-CAM7</v>
      </c>
      <c r="O50" s="12" t="s">
        <v>296</v>
      </c>
      <c r="P50" s="12" t="s">
        <v>59</v>
      </c>
      <c r="Q50" s="12" t="s">
        <v>288</v>
      </c>
    </row>
    <row r="51" spans="14:17" ht="15.75" customHeight="1" x14ac:dyDescent="0.25">
      <c r="N51" s="12" t="str">
        <v>SEP-CAM8</v>
      </c>
      <c r="O51" s="12" t="s">
        <v>297</v>
      </c>
      <c r="P51" s="12" t="s">
        <v>59</v>
      </c>
      <c r="Q51" s="12" t="s">
        <v>288</v>
      </c>
    </row>
    <row r="52" spans="14:17" ht="15.75" customHeight="1" x14ac:dyDescent="0.25">
      <c r="N52" s="12" t="str">
        <v>SEP-CAM9</v>
      </c>
      <c r="O52" s="12" t="s">
        <v>298</v>
      </c>
      <c r="P52" s="12" t="s">
        <v>59</v>
      </c>
      <c r="Q52" s="12" t="s">
        <v>288</v>
      </c>
    </row>
    <row r="53" spans="14:17" ht="15.75" customHeight="1" x14ac:dyDescent="0.25">
      <c r="N53" s="12" t="str">
        <v>SEP-CAM10</v>
      </c>
      <c r="O53" s="12" t="s">
        <v>299</v>
      </c>
      <c r="P53" s="12" t="s">
        <v>59</v>
      </c>
      <c r="Q53" s="12" t="s">
        <v>288</v>
      </c>
    </row>
    <row r="54" spans="14:17" ht="15.75" customHeight="1" x14ac:dyDescent="0.25">
      <c r="N54" s="12" t="str">
        <f t="array" ref="N54:N59">+"PLT-"&amp;B4:B9</f>
        <v>PLT-CAM1</v>
      </c>
      <c r="O54" s="12" t="s">
        <v>300</v>
      </c>
      <c r="P54" s="12" t="s">
        <v>59</v>
      </c>
      <c r="Q54" s="12" t="s">
        <v>288</v>
      </c>
    </row>
    <row r="55" spans="14:17" ht="15.75" customHeight="1" x14ac:dyDescent="0.25">
      <c r="N55" s="12" t="str">
        <v>PLT-CAM2</v>
      </c>
      <c r="O55" s="12" t="s">
        <v>301</v>
      </c>
      <c r="P55" s="12" t="s">
        <v>59</v>
      </c>
      <c r="Q55" s="12" t="s">
        <v>288</v>
      </c>
    </row>
    <row r="56" spans="14:17" ht="15.75" customHeight="1" x14ac:dyDescent="0.25">
      <c r="N56" s="12" t="str">
        <v>PLT-CAM3</v>
      </c>
      <c r="O56" s="12" t="s">
        <v>302</v>
      </c>
      <c r="P56" s="12" t="s">
        <v>59</v>
      </c>
      <c r="Q56" s="12" t="s">
        <v>288</v>
      </c>
    </row>
    <row r="57" spans="14:17" ht="15.75" customHeight="1" x14ac:dyDescent="0.25">
      <c r="N57" s="12" t="str">
        <v>PLT-CAM4</v>
      </c>
      <c r="O57" s="12" t="s">
        <v>303</v>
      </c>
      <c r="P57" s="12" t="s">
        <v>59</v>
      </c>
      <c r="Q57" s="12" t="s">
        <v>288</v>
      </c>
    </row>
    <row r="58" spans="14:17" ht="15.75" customHeight="1" x14ac:dyDescent="0.25">
      <c r="N58" s="12" t="str">
        <v>PLT-CAM5</v>
      </c>
      <c r="O58" s="12" t="s">
        <v>304</v>
      </c>
      <c r="P58" s="12" t="s">
        <v>59</v>
      </c>
      <c r="Q58" s="12" t="s">
        <v>288</v>
      </c>
    </row>
    <row r="59" spans="14:17" ht="15.75" customHeight="1" x14ac:dyDescent="0.25">
      <c r="N59" s="12" t="str">
        <v>PLT-CAM6</v>
      </c>
      <c r="O59" s="12" t="s">
        <v>305</v>
      </c>
      <c r="P59" s="12" t="s">
        <v>59</v>
      </c>
      <c r="Q59" s="12" t="s">
        <v>288</v>
      </c>
    </row>
    <row r="60" spans="14:17" ht="15.75" customHeight="1" x14ac:dyDescent="0.25">
      <c r="N60" s="14" t="s">
        <v>306</v>
      </c>
      <c r="O60" s="12" t="s">
        <v>307</v>
      </c>
      <c r="P60" s="12" t="s">
        <v>59</v>
      </c>
      <c r="Q60" s="12" t="s">
        <v>288</v>
      </c>
    </row>
    <row r="61" spans="14:17" ht="15.75" customHeight="1" x14ac:dyDescent="0.25">
      <c r="N61" s="16" t="s">
        <v>308</v>
      </c>
      <c r="O61" s="1" t="s">
        <v>309</v>
      </c>
      <c r="P61" s="12" t="s">
        <v>59</v>
      </c>
      <c r="Q61" s="12" t="s">
        <v>288</v>
      </c>
    </row>
    <row r="62" spans="14:17" ht="15.75" customHeight="1" x14ac:dyDescent="0.25">
      <c r="N62" s="16" t="s">
        <v>310</v>
      </c>
      <c r="O62" s="1" t="s">
        <v>311</v>
      </c>
      <c r="P62" s="12" t="s">
        <v>59</v>
      </c>
      <c r="Q62" s="12" t="s">
        <v>288</v>
      </c>
    </row>
    <row r="63" spans="14:17" ht="15.75" customHeight="1" x14ac:dyDescent="0.25">
      <c r="N63" s="16" t="s">
        <v>312</v>
      </c>
      <c r="O63" s="1" t="s">
        <v>313</v>
      </c>
      <c r="P63" s="12" t="s">
        <v>59</v>
      </c>
      <c r="Q63" s="12" t="s">
        <v>288</v>
      </c>
    </row>
    <row r="64" spans="14:17" ht="15.75" customHeight="1" x14ac:dyDescent="0.25">
      <c r="N64" s="16" t="s">
        <v>314</v>
      </c>
      <c r="O64" s="1" t="s">
        <v>315</v>
      </c>
      <c r="P64" s="12" t="s">
        <v>59</v>
      </c>
      <c r="Q64" s="12" t="s">
        <v>288</v>
      </c>
    </row>
    <row r="65" spans="14:17" ht="15.75" customHeight="1" x14ac:dyDescent="0.25">
      <c r="N65" s="16" t="s">
        <v>316</v>
      </c>
      <c r="O65" s="1" t="s">
        <v>317</v>
      </c>
      <c r="P65" s="12" t="s">
        <v>59</v>
      </c>
      <c r="Q65" s="12" t="s">
        <v>288</v>
      </c>
    </row>
    <row r="66" spans="14:17" ht="15.75" customHeight="1" x14ac:dyDescent="0.25">
      <c r="N66" s="16" t="s">
        <v>318</v>
      </c>
      <c r="O66" s="1" t="s">
        <v>319</v>
      </c>
      <c r="P66" s="12" t="s">
        <v>59</v>
      </c>
      <c r="Q66" s="12" t="s">
        <v>288</v>
      </c>
    </row>
    <row r="67" spans="14:17" ht="15.75" customHeight="1" x14ac:dyDescent="0.25">
      <c r="N67" s="16" t="s">
        <v>320</v>
      </c>
      <c r="O67" s="1" t="s">
        <v>321</v>
      </c>
      <c r="P67" s="12" t="s">
        <v>59</v>
      </c>
      <c r="Q67" s="12" t="s">
        <v>288</v>
      </c>
    </row>
    <row r="68" spans="14:17" ht="15.75" customHeight="1" x14ac:dyDescent="0.25">
      <c r="N68" s="16" t="s">
        <v>322</v>
      </c>
      <c r="O68" s="1" t="s">
        <v>323</v>
      </c>
      <c r="P68" s="12" t="s">
        <v>59</v>
      </c>
      <c r="Q68" s="12" t="s">
        <v>288</v>
      </c>
    </row>
    <row r="69" spans="14:17" ht="15.75" customHeight="1" x14ac:dyDescent="0.25">
      <c r="N69" s="16" t="s">
        <v>324</v>
      </c>
      <c r="O69" s="1" t="s">
        <v>325</v>
      </c>
      <c r="P69" s="12" t="s">
        <v>59</v>
      </c>
      <c r="Q69" s="12" t="s">
        <v>288</v>
      </c>
    </row>
    <row r="70" spans="14:17" ht="15.75" customHeight="1" x14ac:dyDescent="0.25">
      <c r="N70" s="16" t="s">
        <v>326</v>
      </c>
      <c r="O70" s="1" t="s">
        <v>327</v>
      </c>
      <c r="P70" s="12" t="s">
        <v>59</v>
      </c>
      <c r="Q70" s="12" t="s">
        <v>288</v>
      </c>
    </row>
    <row r="71" spans="14:17" ht="15.75" customHeight="1" x14ac:dyDescent="0.25">
      <c r="N71" s="16" t="s">
        <v>328</v>
      </c>
      <c r="O71" s="1" t="s">
        <v>329</v>
      </c>
      <c r="P71" s="12" t="s">
        <v>59</v>
      </c>
      <c r="Q71" s="12" t="s">
        <v>288</v>
      </c>
    </row>
    <row r="72" spans="14:17" ht="15.75" customHeight="1" x14ac:dyDescent="0.25">
      <c r="N72" s="16" t="s">
        <v>330</v>
      </c>
      <c r="O72" s="1" t="s">
        <v>331</v>
      </c>
      <c r="P72" s="12" t="s">
        <v>59</v>
      </c>
      <c r="Q72" s="12" t="s">
        <v>288</v>
      </c>
    </row>
    <row r="73" spans="14:17" ht="15.75" customHeight="1" x14ac:dyDescent="0.25">
      <c r="N73" s="17" t="str">
        <f t="array" ref="N73:N79">+"COLFUEL-GAS-"&amp;B4:B10</f>
        <v>COLFUEL-GAS-CAM1</v>
      </c>
      <c r="O73" s="18" t="s">
        <v>332</v>
      </c>
      <c r="P73" s="12" t="s">
        <v>59</v>
      </c>
      <c r="Q73" s="12" t="s">
        <v>288</v>
      </c>
    </row>
    <row r="74" spans="14:17" ht="15.75" customHeight="1" x14ac:dyDescent="0.25">
      <c r="N74" s="18" t="str">
        <v>COLFUEL-GAS-CAM2</v>
      </c>
      <c r="O74" s="18" t="s">
        <v>334</v>
      </c>
      <c r="P74" s="12" t="s">
        <v>59</v>
      </c>
      <c r="Q74" s="12" t="s">
        <v>288</v>
      </c>
    </row>
    <row r="75" spans="14:17" ht="15.75" customHeight="1" x14ac:dyDescent="0.25">
      <c r="N75" s="18" t="str">
        <v>COLFUEL-GAS-CAM3</v>
      </c>
      <c r="O75" s="18" t="s">
        <v>335</v>
      </c>
      <c r="P75" s="12" t="s">
        <v>59</v>
      </c>
      <c r="Q75" s="12" t="s">
        <v>288</v>
      </c>
    </row>
    <row r="76" spans="14:17" ht="15.75" customHeight="1" x14ac:dyDescent="0.25">
      <c r="N76" s="18" t="str">
        <v>COLFUEL-GAS-CAM4</v>
      </c>
      <c r="O76" s="18" t="s">
        <v>336</v>
      </c>
      <c r="P76" s="12" t="s">
        <v>59</v>
      </c>
      <c r="Q76" s="12" t="s">
        <v>288</v>
      </c>
    </row>
    <row r="77" spans="14:17" ht="15.75" customHeight="1" x14ac:dyDescent="0.25">
      <c r="N77" s="18" t="str">
        <v>COLFUEL-GAS-CAM5</v>
      </c>
      <c r="O77" s="18" t="s">
        <v>337</v>
      </c>
      <c r="P77" s="12" t="s">
        <v>59</v>
      </c>
      <c r="Q77" s="12" t="s">
        <v>288</v>
      </c>
    </row>
    <row r="78" spans="14:17" ht="15.75" customHeight="1" x14ac:dyDescent="0.25">
      <c r="N78" s="18" t="str">
        <v>COLFUEL-GAS-CAM6</v>
      </c>
      <c r="O78" s="18" t="s">
        <v>338</v>
      </c>
      <c r="P78" s="12" t="s">
        <v>59</v>
      </c>
      <c r="Q78" s="12" t="s">
        <v>288</v>
      </c>
    </row>
    <row r="79" spans="14:17" ht="15.75" customHeight="1" x14ac:dyDescent="0.25">
      <c r="N79" s="18" t="str">
        <v>COLFUEL-GAS-CAM7</v>
      </c>
      <c r="O79" s="18" t="s">
        <v>339</v>
      </c>
      <c r="P79" s="12" t="s">
        <v>59</v>
      </c>
      <c r="Q79" s="12" t="s">
        <v>288</v>
      </c>
    </row>
    <row r="80" spans="14:17" ht="15.75" customHeight="1" x14ac:dyDescent="0.25">
      <c r="N80" s="17" t="str">
        <f t="array" ref="N80:N86">+"COLELC-GAS-"&amp;B4:B10</f>
        <v>COLELC-GAS-CAM1</v>
      </c>
      <c r="O80" s="18" t="s">
        <v>340</v>
      </c>
      <c r="P80" s="12" t="s">
        <v>59</v>
      </c>
      <c r="Q80" s="12" t="s">
        <v>288</v>
      </c>
    </row>
    <row r="81" spans="14:17" ht="15.75" customHeight="1" x14ac:dyDescent="0.25">
      <c r="N81" s="18" t="str">
        <v>COLELC-GAS-CAM2</v>
      </c>
      <c r="O81" s="18" t="s">
        <v>341</v>
      </c>
      <c r="P81" s="12" t="s">
        <v>59</v>
      </c>
      <c r="Q81" s="12" t="s">
        <v>288</v>
      </c>
    </row>
    <row r="82" spans="14:17" ht="15.75" customHeight="1" x14ac:dyDescent="0.25">
      <c r="N82" s="18" t="str">
        <v>COLELC-GAS-CAM3</v>
      </c>
      <c r="O82" s="18" t="s">
        <v>342</v>
      </c>
      <c r="P82" s="12" t="s">
        <v>59</v>
      </c>
      <c r="Q82" s="12" t="s">
        <v>288</v>
      </c>
    </row>
    <row r="83" spans="14:17" ht="15.75" customHeight="1" x14ac:dyDescent="0.25">
      <c r="N83" s="18" t="str">
        <v>COLELC-GAS-CAM4</v>
      </c>
      <c r="O83" s="18" t="s">
        <v>343</v>
      </c>
      <c r="P83" s="12" t="s">
        <v>59</v>
      </c>
      <c r="Q83" s="12" t="s">
        <v>288</v>
      </c>
    </row>
    <row r="84" spans="14:17" ht="15.75" customHeight="1" x14ac:dyDescent="0.25">
      <c r="N84" s="18" t="str">
        <v>COLELC-GAS-CAM5</v>
      </c>
      <c r="O84" s="18" t="s">
        <v>344</v>
      </c>
      <c r="P84" s="12" t="s">
        <v>59</v>
      </c>
      <c r="Q84" s="12" t="s">
        <v>288</v>
      </c>
    </row>
    <row r="85" spans="14:17" ht="15.75" customHeight="1" x14ac:dyDescent="0.25">
      <c r="N85" s="18" t="str">
        <v>COLELC-GAS-CAM6</v>
      </c>
      <c r="O85" s="18" t="s">
        <v>345</v>
      </c>
      <c r="P85" s="12" t="s">
        <v>59</v>
      </c>
      <c r="Q85" s="12" t="s">
        <v>288</v>
      </c>
    </row>
    <row r="86" spans="14:17" ht="15.75" customHeight="1" x14ac:dyDescent="0.25">
      <c r="N86" s="18" t="str">
        <v>COLELC-GAS-CAM7</v>
      </c>
      <c r="O86" s="18" t="s">
        <v>346</v>
      </c>
      <c r="P86" s="12" t="s">
        <v>59</v>
      </c>
      <c r="Q86" s="12" t="s">
        <v>288</v>
      </c>
    </row>
    <row r="87" spans="14:17" ht="15.75" customHeight="1" x14ac:dyDescent="0.25">
      <c r="N87" s="12" t="s">
        <v>347</v>
      </c>
      <c r="O87" s="18" t="s">
        <v>348</v>
      </c>
      <c r="P87" s="12" t="s">
        <v>59</v>
      </c>
      <c r="Q87" s="12" t="s">
        <v>288</v>
      </c>
    </row>
    <row r="88" spans="14:17" ht="15.75" customHeight="1" x14ac:dyDescent="0.25">
      <c r="N88" s="12" t="s">
        <v>349</v>
      </c>
      <c r="O88" s="18" t="s">
        <v>350</v>
      </c>
      <c r="P88" s="12" t="s">
        <v>59</v>
      </c>
      <c r="Q88" s="12" t="s">
        <v>288</v>
      </c>
    </row>
    <row r="89" spans="14:17" ht="15.75" customHeight="1" x14ac:dyDescent="0.25">
      <c r="N89" s="12" t="s">
        <v>351</v>
      </c>
      <c r="O89" s="18" t="s">
        <v>352</v>
      </c>
      <c r="P89" s="12" t="s">
        <v>59</v>
      </c>
      <c r="Q89" s="12" t="s">
        <v>288</v>
      </c>
    </row>
    <row r="90" spans="14:17" ht="15.75" customHeight="1" x14ac:dyDescent="0.25">
      <c r="N90" s="12" t="s">
        <v>353</v>
      </c>
      <c r="O90" s="18" t="s">
        <v>354</v>
      </c>
      <c r="P90" s="12" t="s">
        <v>59</v>
      </c>
      <c r="Q90" s="12" t="s">
        <v>288</v>
      </c>
    </row>
    <row r="91" spans="14:17" ht="15.75" customHeight="1" x14ac:dyDescent="0.25">
      <c r="N91" s="12" t="s">
        <v>355</v>
      </c>
      <c r="O91" s="18" t="s">
        <v>356</v>
      </c>
      <c r="P91" s="12" t="s">
        <v>59</v>
      </c>
      <c r="Q91" s="12" t="s">
        <v>288</v>
      </c>
    </row>
    <row r="92" spans="14:17" ht="15.75" customHeight="1" x14ac:dyDescent="0.25">
      <c r="N92" s="12" t="s">
        <v>357</v>
      </c>
      <c r="O92" s="18" t="s">
        <v>358</v>
      </c>
      <c r="P92" s="12" t="s">
        <v>59</v>
      </c>
      <c r="Q92" s="12" t="s">
        <v>288</v>
      </c>
    </row>
    <row r="93" spans="14:17" ht="15.75" customHeight="1" x14ac:dyDescent="0.25">
      <c r="N93" s="12" t="s">
        <v>359</v>
      </c>
      <c r="O93" s="18" t="s">
        <v>360</v>
      </c>
      <c r="P93" s="18" t="s">
        <v>59</v>
      </c>
      <c r="Q93" s="18" t="s">
        <v>333</v>
      </c>
    </row>
    <row r="94" spans="14:17" ht="15.75" customHeight="1" x14ac:dyDescent="0.25">
      <c r="N94" s="12" t="s">
        <v>361</v>
      </c>
      <c r="O94" s="18" t="s">
        <v>362</v>
      </c>
      <c r="P94" s="18" t="s">
        <v>59</v>
      </c>
      <c r="Q94" s="18" t="s">
        <v>333</v>
      </c>
    </row>
    <row r="95" spans="14:17" ht="15.75" customHeight="1" x14ac:dyDescent="0.25">
      <c r="N95" s="12" t="s">
        <v>363</v>
      </c>
      <c r="O95" s="18" t="s">
        <v>364</v>
      </c>
      <c r="P95" s="18" t="s">
        <v>59</v>
      </c>
      <c r="Q95" s="18" t="s">
        <v>333</v>
      </c>
    </row>
    <row r="96" spans="14:17" ht="15.75" customHeight="1" x14ac:dyDescent="0.25">
      <c r="N96" s="12" t="s">
        <v>365</v>
      </c>
      <c r="O96" s="18" t="s">
        <v>366</v>
      </c>
      <c r="P96" s="18" t="s">
        <v>59</v>
      </c>
      <c r="Q96" s="18" t="s">
        <v>333</v>
      </c>
    </row>
    <row r="97" spans="14:17" ht="15.75" customHeight="1" x14ac:dyDescent="0.25">
      <c r="N97" s="12" t="str">
        <f t="array" ref="N97:N103">+"FTE-FUEL-GAS-"&amp;B4:B10</f>
        <v>FTE-FUEL-GAS-CAM1</v>
      </c>
      <c r="O97" s="18" t="s">
        <v>367</v>
      </c>
      <c r="P97" s="18" t="s">
        <v>59</v>
      </c>
      <c r="Q97" s="18" t="s">
        <v>333</v>
      </c>
    </row>
    <row r="98" spans="14:17" ht="15.75" customHeight="1" x14ac:dyDescent="0.25">
      <c r="N98" s="12" t="str">
        <v>FTE-FUEL-GAS-CAM2</v>
      </c>
      <c r="O98" s="18" t="s">
        <v>368</v>
      </c>
      <c r="P98" s="18" t="s">
        <v>59</v>
      </c>
      <c r="Q98" s="18" t="s">
        <v>333</v>
      </c>
    </row>
    <row r="99" spans="14:17" ht="15.75" customHeight="1" x14ac:dyDescent="0.25">
      <c r="N99" s="12" t="str">
        <v>FTE-FUEL-GAS-CAM3</v>
      </c>
      <c r="O99" s="18" t="s">
        <v>369</v>
      </c>
      <c r="P99" s="18" t="s">
        <v>59</v>
      </c>
      <c r="Q99" s="18" t="s">
        <v>333</v>
      </c>
    </row>
    <row r="100" spans="14:17" ht="15.75" customHeight="1" x14ac:dyDescent="0.25">
      <c r="N100" s="12" t="str">
        <v>FTE-FUEL-GAS-CAM4</v>
      </c>
      <c r="O100" s="18" t="s">
        <v>370</v>
      </c>
      <c r="P100" s="18" t="s">
        <v>59</v>
      </c>
      <c r="Q100" s="18" t="s">
        <v>333</v>
      </c>
    </row>
    <row r="101" spans="14:17" ht="15.75" customHeight="1" x14ac:dyDescent="0.25">
      <c r="N101" s="12" t="str">
        <v>FTE-FUEL-GAS-CAM5</v>
      </c>
      <c r="O101" s="18" t="s">
        <v>371</v>
      </c>
      <c r="P101" s="18" t="s">
        <v>59</v>
      </c>
      <c r="Q101" s="18" t="s">
        <v>333</v>
      </c>
    </row>
    <row r="102" spans="14:17" ht="15.75" customHeight="1" x14ac:dyDescent="0.25">
      <c r="N102" s="12" t="str">
        <v>FTE-FUEL-GAS-CAM6</v>
      </c>
      <c r="O102" s="18" t="s">
        <v>372</v>
      </c>
      <c r="P102" s="18" t="s">
        <v>59</v>
      </c>
      <c r="Q102" s="18" t="s">
        <v>333</v>
      </c>
    </row>
    <row r="103" spans="14:17" ht="15.75" customHeight="1" x14ac:dyDescent="0.25">
      <c r="N103" s="12" t="str">
        <v>FTE-FUEL-GAS-CAM7</v>
      </c>
      <c r="O103" s="18" t="s">
        <v>373</v>
      </c>
      <c r="P103" s="18" t="s">
        <v>59</v>
      </c>
      <c r="Q103" s="18" t="s">
        <v>333</v>
      </c>
    </row>
    <row r="104" spans="14:17" ht="15.75" customHeight="1" x14ac:dyDescent="0.25">
      <c r="N104" s="12" t="str">
        <f t="array" ref="N104:N110">+"FTE-FUEL-DSL-"&amp;$B$4:$B$10</f>
        <v>FTE-FUEL-DSL-CAM1</v>
      </c>
      <c r="O104" s="18" t="s">
        <v>374</v>
      </c>
      <c r="P104" s="18" t="s">
        <v>59</v>
      </c>
      <c r="Q104" s="18" t="s">
        <v>333</v>
      </c>
    </row>
    <row r="105" spans="14:17" ht="15.75" customHeight="1" x14ac:dyDescent="0.25">
      <c r="N105" s="12" t="str">
        <v>FTE-FUEL-DSL-CAM2</v>
      </c>
      <c r="O105" s="18" t="s">
        <v>375</v>
      </c>
      <c r="P105" s="18" t="s">
        <v>59</v>
      </c>
      <c r="Q105" s="18" t="s">
        <v>333</v>
      </c>
    </row>
    <row r="106" spans="14:17" ht="15.75" customHeight="1" x14ac:dyDescent="0.25">
      <c r="N106" s="12" t="str">
        <v>FTE-FUEL-DSL-CAM3</v>
      </c>
      <c r="O106" s="18" t="s">
        <v>376</v>
      </c>
      <c r="P106" s="18" t="s">
        <v>59</v>
      </c>
      <c r="Q106" s="18" t="s">
        <v>333</v>
      </c>
    </row>
    <row r="107" spans="14:17" ht="15.75" customHeight="1" x14ac:dyDescent="0.25">
      <c r="N107" s="12" t="str">
        <v>FTE-FUEL-DSL-CAM4</v>
      </c>
      <c r="O107" s="18" t="s">
        <v>377</v>
      </c>
      <c r="P107" s="18" t="s">
        <v>59</v>
      </c>
      <c r="Q107" s="18" t="s">
        <v>288</v>
      </c>
    </row>
    <row r="108" spans="14:17" ht="15.75" customHeight="1" x14ac:dyDescent="0.25">
      <c r="N108" s="12" t="str">
        <v>FTE-FUEL-DSL-CAM5</v>
      </c>
      <c r="O108" s="18" t="s">
        <v>378</v>
      </c>
      <c r="P108" s="18" t="s">
        <v>59</v>
      </c>
      <c r="Q108" s="18" t="s">
        <v>288</v>
      </c>
    </row>
    <row r="109" spans="14:17" ht="15.75" customHeight="1" x14ac:dyDescent="0.25">
      <c r="N109" s="12" t="str">
        <v>FTE-FUEL-DSL-CAM6</v>
      </c>
      <c r="O109" s="18" t="s">
        <v>379</v>
      </c>
      <c r="P109" s="18" t="s">
        <v>59</v>
      </c>
      <c r="Q109" s="18" t="s">
        <v>288</v>
      </c>
    </row>
    <row r="110" spans="14:17" ht="15.75" customHeight="1" x14ac:dyDescent="0.25">
      <c r="N110" s="12" t="str">
        <v>FTE-FUEL-DSL-CAM7</v>
      </c>
      <c r="O110" s="18" t="s">
        <v>380</v>
      </c>
      <c r="P110" s="18" t="s">
        <v>59</v>
      </c>
      <c r="Q110" s="18" t="s">
        <v>288</v>
      </c>
    </row>
    <row r="111" spans="14:17" ht="15.75" customHeight="1" x14ac:dyDescent="0.25">
      <c r="N111" s="12" t="str">
        <f t="array" ref="N111:N117">+"FTE-FUEL-OIL-"&amp;$B$4:$B$10</f>
        <v>FTE-FUEL-OIL-CAM1</v>
      </c>
      <c r="O111" s="18" t="s">
        <v>381</v>
      </c>
      <c r="P111" s="18" t="s">
        <v>59</v>
      </c>
      <c r="Q111" s="18" t="s">
        <v>288</v>
      </c>
    </row>
    <row r="112" spans="14:17" ht="15.75" customHeight="1" x14ac:dyDescent="0.25">
      <c r="N112" s="12" t="str">
        <v>FTE-FUEL-OIL-CAM2</v>
      </c>
      <c r="O112" s="18" t="s">
        <v>382</v>
      </c>
      <c r="P112" s="18" t="s">
        <v>59</v>
      </c>
      <c r="Q112" s="18" t="s">
        <v>288</v>
      </c>
    </row>
    <row r="113" spans="13:20" ht="15.75" customHeight="1" x14ac:dyDescent="0.25">
      <c r="N113" s="12" t="str">
        <v>FTE-FUEL-OIL-CAM3</v>
      </c>
      <c r="O113" s="18" t="s">
        <v>383</v>
      </c>
      <c r="P113" s="18" t="s">
        <v>59</v>
      </c>
      <c r="Q113" s="18" t="s">
        <v>288</v>
      </c>
    </row>
    <row r="114" spans="13:20" ht="15.75" customHeight="1" x14ac:dyDescent="0.25">
      <c r="N114" s="1" t="str">
        <v>FTE-FUEL-OIL-CAM4</v>
      </c>
      <c r="O114" s="18" t="s">
        <v>384</v>
      </c>
      <c r="P114" s="18" t="s">
        <v>59</v>
      </c>
      <c r="Q114" s="18" t="s">
        <v>288</v>
      </c>
    </row>
    <row r="115" spans="13:20" ht="15.75" customHeight="1" x14ac:dyDescent="0.25">
      <c r="N115" s="1" t="str">
        <v>FTE-FUEL-OIL-CAM5</v>
      </c>
      <c r="O115" s="18" t="s">
        <v>385</v>
      </c>
      <c r="P115" s="18" t="s">
        <v>59</v>
      </c>
      <c r="Q115" s="18" t="s">
        <v>288</v>
      </c>
    </row>
    <row r="116" spans="13:20" ht="15.75" customHeight="1" x14ac:dyDescent="0.25">
      <c r="N116" s="1" t="str">
        <v>FTE-FUEL-OIL-CAM6</v>
      </c>
      <c r="O116" s="18" t="s">
        <v>386</v>
      </c>
      <c r="P116" s="18" t="s">
        <v>59</v>
      </c>
      <c r="Q116" s="18" t="s">
        <v>288</v>
      </c>
    </row>
    <row r="117" spans="13:20" ht="15.75" customHeight="1" x14ac:dyDescent="0.25">
      <c r="N117" s="1" t="str">
        <v>FTE-FUEL-OIL-CAM7</v>
      </c>
      <c r="O117" s="18" t="s">
        <v>387</v>
      </c>
      <c r="P117" s="18" t="s">
        <v>59</v>
      </c>
      <c r="Q117" s="18" t="s">
        <v>288</v>
      </c>
    </row>
    <row r="118" spans="13:20" ht="15.75" customHeight="1" x14ac:dyDescent="0.25">
      <c r="N118" s="12" t="s">
        <v>388</v>
      </c>
      <c r="O118" s="18" t="s">
        <v>389</v>
      </c>
      <c r="P118" s="18" t="s">
        <v>59</v>
      </c>
      <c r="Q118" s="18" t="s">
        <v>288</v>
      </c>
    </row>
    <row r="119" spans="13:20" ht="15.75" customHeight="1" x14ac:dyDescent="0.25">
      <c r="N119" s="19" t="s">
        <v>390</v>
      </c>
      <c r="O119" s="18" t="s">
        <v>391</v>
      </c>
      <c r="P119" s="18" t="s">
        <v>59</v>
      </c>
      <c r="Q119" s="18" t="s">
        <v>288</v>
      </c>
    </row>
    <row r="120" spans="13:20" ht="15.75" customHeight="1" x14ac:dyDescent="0.25">
      <c r="N120" s="19" t="s">
        <v>392</v>
      </c>
      <c r="O120" s="18" t="s">
        <v>393</v>
      </c>
      <c r="P120" s="18" t="s">
        <v>59</v>
      </c>
      <c r="Q120" s="18" t="s">
        <v>288</v>
      </c>
    </row>
    <row r="121" spans="13:20" ht="15.75" customHeight="1" x14ac:dyDescent="0.25">
      <c r="N121" s="19" t="s">
        <v>394</v>
      </c>
      <c r="O121" s="18" t="s">
        <v>395</v>
      </c>
      <c r="P121" s="18" t="s">
        <v>59</v>
      </c>
      <c r="Q121" s="18" t="s">
        <v>288</v>
      </c>
    </row>
    <row r="122" spans="13:20" ht="15.75" customHeight="1" x14ac:dyDescent="0.25">
      <c r="N122" s="19" t="s">
        <v>396</v>
      </c>
      <c r="O122" s="18" t="s">
        <v>397</v>
      </c>
      <c r="P122" s="18" t="s">
        <v>59</v>
      </c>
      <c r="Q122" s="18" t="s">
        <v>288</v>
      </c>
    </row>
    <row r="123" spans="13:20" ht="15.75" customHeight="1" x14ac:dyDescent="0.25">
      <c r="N123" s="19" t="s">
        <v>398</v>
      </c>
      <c r="O123" s="18" t="s">
        <v>399</v>
      </c>
      <c r="P123" s="18" t="s">
        <v>59</v>
      </c>
      <c r="Q123" s="18" t="s">
        <v>288</v>
      </c>
    </row>
    <row r="124" spans="13:20" ht="15.75" customHeight="1" x14ac:dyDescent="0.25">
      <c r="N124" s="19" t="s">
        <v>400</v>
      </c>
      <c r="O124" s="18" t="s">
        <v>401</v>
      </c>
      <c r="P124" s="18" t="s">
        <v>59</v>
      </c>
      <c r="Q124" s="18" t="s">
        <v>288</v>
      </c>
      <c r="R124" s="1"/>
    </row>
    <row r="125" spans="13:20" ht="15.75" customHeight="1" x14ac:dyDescent="0.25">
      <c r="N125" s="19" t="s">
        <v>402</v>
      </c>
      <c r="O125" s="18" t="s">
        <v>403</v>
      </c>
      <c r="P125" s="18" t="s">
        <v>59</v>
      </c>
      <c r="Q125" s="18" t="s">
        <v>288</v>
      </c>
      <c r="R125" s="1"/>
    </row>
    <row r="126" spans="13:20" ht="15.75" customHeight="1" x14ac:dyDescent="0.25">
      <c r="N126" s="19" t="s">
        <v>404</v>
      </c>
      <c r="O126" s="18" t="s">
        <v>405</v>
      </c>
      <c r="P126" s="18" t="s">
        <v>59</v>
      </c>
      <c r="Q126" s="18" t="s">
        <v>288</v>
      </c>
      <c r="R126" s="1"/>
      <c r="S126" s="1"/>
    </row>
    <row r="127" spans="13:20" ht="15.75" customHeight="1" x14ac:dyDescent="0.25">
      <c r="N127" s="19" t="s">
        <v>406</v>
      </c>
      <c r="O127" s="18" t="s">
        <v>407</v>
      </c>
      <c r="P127" s="18" t="s">
        <v>59</v>
      </c>
      <c r="Q127" s="18" t="s">
        <v>288</v>
      </c>
      <c r="R127" s="1"/>
      <c r="S127" s="1"/>
    </row>
    <row r="128" spans="13:20" ht="15.75" customHeight="1" x14ac:dyDescent="0.25">
      <c r="M128" s="1"/>
      <c r="N128" s="19" t="s">
        <v>408</v>
      </c>
      <c r="O128" s="18" t="s">
        <v>409</v>
      </c>
      <c r="P128" s="18" t="s">
        <v>59</v>
      </c>
      <c r="Q128" s="18" t="s">
        <v>288</v>
      </c>
      <c r="R128" s="1"/>
      <c r="S128" s="1"/>
      <c r="T128" s="1"/>
    </row>
    <row r="129" spans="13:20" ht="15.75" customHeight="1" x14ac:dyDescent="0.25">
      <c r="M129" s="1"/>
      <c r="N129" s="19" t="s">
        <v>410</v>
      </c>
      <c r="O129" s="18" t="s">
        <v>411</v>
      </c>
      <c r="P129" s="18" t="s">
        <v>59</v>
      </c>
      <c r="Q129" s="18" t="s">
        <v>288</v>
      </c>
      <c r="R129" s="1"/>
      <c r="S129" s="1"/>
      <c r="T129" s="1"/>
    </row>
    <row r="130" spans="13:20" ht="15.75" customHeight="1" x14ac:dyDescent="0.25">
      <c r="M130" s="1"/>
      <c r="N130" s="19" t="s">
        <v>412</v>
      </c>
      <c r="O130" s="18" t="s">
        <v>413</v>
      </c>
      <c r="P130" s="18" t="s">
        <v>59</v>
      </c>
      <c r="Q130" s="18" t="s">
        <v>288</v>
      </c>
      <c r="R130" s="1"/>
      <c r="S130" s="1"/>
      <c r="T130" s="1"/>
    </row>
    <row r="131" spans="13:20" ht="15.75" customHeight="1" x14ac:dyDescent="0.25">
      <c r="M131" s="1"/>
      <c r="N131" s="19" t="s">
        <v>414</v>
      </c>
      <c r="O131" s="18" t="s">
        <v>415</v>
      </c>
      <c r="P131" s="18" t="s">
        <v>59</v>
      </c>
      <c r="Q131" s="18" t="s">
        <v>288</v>
      </c>
      <c r="R131" s="1"/>
      <c r="S131" s="1"/>
      <c r="T131" s="1"/>
    </row>
    <row r="132" spans="13:20" ht="15.75" customHeight="1" x14ac:dyDescent="0.25">
      <c r="M132" s="1"/>
      <c r="N132" s="19" t="s">
        <v>416</v>
      </c>
      <c r="O132" s="18" t="s">
        <v>417</v>
      </c>
      <c r="P132" s="18" t="s">
        <v>59</v>
      </c>
      <c r="Q132" s="18" t="s">
        <v>288</v>
      </c>
      <c r="R132" s="1"/>
      <c r="S132" s="1"/>
      <c r="T132" s="1"/>
    </row>
    <row r="133" spans="13:20" ht="15.75" customHeight="1" x14ac:dyDescent="0.25">
      <c r="M133" s="1"/>
      <c r="N133" s="19" t="s">
        <v>418</v>
      </c>
      <c r="O133" s="18" t="s">
        <v>419</v>
      </c>
      <c r="P133" s="18" t="s">
        <v>59</v>
      </c>
      <c r="Q133" s="18" t="s">
        <v>288</v>
      </c>
      <c r="R133" s="1"/>
      <c r="S133" s="1"/>
      <c r="T133" s="1"/>
    </row>
    <row r="134" spans="13:20" ht="15.75" customHeight="1" x14ac:dyDescent="0.25">
      <c r="M134" s="1"/>
      <c r="N134" s="19" t="s">
        <v>420</v>
      </c>
      <c r="O134" s="18" t="s">
        <v>421</v>
      </c>
      <c r="P134" s="18" t="s">
        <v>59</v>
      </c>
      <c r="Q134" s="18" t="s">
        <v>288</v>
      </c>
      <c r="R134" s="1"/>
      <c r="S134" s="1"/>
      <c r="T134" s="1"/>
    </row>
    <row r="135" spans="13:20" ht="15.75" customHeight="1" x14ac:dyDescent="0.25">
      <c r="M135" s="1"/>
      <c r="N135" s="19" t="s">
        <v>422</v>
      </c>
      <c r="O135" s="18" t="s">
        <v>423</v>
      </c>
      <c r="P135" s="18" t="s">
        <v>59</v>
      </c>
      <c r="Q135" s="18" t="s">
        <v>288</v>
      </c>
      <c r="R135" s="1"/>
      <c r="S135" s="1"/>
      <c r="T135" s="1"/>
    </row>
    <row r="136" spans="13:20" ht="15.75" customHeight="1" x14ac:dyDescent="0.25">
      <c r="M136" s="1"/>
      <c r="N136" s="19" t="s">
        <v>424</v>
      </c>
      <c r="O136" s="18" t="s">
        <v>425</v>
      </c>
      <c r="P136" s="18" t="s">
        <v>59</v>
      </c>
      <c r="Q136" s="18" t="s">
        <v>288</v>
      </c>
      <c r="R136" s="1"/>
      <c r="S136" s="1"/>
      <c r="T136" s="1"/>
    </row>
    <row r="137" spans="13:20" ht="15.75" customHeight="1" x14ac:dyDescent="0.25">
      <c r="M137" s="1"/>
      <c r="N137" s="19" t="s">
        <v>426</v>
      </c>
      <c r="O137" s="18" t="s">
        <v>427</v>
      </c>
      <c r="P137" s="18" t="s">
        <v>59</v>
      </c>
      <c r="Q137" s="18" t="s">
        <v>288</v>
      </c>
      <c r="S137" s="1"/>
      <c r="T137" s="1"/>
    </row>
    <row r="138" spans="13:20" ht="15.75" customHeight="1" x14ac:dyDescent="0.25">
      <c r="M138" s="1"/>
      <c r="N138" s="12" t="s">
        <v>428</v>
      </c>
      <c r="O138" s="18" t="s">
        <v>429</v>
      </c>
      <c r="P138" s="18" t="s">
        <v>59</v>
      </c>
      <c r="Q138" s="18" t="s">
        <v>288</v>
      </c>
      <c r="S138" s="1"/>
      <c r="T138" s="1"/>
    </row>
    <row r="139" spans="13:20" ht="15.75" customHeight="1" x14ac:dyDescent="0.25">
      <c r="M139" s="1"/>
      <c r="N139" s="12" t="s">
        <v>430</v>
      </c>
      <c r="O139" s="18" t="s">
        <v>431</v>
      </c>
      <c r="P139" s="18" t="s">
        <v>59</v>
      </c>
      <c r="Q139" s="18" t="s">
        <v>288</v>
      </c>
      <c r="T139" s="1"/>
    </row>
    <row r="140" spans="13:20" ht="15.75" customHeight="1" x14ac:dyDescent="0.25">
      <c r="M140" s="1"/>
      <c r="N140" s="12" t="s">
        <v>432</v>
      </c>
      <c r="O140" s="18" t="s">
        <v>433</v>
      </c>
      <c r="P140" s="18" t="s">
        <v>59</v>
      </c>
      <c r="Q140" s="18" t="s">
        <v>288</v>
      </c>
      <c r="T140" s="1"/>
    </row>
    <row r="141" spans="13:20" ht="15.75" customHeight="1" x14ac:dyDescent="0.25">
      <c r="N141" s="12" t="s">
        <v>434</v>
      </c>
      <c r="O141" s="18" t="s">
        <v>435</v>
      </c>
      <c r="P141" s="18" t="s">
        <v>59</v>
      </c>
      <c r="Q141" s="18" t="s">
        <v>288</v>
      </c>
    </row>
    <row r="142" spans="13:20" ht="15.75" customHeight="1" x14ac:dyDescent="0.25">
      <c r="N142" s="12" t="s">
        <v>436</v>
      </c>
      <c r="O142" s="18" t="s">
        <v>437</v>
      </c>
      <c r="P142" s="18" t="s">
        <v>59</v>
      </c>
      <c r="Q142" s="18" t="s">
        <v>288</v>
      </c>
    </row>
    <row r="143" spans="13:20" ht="15.75" customHeight="1" x14ac:dyDescent="0.25">
      <c r="N143" s="12" t="s">
        <v>438</v>
      </c>
      <c r="O143" s="18" t="s">
        <v>439</v>
      </c>
      <c r="P143" s="18" t="s">
        <v>59</v>
      </c>
      <c r="Q143" s="18" t="s">
        <v>288</v>
      </c>
    </row>
    <row r="144" spans="13:20" ht="15.75" customHeight="1" x14ac:dyDescent="0.25">
      <c r="N144" s="12" t="s">
        <v>440</v>
      </c>
      <c r="O144" s="18" t="s">
        <v>441</v>
      </c>
      <c r="P144" s="18" t="s">
        <v>59</v>
      </c>
      <c r="Q144" s="18" t="s">
        <v>288</v>
      </c>
    </row>
    <row r="145" spans="14:17" ht="15.75" customHeight="1" x14ac:dyDescent="0.25">
      <c r="N145" s="12" t="s">
        <v>442</v>
      </c>
      <c r="O145" s="18" t="s">
        <v>443</v>
      </c>
      <c r="P145" s="18" t="s">
        <v>59</v>
      </c>
      <c r="Q145" s="18" t="s">
        <v>288</v>
      </c>
    </row>
    <row r="146" spans="14:17" ht="15.75" customHeight="1" x14ac:dyDescent="0.25">
      <c r="N146" s="12" t="s">
        <v>444</v>
      </c>
      <c r="O146" s="18" t="s">
        <v>445</v>
      </c>
      <c r="P146" s="18" t="s">
        <v>59</v>
      </c>
      <c r="Q146" s="18" t="s">
        <v>288</v>
      </c>
    </row>
    <row r="147" spans="14:17" ht="15.75" customHeight="1" x14ac:dyDescent="0.25">
      <c r="N147" s="12" t="s">
        <v>446</v>
      </c>
      <c r="O147" s="18" t="s">
        <v>447</v>
      </c>
      <c r="P147" s="18" t="s">
        <v>59</v>
      </c>
      <c r="Q147" s="18" t="s">
        <v>288</v>
      </c>
    </row>
    <row r="148" spans="14:17" ht="15.75" customHeight="1" x14ac:dyDescent="0.25">
      <c r="N148" s="12" t="s">
        <v>448</v>
      </c>
      <c r="O148" s="18" t="s">
        <v>449</v>
      </c>
      <c r="P148" s="18" t="s">
        <v>59</v>
      </c>
      <c r="Q148" s="18" t="s">
        <v>288</v>
      </c>
    </row>
    <row r="149" spans="14:17" ht="15.75" customHeight="1" x14ac:dyDescent="0.25">
      <c r="N149" s="12" t="s">
        <v>450</v>
      </c>
      <c r="O149" s="18" t="s">
        <v>451</v>
      </c>
      <c r="P149" s="18" t="s">
        <v>59</v>
      </c>
      <c r="Q149" s="18" t="s">
        <v>288</v>
      </c>
    </row>
    <row r="150" spans="14:17" ht="15.75" customHeight="1" x14ac:dyDescent="0.25">
      <c r="N150" s="12" t="s">
        <v>452</v>
      </c>
      <c r="O150" s="18" t="s">
        <v>453</v>
      </c>
      <c r="P150" s="18" t="s">
        <v>59</v>
      </c>
      <c r="Q150" s="18" t="s">
        <v>288</v>
      </c>
    </row>
    <row r="151" spans="14:17" ht="15.75" customHeight="1" x14ac:dyDescent="0.25">
      <c r="N151" s="12" t="s">
        <v>454</v>
      </c>
      <c r="O151" s="18" t="s">
        <v>455</v>
      </c>
      <c r="P151" s="18" t="s">
        <v>59</v>
      </c>
      <c r="Q151" s="18" t="s">
        <v>288</v>
      </c>
    </row>
    <row r="152" spans="14:17" ht="15.75" customHeight="1" x14ac:dyDescent="0.25">
      <c r="N152" s="12" t="s">
        <v>456</v>
      </c>
      <c r="O152" s="18" t="s">
        <v>457</v>
      </c>
      <c r="P152" s="18" t="s">
        <v>59</v>
      </c>
      <c r="Q152" s="18" t="s">
        <v>288</v>
      </c>
    </row>
    <row r="153" spans="14:17" ht="15.75" customHeight="1" x14ac:dyDescent="0.25">
      <c r="N153" s="12" t="s">
        <v>458</v>
      </c>
      <c r="O153" s="18" t="s">
        <v>459</v>
      </c>
      <c r="P153" s="18" t="s">
        <v>59</v>
      </c>
      <c r="Q153" s="18" t="s">
        <v>288</v>
      </c>
    </row>
    <row r="154" spans="14:17" ht="15.75" customHeight="1" x14ac:dyDescent="0.25">
      <c r="N154" s="12" t="s">
        <v>460</v>
      </c>
      <c r="O154" s="18" t="s">
        <v>461</v>
      </c>
      <c r="P154" s="18" t="s">
        <v>59</v>
      </c>
      <c r="Q154" s="18" t="s">
        <v>288</v>
      </c>
    </row>
    <row r="155" spans="14:17" ht="15.75" customHeight="1" x14ac:dyDescent="0.25">
      <c r="N155" s="12" t="s">
        <v>462</v>
      </c>
      <c r="O155" s="18" t="s">
        <v>463</v>
      </c>
      <c r="P155" s="18" t="s">
        <v>59</v>
      </c>
      <c r="Q155" s="18" t="s">
        <v>288</v>
      </c>
    </row>
    <row r="156" spans="14:17" ht="15.75" customHeight="1" x14ac:dyDescent="0.25">
      <c r="N156" s="12" t="s">
        <v>464</v>
      </c>
      <c r="O156" s="18" t="s">
        <v>465</v>
      </c>
      <c r="P156" s="18" t="s">
        <v>59</v>
      </c>
      <c r="Q156" s="18" t="s">
        <v>288</v>
      </c>
    </row>
    <row r="157" spans="14:17" ht="15.75" customHeight="1" x14ac:dyDescent="0.25">
      <c r="N157" s="12" t="s">
        <v>466</v>
      </c>
      <c r="O157" s="18" t="s">
        <v>467</v>
      </c>
      <c r="P157" s="18" t="s">
        <v>59</v>
      </c>
      <c r="Q157" s="18" t="s">
        <v>288</v>
      </c>
    </row>
    <row r="158" spans="14:17" ht="15.75" customHeight="1" x14ac:dyDescent="0.25">
      <c r="N158" s="12" t="s">
        <v>468</v>
      </c>
      <c r="O158" s="18" t="s">
        <v>469</v>
      </c>
      <c r="P158" s="18" t="s">
        <v>59</v>
      </c>
      <c r="Q158" s="18" t="s">
        <v>288</v>
      </c>
    </row>
    <row r="159" spans="14:17" ht="15.75" customHeight="1" x14ac:dyDescent="0.25">
      <c r="N159" s="12" t="s">
        <v>470</v>
      </c>
      <c r="O159" s="18" t="s">
        <v>471</v>
      </c>
      <c r="P159" s="18" t="s">
        <v>59</v>
      </c>
      <c r="Q159" s="18" t="s">
        <v>288</v>
      </c>
    </row>
    <row r="160" spans="14:17" ht="15.75" customHeight="1" x14ac:dyDescent="0.25">
      <c r="N160" s="12" t="s">
        <v>472</v>
      </c>
      <c r="O160" s="18" t="s">
        <v>473</v>
      </c>
      <c r="P160" s="18" t="s">
        <v>59</v>
      </c>
      <c r="Q160" s="18" t="s">
        <v>288</v>
      </c>
    </row>
    <row r="161" spans="14:17" ht="15.75" customHeight="1" x14ac:dyDescent="0.25">
      <c r="N161" s="12" t="s">
        <v>474</v>
      </c>
      <c r="O161" s="18" t="s">
        <v>475</v>
      </c>
      <c r="P161" s="18" t="s">
        <v>59</v>
      </c>
      <c r="Q161" s="18" t="s">
        <v>288</v>
      </c>
    </row>
    <row r="162" spans="14:17" ht="15.75" customHeight="1" x14ac:dyDescent="0.25">
      <c r="P162" s="18" t="s">
        <v>59</v>
      </c>
      <c r="Q162" s="18" t="s">
        <v>288</v>
      </c>
    </row>
    <row r="163" spans="14:17" ht="15.75" customHeight="1" x14ac:dyDescent="0.25">
      <c r="P163" s="18" t="s">
        <v>59</v>
      </c>
      <c r="Q163" s="18" t="s">
        <v>288</v>
      </c>
    </row>
    <row r="164" spans="14:17" ht="15.75" customHeight="1" x14ac:dyDescent="0.25">
      <c r="P164" s="18" t="s">
        <v>59</v>
      </c>
      <c r="Q164" s="18" t="s">
        <v>288</v>
      </c>
    </row>
    <row r="165" spans="14:17" ht="15.75" customHeight="1" x14ac:dyDescent="0.25">
      <c r="P165" s="18" t="s">
        <v>59</v>
      </c>
      <c r="Q165" s="18" t="s">
        <v>288</v>
      </c>
    </row>
    <row r="166" spans="14:17" ht="15.75" customHeight="1" x14ac:dyDescent="0.25">
      <c r="P166" s="18" t="s">
        <v>59</v>
      </c>
      <c r="Q166" s="18" t="s">
        <v>288</v>
      </c>
    </row>
    <row r="167" spans="14:17" ht="15.75" customHeight="1" x14ac:dyDescent="0.25">
      <c r="P167" s="18" t="s">
        <v>59</v>
      </c>
      <c r="Q167" s="18" t="s">
        <v>288</v>
      </c>
    </row>
    <row r="168" spans="14:17" ht="15.75" customHeight="1" x14ac:dyDescent="0.25">
      <c r="P168" s="18" t="s">
        <v>59</v>
      </c>
      <c r="Q168" s="18" t="s">
        <v>288</v>
      </c>
    </row>
    <row r="169" spans="14:17" ht="15.75" customHeight="1" x14ac:dyDescent="0.25">
      <c r="P169" s="18" t="s">
        <v>59</v>
      </c>
      <c r="Q169" s="18" t="s">
        <v>288</v>
      </c>
    </row>
    <row r="170" spans="14:17" ht="15.75" customHeight="1" x14ac:dyDescent="0.25">
      <c r="P170" s="18" t="s">
        <v>59</v>
      </c>
      <c r="Q170" s="18" t="s">
        <v>288</v>
      </c>
    </row>
    <row r="171" spans="14:17" ht="15.75" customHeight="1" x14ac:dyDescent="0.25">
      <c r="P171" s="18" t="s">
        <v>59</v>
      </c>
      <c r="Q171" s="18" t="s">
        <v>288</v>
      </c>
    </row>
    <row r="172" spans="14:17" ht="15.75" customHeight="1" x14ac:dyDescent="0.25">
      <c r="P172" s="18" t="s">
        <v>59</v>
      </c>
      <c r="Q172" s="18" t="s">
        <v>288</v>
      </c>
    </row>
    <row r="173" spans="14:17" ht="15.75" customHeight="1" x14ac:dyDescent="0.25">
      <c r="P173" s="18" t="s">
        <v>59</v>
      </c>
      <c r="Q173" s="18" t="s">
        <v>288</v>
      </c>
    </row>
    <row r="174" spans="14:17" ht="15.75" customHeight="1" x14ac:dyDescent="0.25">
      <c r="P174" s="18" t="s">
        <v>59</v>
      </c>
      <c r="Q174" s="18" t="s">
        <v>288</v>
      </c>
    </row>
    <row r="175" spans="14:17" ht="15.75" customHeight="1" x14ac:dyDescent="0.25">
      <c r="P175" s="18" t="s">
        <v>59</v>
      </c>
      <c r="Q175" s="18" t="s">
        <v>288</v>
      </c>
    </row>
    <row r="176" spans="14:17" ht="15.75" customHeight="1" x14ac:dyDescent="0.25">
      <c r="P176" s="18" t="s">
        <v>59</v>
      </c>
      <c r="Q176" s="18" t="s">
        <v>288</v>
      </c>
    </row>
    <row r="177" spans="16:17" ht="15.75" customHeight="1" x14ac:dyDescent="0.25">
      <c r="P177" s="18" t="s">
        <v>59</v>
      </c>
      <c r="Q177" s="18" t="s">
        <v>288</v>
      </c>
    </row>
    <row r="178" spans="16:17" ht="15.75" customHeight="1" x14ac:dyDescent="0.25">
      <c r="P178" s="18" t="s">
        <v>59</v>
      </c>
      <c r="Q178" s="18" t="s">
        <v>288</v>
      </c>
    </row>
    <row r="179" spans="16:17" ht="15.75" customHeight="1" x14ac:dyDescent="0.25">
      <c r="P179" s="18" t="s">
        <v>59</v>
      </c>
      <c r="Q179" s="18" t="s">
        <v>288</v>
      </c>
    </row>
    <row r="180" spans="16:17" ht="15.75" customHeight="1" x14ac:dyDescent="0.25">
      <c r="P180" s="18" t="s">
        <v>59</v>
      </c>
      <c r="Q180" s="18" t="s">
        <v>288</v>
      </c>
    </row>
    <row r="181" spans="16:17" ht="15.75" customHeight="1" x14ac:dyDescent="0.25">
      <c r="P181" s="18" t="s">
        <v>59</v>
      </c>
      <c r="Q181" s="18" t="s">
        <v>288</v>
      </c>
    </row>
    <row r="182" spans="16:17" ht="15.75" customHeight="1" x14ac:dyDescent="0.25"/>
    <row r="183" spans="16:17" ht="15.75" customHeight="1" x14ac:dyDescent="0.25"/>
    <row r="184" spans="16:17" ht="15.75" customHeight="1" x14ac:dyDescent="0.25"/>
    <row r="185" spans="16:17" ht="15.75" customHeight="1" x14ac:dyDescent="0.25"/>
    <row r="186" spans="16:17" ht="15.75" customHeight="1" x14ac:dyDescent="0.25"/>
    <row r="187" spans="16:17" ht="15.75" customHeight="1" x14ac:dyDescent="0.25"/>
    <row r="188" spans="16:17" ht="15.75" customHeight="1" x14ac:dyDescent="0.25"/>
    <row r="189" spans="16:17" ht="15.75" customHeight="1" x14ac:dyDescent="0.25"/>
    <row r="190" spans="16:17" ht="15.75" customHeight="1" x14ac:dyDescent="0.25"/>
    <row r="191" spans="16:17" ht="15.75" customHeight="1" x14ac:dyDescent="0.25"/>
    <row r="192" spans="16:17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K4" zoomScale="115" zoomScaleNormal="115" workbookViewId="0">
      <selection activeCell="T22" sqref="T22"/>
    </sheetView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5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 t="s">
        <v>1689</v>
      </c>
      <c r="P1" s="20">
        <v>2020</v>
      </c>
      <c r="Q1" s="20" t="s">
        <v>1692</v>
      </c>
      <c r="R1" s="20"/>
      <c r="S1" s="20" t="s">
        <v>1689</v>
      </c>
      <c r="T1" s="20">
        <v>2020</v>
      </c>
      <c r="U1" s="20" t="s">
        <v>1692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944" t="s">
        <v>476</v>
      </c>
      <c r="G2" s="945"/>
      <c r="H2" s="20"/>
      <c r="I2" s="20"/>
      <c r="J2" s="21"/>
      <c r="K2" s="21"/>
      <c r="L2" s="21"/>
      <c r="M2" s="21"/>
      <c r="N2" s="22"/>
      <c r="O2" s="20" t="s">
        <v>1690</v>
      </c>
      <c r="P2" s="20">
        <v>3685</v>
      </c>
      <c r="Q2" s="20" t="s">
        <v>1693</v>
      </c>
      <c r="R2" s="20"/>
      <c r="S2" s="20" t="s">
        <v>1690</v>
      </c>
      <c r="T2" s="20">
        <v>3700</v>
      </c>
      <c r="U2" s="20" t="s">
        <v>1693</v>
      </c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477</v>
      </c>
      <c r="G3" s="25" t="s">
        <v>478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479</v>
      </c>
      <c r="G4" s="27" t="s">
        <v>480</v>
      </c>
      <c r="H4" s="20"/>
      <c r="I4" s="20"/>
      <c r="J4" s="21"/>
      <c r="K4" s="21"/>
      <c r="L4" s="21"/>
      <c r="M4" s="21"/>
      <c r="N4" s="22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481</v>
      </c>
      <c r="C5" s="29" t="s">
        <v>482</v>
      </c>
      <c r="D5" s="29" t="s">
        <v>483</v>
      </c>
      <c r="E5" s="30" t="s">
        <v>484</v>
      </c>
      <c r="F5" s="26" t="s">
        <v>485</v>
      </c>
      <c r="G5" s="27" t="s">
        <v>486</v>
      </c>
      <c r="H5" s="20"/>
      <c r="I5" s="20"/>
      <c r="J5" s="21"/>
      <c r="K5" s="21"/>
      <c r="L5" s="21"/>
      <c r="M5" s="21"/>
      <c r="N5" s="22"/>
      <c r="O5" s="923" t="s">
        <v>1685</v>
      </c>
      <c r="P5" s="923"/>
      <c r="Q5" s="923"/>
      <c r="R5" s="20"/>
      <c r="S5" s="923" t="s">
        <v>1685</v>
      </c>
      <c r="T5" s="923"/>
      <c r="U5" s="923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487</v>
      </c>
      <c r="C6" s="32" t="s">
        <v>488</v>
      </c>
      <c r="D6" s="33" t="s">
        <v>489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 t="s">
        <v>1686</v>
      </c>
      <c r="P6" s="20" t="s">
        <v>784</v>
      </c>
      <c r="Q6" s="20"/>
      <c r="R6" s="20"/>
      <c r="S6" s="20" t="s">
        <v>1686</v>
      </c>
      <c r="T6" s="20" t="s">
        <v>74</v>
      </c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490</v>
      </c>
      <c r="C7" s="38" t="s">
        <v>491</v>
      </c>
      <c r="D7" s="946" t="s">
        <v>492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 t="s">
        <v>477</v>
      </c>
      <c r="P7" s="910">
        <f>F15/1000000</f>
        <v>2.933593489850151E-6</v>
      </c>
      <c r="Q7" s="20" t="s">
        <v>1695</v>
      </c>
      <c r="R7" s="20"/>
      <c r="S7" s="20" t="s">
        <v>477</v>
      </c>
      <c r="T7" s="909">
        <f>F16/1000000</f>
        <v>5.274111587340502E-6</v>
      </c>
      <c r="U7" s="20" t="s">
        <v>1695</v>
      </c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493</v>
      </c>
      <c r="C8" s="44" t="s">
        <v>494</v>
      </c>
      <c r="D8" s="938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 t="s">
        <v>1687</v>
      </c>
      <c r="P8" s="20">
        <v>8850</v>
      </c>
      <c r="Q8" s="20" t="s">
        <v>1688</v>
      </c>
      <c r="R8" s="20"/>
      <c r="S8" s="20" t="s">
        <v>1687</v>
      </c>
      <c r="T8" s="20">
        <v>14816</v>
      </c>
      <c r="U8" s="20" t="s">
        <v>1688</v>
      </c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495</v>
      </c>
      <c r="C9" s="48" t="s">
        <v>494</v>
      </c>
      <c r="D9" s="939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496</v>
      </c>
      <c r="L9" s="21"/>
      <c r="M9" s="21"/>
      <c r="N9" s="22"/>
      <c r="O9" s="20"/>
      <c r="P9" s="20">
        <f>P8*42</f>
        <v>371700</v>
      </c>
      <c r="Q9" s="20" t="s">
        <v>1691</v>
      </c>
      <c r="R9" s="20"/>
      <c r="S9" s="20"/>
      <c r="T9" s="20">
        <f>T8*42</f>
        <v>622272</v>
      </c>
      <c r="U9" s="20" t="s">
        <v>1691</v>
      </c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497</v>
      </c>
      <c r="C10" s="38" t="s">
        <v>498</v>
      </c>
      <c r="D10" s="39" t="s">
        <v>499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496</v>
      </c>
      <c r="L10" s="21"/>
      <c r="M10" s="21"/>
      <c r="N10" s="22"/>
      <c r="O10" s="840"/>
      <c r="P10" s="907">
        <f>P9/P2</f>
        <v>100.86838534599728</v>
      </c>
      <c r="Q10" s="20" t="s">
        <v>1694</v>
      </c>
      <c r="R10" s="20"/>
      <c r="S10" s="840"/>
      <c r="T10" s="907">
        <f>T9/T2</f>
        <v>168.18162162162162</v>
      </c>
      <c r="U10" s="20" t="s">
        <v>1694</v>
      </c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thickBot="1" x14ac:dyDescent="0.3">
      <c r="A11" s="20"/>
      <c r="B11" s="43" t="s">
        <v>500</v>
      </c>
      <c r="C11" s="44" t="s">
        <v>501</v>
      </c>
      <c r="D11" s="52" t="s">
        <v>502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840"/>
      <c r="P11" s="850">
        <f>(P10/1000000)/P7</f>
        <v>34.383900051247274</v>
      </c>
      <c r="Q11" s="908" t="s">
        <v>819</v>
      </c>
      <c r="R11" s="20"/>
      <c r="S11" s="20"/>
      <c r="T11" s="850">
        <f>(T10/1000000)/T7</f>
        <v>31.888142455178514</v>
      </c>
      <c r="U11" s="908" t="s">
        <v>819</v>
      </c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503</v>
      </c>
      <c r="D12" s="52" t="s">
        <v>504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840"/>
      <c r="P12" s="840"/>
      <c r="Q12" s="84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505</v>
      </c>
      <c r="C13" s="44" t="s">
        <v>506</v>
      </c>
      <c r="D13" s="55" t="s">
        <v>507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508</v>
      </c>
      <c r="AL13" s="21">
        <v>450000</v>
      </c>
      <c r="AM13" s="21" t="s">
        <v>509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510</v>
      </c>
      <c r="C14" s="48" t="s">
        <v>511</v>
      </c>
      <c r="D14" s="56" t="s">
        <v>512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 t="s">
        <v>1696</v>
      </c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513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514</v>
      </c>
      <c r="D15" s="39" t="s">
        <v>515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 t="s">
        <v>1697</v>
      </c>
      <c r="P15" s="20" t="s">
        <v>60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516</v>
      </c>
      <c r="D16" s="56" t="s">
        <v>517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 t="s">
        <v>1698</v>
      </c>
      <c r="P16" s="248">
        <f>'1. EXP_IMP'!L42</f>
        <v>20.996445954041999</v>
      </c>
      <c r="Q16" s="20" t="s">
        <v>1699</v>
      </c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518</v>
      </c>
      <c r="C17" s="60" t="s">
        <v>519</v>
      </c>
      <c r="D17" s="61" t="s">
        <v>520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 t="s">
        <v>477</v>
      </c>
      <c r="P17" s="905">
        <f>F10/1000000</f>
        <v>5.3308987344700312E-6</v>
      </c>
      <c r="Q17" s="20" t="s">
        <v>1695</v>
      </c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521</v>
      </c>
      <c r="C18" s="65" t="s">
        <v>519</v>
      </c>
      <c r="D18" s="65" t="s">
        <v>520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>
        <f>P17*P16</f>
        <v>1.1192992716477089E-4</v>
      </c>
      <c r="Q18" s="20" t="s">
        <v>1700</v>
      </c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522</v>
      </c>
      <c r="AL18" s="21">
        <v>5119</v>
      </c>
      <c r="AM18" s="21" t="s">
        <v>523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524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>
        <f>P18*1000000</f>
        <v>111.92992716477089</v>
      </c>
      <c r="Q19" s="20" t="s">
        <v>1694</v>
      </c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523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>
        <f>P19/42</f>
        <v>2.6649982658278781</v>
      </c>
      <c r="Q20" s="20" t="s">
        <v>1694</v>
      </c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523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525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526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911" t="s">
        <v>796</v>
      </c>
      <c r="P22" s="911"/>
      <c r="Q22" s="911">
        <v>3299</v>
      </c>
      <c r="R22" s="911" t="s">
        <v>797</v>
      </c>
      <c r="S22" s="20"/>
      <c r="T22" s="20">
        <f>7679/Q22</f>
        <v>2.3276750530463777</v>
      </c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527</v>
      </c>
      <c r="AL22" s="21">
        <v>3031</v>
      </c>
      <c r="AM22" s="21" t="s">
        <v>523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523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528</v>
      </c>
      <c r="C24" s="76" t="s">
        <v>529</v>
      </c>
      <c r="D24" s="76" t="s">
        <v>529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905">
        <f>P20*3299</f>
        <v>8791.82927896617</v>
      </c>
      <c r="Q24" s="20" t="s">
        <v>1713</v>
      </c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530</v>
      </c>
      <c r="D25" s="80" t="s">
        <v>531</v>
      </c>
      <c r="E25" s="79" t="s">
        <v>107</v>
      </c>
      <c r="F25" s="854">
        <v>1.002301089888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532</v>
      </c>
      <c r="AL27" s="82">
        <f>+AN24/AL15</f>
        <v>1.6840258914647084E-2</v>
      </c>
      <c r="AM27" s="21" t="s">
        <v>533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534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535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536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537</v>
      </c>
      <c r="AL30" s="84">
        <f>3400/31</f>
        <v>109.6774193548387</v>
      </c>
      <c r="AM30" s="21" t="s">
        <v>538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525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539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523</v>
      </c>
    </row>
    <row r="32" spans="1:45" ht="12.75" customHeight="1" x14ac:dyDescent="0.25">
      <c r="A32" s="20"/>
      <c r="B32" s="73" t="s">
        <v>526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540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541</v>
      </c>
      <c r="AL34" s="88">
        <f>825/31</f>
        <v>26.612903225806452</v>
      </c>
      <c r="AM34" s="21" t="s">
        <v>538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539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947" t="s">
        <v>476</v>
      </c>
      <c r="F41" s="939"/>
      <c r="G41" s="947" t="s">
        <v>542</v>
      </c>
      <c r="H41" s="942"/>
      <c r="I41" s="942"/>
      <c r="J41" s="942"/>
      <c r="K41" s="942"/>
      <c r="L41" s="942"/>
      <c r="M41" s="942"/>
      <c r="N41" s="939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477</v>
      </c>
      <c r="F42" s="95" t="s">
        <v>478</v>
      </c>
      <c r="G42" s="96"/>
      <c r="H42" s="20"/>
      <c r="I42" s="20"/>
      <c r="J42" s="21"/>
      <c r="K42" s="948" t="s">
        <v>543</v>
      </c>
      <c r="L42" s="922"/>
      <c r="M42" s="922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479</v>
      </c>
      <c r="F43" s="27" t="s">
        <v>480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481</v>
      </c>
      <c r="C44" s="99" t="s">
        <v>544</v>
      </c>
      <c r="D44" s="13"/>
      <c r="E44" s="94" t="s">
        <v>485</v>
      </c>
      <c r="F44" s="27" t="s">
        <v>486</v>
      </c>
      <c r="G44" s="94" t="s">
        <v>485</v>
      </c>
      <c r="H44" s="20"/>
      <c r="I44" s="20" t="s">
        <v>545</v>
      </c>
      <c r="J44" s="100" t="s">
        <v>546</v>
      </c>
      <c r="K44" s="97" t="s">
        <v>547</v>
      </c>
      <c r="L44" s="97" t="s">
        <v>548</v>
      </c>
      <c r="M44" s="97" t="s">
        <v>549</v>
      </c>
      <c r="N44" s="101" t="s">
        <v>550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487</v>
      </c>
      <c r="C45" s="103" t="s">
        <v>551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552</v>
      </c>
      <c r="I45" s="108">
        <f>47.6420911660953*1000</f>
        <v>47642.091166095299</v>
      </c>
      <c r="J45" s="109" t="s">
        <v>553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490</v>
      </c>
      <c r="C46" s="112" t="s">
        <v>554</v>
      </c>
      <c r="D46" s="40" t="s">
        <v>13</v>
      </c>
      <c r="E46" s="934">
        <f>+G114</f>
        <v>6.0871741676095334</v>
      </c>
      <c r="F46" s="937">
        <f>+L114*1000</f>
        <v>77.841777688967127</v>
      </c>
      <c r="G46" s="940">
        <v>6.0871741676095334</v>
      </c>
      <c r="H46" s="941" t="s">
        <v>552</v>
      </c>
      <c r="I46" s="941">
        <v>40670.462586675276</v>
      </c>
      <c r="J46" s="943" t="s">
        <v>555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493</v>
      </c>
      <c r="C47" s="12" t="s">
        <v>554</v>
      </c>
      <c r="D47" s="14" t="s">
        <v>17</v>
      </c>
      <c r="E47" s="935"/>
      <c r="F47" s="938"/>
      <c r="G47" s="935"/>
      <c r="H47" s="922"/>
      <c r="I47" s="922"/>
      <c r="J47" s="938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495</v>
      </c>
      <c r="C48" s="118" t="s">
        <v>554</v>
      </c>
      <c r="D48" s="49" t="s">
        <v>21</v>
      </c>
      <c r="E48" s="936"/>
      <c r="F48" s="939"/>
      <c r="G48" s="936"/>
      <c r="H48" s="942"/>
      <c r="I48" s="942"/>
      <c r="J48" s="939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497</v>
      </c>
      <c r="C49" s="112" t="s">
        <v>556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552</v>
      </c>
      <c r="I49" s="76">
        <v>45329.53267685703</v>
      </c>
      <c r="J49" s="115" t="s">
        <v>557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500</v>
      </c>
      <c r="C50" s="12" t="s">
        <v>558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559</v>
      </c>
      <c r="I50" s="20">
        <v>42418.466233751533</v>
      </c>
      <c r="J50" s="124" t="s">
        <v>560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561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559</v>
      </c>
      <c r="I51" s="20">
        <v>35576.910585045494</v>
      </c>
      <c r="J51" s="124" t="s">
        <v>562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505</v>
      </c>
      <c r="C52" s="12" t="s">
        <v>563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552</v>
      </c>
      <c r="I52" s="20">
        <v>45989.410956446904</v>
      </c>
      <c r="J52" s="124" t="s">
        <v>564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510</v>
      </c>
      <c r="C53" s="12" t="s">
        <v>565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552</v>
      </c>
      <c r="I53" s="20">
        <v>40442.162000000004</v>
      </c>
      <c r="J53" s="124" t="s">
        <v>566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567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552</v>
      </c>
      <c r="I54" s="76">
        <v>22480.19962297516</v>
      </c>
      <c r="J54" s="115" t="s">
        <v>568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569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552</v>
      </c>
      <c r="I55" s="80">
        <v>37907.854789510107</v>
      </c>
      <c r="J55" s="129" t="s">
        <v>570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518</v>
      </c>
      <c r="C56" s="12" t="s">
        <v>571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559</v>
      </c>
      <c r="I56" s="114">
        <v>40659.333347540545</v>
      </c>
      <c r="J56" s="115" t="s">
        <v>572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521</v>
      </c>
      <c r="C57" s="12" t="s">
        <v>571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524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525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526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573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574</v>
      </c>
      <c r="L99" s="21"/>
      <c r="M99" s="21"/>
      <c r="N99" s="22">
        <f>+N98*12000</f>
        <v>298116000</v>
      </c>
      <c r="O99" s="20" t="s">
        <v>575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576</v>
      </c>
      <c r="I100" s="20">
        <f>27934768*1000</f>
        <v>27934768000</v>
      </c>
      <c r="J100" s="21" t="s">
        <v>577</v>
      </c>
      <c r="K100" s="21"/>
      <c r="L100" s="21"/>
      <c r="M100" s="21"/>
      <c r="N100" s="22">
        <f>+N99/(1000000000)</f>
        <v>0.29811599999999999</v>
      </c>
      <c r="O100" s="20" t="s">
        <v>578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575</v>
      </c>
      <c r="K101" s="21"/>
      <c r="L101" s="21"/>
      <c r="M101" s="21"/>
      <c r="N101" s="22">
        <f>+N100*G109/J109</f>
        <v>0.31452907449600004</v>
      </c>
      <c r="O101" s="20" t="s">
        <v>579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580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578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579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581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927" t="s">
        <v>582</v>
      </c>
      <c r="C106" s="925"/>
      <c r="D106" s="925"/>
      <c r="E106" s="925"/>
      <c r="F106" s="925"/>
      <c r="G106" s="925"/>
      <c r="H106" s="925"/>
      <c r="I106" s="925"/>
      <c r="J106" s="925"/>
      <c r="K106" s="925"/>
      <c r="L106" s="926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583</v>
      </c>
      <c r="C107" s="151" t="s">
        <v>481</v>
      </c>
      <c r="D107" s="924" t="s">
        <v>584</v>
      </c>
      <c r="E107" s="925"/>
      <c r="F107" s="925"/>
      <c r="G107" s="925"/>
      <c r="H107" s="925"/>
      <c r="I107" s="925"/>
      <c r="J107" s="926"/>
      <c r="K107" s="152" t="s">
        <v>585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586</v>
      </c>
      <c r="E108" s="155" t="s">
        <v>586</v>
      </c>
      <c r="F108" s="155" t="s">
        <v>587</v>
      </c>
      <c r="G108" s="155" t="s">
        <v>579</v>
      </c>
      <c r="H108" s="155" t="s">
        <v>588</v>
      </c>
      <c r="I108" s="155" t="s">
        <v>589</v>
      </c>
      <c r="J108" s="155" t="s">
        <v>578</v>
      </c>
      <c r="K108" s="155" t="s">
        <v>590</v>
      </c>
      <c r="L108" s="155" t="s">
        <v>591</v>
      </c>
      <c r="M108" s="154"/>
      <c r="N108" s="154"/>
      <c r="O108" s="20"/>
      <c r="P108" s="20"/>
      <c r="Q108" s="20"/>
      <c r="R108" s="20"/>
      <c r="S108" s="20" t="s">
        <v>592</v>
      </c>
      <c r="T108" s="20" t="s">
        <v>593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594</v>
      </c>
      <c r="C109" s="157" t="s">
        <v>595</v>
      </c>
      <c r="D109" s="158" t="s">
        <v>596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597</v>
      </c>
      <c r="N109" s="159" t="s">
        <v>598</v>
      </c>
      <c r="O109" s="140">
        <f>+G109/J109</f>
        <v>1.0550560000000002</v>
      </c>
      <c r="P109" s="20"/>
      <c r="Q109" s="20"/>
      <c r="R109" s="156" t="s">
        <v>594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599</v>
      </c>
      <c r="C110" s="162" t="s">
        <v>600</v>
      </c>
      <c r="D110" s="163" t="s">
        <v>596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597</v>
      </c>
      <c r="N110" s="164" t="s">
        <v>601</v>
      </c>
      <c r="O110" s="20"/>
      <c r="P110" s="20"/>
      <c r="Q110" s="20"/>
      <c r="R110" s="161" t="s">
        <v>599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602</v>
      </c>
      <c r="C111" s="157" t="s">
        <v>603</v>
      </c>
      <c r="D111" s="158" t="s">
        <v>539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597</v>
      </c>
      <c r="N111" s="159" t="s">
        <v>601</v>
      </c>
      <c r="O111" s="20" t="s">
        <v>604</v>
      </c>
      <c r="P111" s="145">
        <f>H111*1000000/H143</f>
        <v>9.9033845712759661</v>
      </c>
      <c r="Q111" s="145"/>
      <c r="R111" s="156" t="s">
        <v>602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605</v>
      </c>
      <c r="C112" s="162" t="s">
        <v>606</v>
      </c>
      <c r="D112" s="163" t="s">
        <v>588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597</v>
      </c>
      <c r="N112" s="164" t="s">
        <v>598</v>
      </c>
      <c r="O112" s="20"/>
      <c r="P112" s="20"/>
      <c r="Q112" s="20"/>
      <c r="R112" s="161" t="s">
        <v>605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607</v>
      </c>
      <c r="C113" s="157" t="s">
        <v>608</v>
      </c>
      <c r="D113" s="158" t="s">
        <v>596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597</v>
      </c>
      <c r="N113" s="159" t="s">
        <v>598</v>
      </c>
      <c r="O113" s="20"/>
      <c r="P113" s="20"/>
      <c r="Q113" s="20"/>
      <c r="R113" s="156" t="s">
        <v>607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609</v>
      </c>
      <c r="C114" s="162" t="s">
        <v>610</v>
      </c>
      <c r="D114" s="163" t="s">
        <v>611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597</v>
      </c>
      <c r="N114" s="164" t="s">
        <v>601</v>
      </c>
      <c r="O114" s="20"/>
      <c r="P114" s="20"/>
      <c r="Q114" s="20"/>
      <c r="R114" s="161" t="s">
        <v>609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612</v>
      </c>
      <c r="C115" s="157" t="s">
        <v>613</v>
      </c>
      <c r="D115" s="158" t="s">
        <v>579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597</v>
      </c>
      <c r="N115" s="159" t="s">
        <v>598</v>
      </c>
      <c r="O115" s="20"/>
      <c r="P115" s="20"/>
      <c r="Q115" s="20"/>
      <c r="R115" s="156" t="s">
        <v>612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614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614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615</v>
      </c>
      <c r="D117" s="163" t="s">
        <v>596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597</v>
      </c>
      <c r="N117" s="164" t="s">
        <v>598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616</v>
      </c>
      <c r="D118" s="158" t="s">
        <v>596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597</v>
      </c>
      <c r="N118" s="159" t="s">
        <v>598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617</v>
      </c>
      <c r="D119" s="163" t="s">
        <v>596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597</v>
      </c>
      <c r="N119" s="164" t="s">
        <v>598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618</v>
      </c>
      <c r="C120" s="157" t="s">
        <v>619</v>
      </c>
      <c r="D120" s="158" t="s">
        <v>588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597</v>
      </c>
      <c r="N120" s="159" t="s">
        <v>598</v>
      </c>
      <c r="O120" s="20"/>
      <c r="P120" s="20"/>
      <c r="Q120" s="20"/>
      <c r="R120" s="156" t="s">
        <v>618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620</v>
      </c>
      <c r="C121" s="162" t="s">
        <v>621</v>
      </c>
      <c r="D121" s="163" t="s">
        <v>622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597</v>
      </c>
      <c r="N121" s="164" t="s">
        <v>598</v>
      </c>
      <c r="O121" s="20"/>
      <c r="P121" s="20"/>
      <c r="Q121" s="20"/>
      <c r="R121" s="161" t="s">
        <v>620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623</v>
      </c>
      <c r="C122" s="157" t="s">
        <v>624</v>
      </c>
      <c r="D122" s="158" t="s">
        <v>622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597</v>
      </c>
      <c r="N122" s="159" t="s">
        <v>598</v>
      </c>
      <c r="O122" s="20"/>
      <c r="P122" s="20"/>
      <c r="Q122" s="20"/>
      <c r="R122" s="156" t="s">
        <v>623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927" t="s">
        <v>625</v>
      </c>
      <c r="C123" s="925"/>
      <c r="D123" s="925"/>
      <c r="E123" s="925"/>
      <c r="F123" s="925"/>
      <c r="G123" s="925"/>
      <c r="H123" s="925"/>
      <c r="I123" s="925"/>
      <c r="J123" s="925"/>
      <c r="K123" s="925"/>
      <c r="L123" s="926"/>
      <c r="M123" s="176"/>
      <c r="N123" s="176"/>
      <c r="O123" s="20"/>
      <c r="P123" s="20" t="s">
        <v>626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627</v>
      </c>
      <c r="C124" s="157" t="s">
        <v>628</v>
      </c>
      <c r="D124" s="158" t="s">
        <v>611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629</v>
      </c>
      <c r="N124" s="159" t="s">
        <v>598</v>
      </c>
      <c r="O124" s="20"/>
      <c r="P124" s="20"/>
      <c r="Q124" s="20"/>
      <c r="R124" s="156" t="s">
        <v>627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630</v>
      </c>
      <c r="C125" s="162" t="s">
        <v>631</v>
      </c>
      <c r="D125" s="163" t="s">
        <v>611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629</v>
      </c>
      <c r="N125" s="164" t="s">
        <v>598</v>
      </c>
      <c r="O125" s="20"/>
      <c r="P125" s="20"/>
      <c r="Q125" s="20"/>
      <c r="R125" s="161" t="s">
        <v>630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632</v>
      </c>
      <c r="C126" s="157" t="s">
        <v>633</v>
      </c>
      <c r="D126" s="158" t="s">
        <v>596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629</v>
      </c>
      <c r="N126" s="159" t="s">
        <v>598</v>
      </c>
      <c r="O126" s="20"/>
      <c r="P126" s="20"/>
      <c r="Q126" s="20"/>
      <c r="R126" s="156" t="s">
        <v>632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634</v>
      </c>
      <c r="C127" s="162" t="s">
        <v>635</v>
      </c>
      <c r="D127" s="163" t="s">
        <v>596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629</v>
      </c>
      <c r="N127" s="164" t="s">
        <v>601</v>
      </c>
      <c r="O127" s="20"/>
      <c r="P127" s="20"/>
      <c r="Q127" s="20"/>
      <c r="R127" s="161" t="s">
        <v>634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636</v>
      </c>
      <c r="C128" s="157" t="s">
        <v>637</v>
      </c>
      <c r="D128" s="158" t="s">
        <v>611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629</v>
      </c>
      <c r="N128" s="159" t="s">
        <v>601</v>
      </c>
      <c r="O128" s="20" t="s">
        <v>638</v>
      </c>
      <c r="P128" s="145">
        <f>H128/42000*1000000</f>
        <v>37.50562063532594</v>
      </c>
      <c r="Q128" s="145">
        <f>P128*0.3</f>
        <v>11.251686190597782</v>
      </c>
      <c r="R128" s="156" t="s">
        <v>636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639</v>
      </c>
      <c r="C129" s="162" t="s">
        <v>640</v>
      </c>
      <c r="D129" s="163" t="s">
        <v>588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629</v>
      </c>
      <c r="N129" s="164"/>
      <c r="O129" s="20"/>
      <c r="P129" s="20"/>
      <c r="Q129" s="20"/>
      <c r="R129" s="161" t="s">
        <v>639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641</v>
      </c>
      <c r="C130" s="157" t="s">
        <v>642</v>
      </c>
      <c r="D130" s="158" t="s">
        <v>588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629</v>
      </c>
      <c r="N130" s="159"/>
      <c r="O130" s="20"/>
      <c r="P130" s="20"/>
      <c r="Q130" s="20"/>
      <c r="R130" s="156" t="s">
        <v>641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643</v>
      </c>
      <c r="C131" s="162" t="s">
        <v>644</v>
      </c>
      <c r="D131" s="163" t="s">
        <v>611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629</v>
      </c>
      <c r="N131" s="164" t="s">
        <v>601</v>
      </c>
      <c r="O131" s="20"/>
      <c r="P131" s="20"/>
      <c r="Q131" s="20"/>
      <c r="R131" s="161" t="s">
        <v>643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645</v>
      </c>
      <c r="C132" s="157" t="s">
        <v>646</v>
      </c>
      <c r="D132" s="158" t="s">
        <v>622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629</v>
      </c>
      <c r="N132" s="159" t="s">
        <v>601</v>
      </c>
      <c r="O132" s="20"/>
      <c r="P132" s="20"/>
      <c r="Q132" s="20"/>
      <c r="R132" s="156" t="s">
        <v>645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647</v>
      </c>
      <c r="C133" s="162" t="s">
        <v>648</v>
      </c>
      <c r="D133" s="163" t="s">
        <v>611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629</v>
      </c>
      <c r="N133" s="164" t="s">
        <v>601</v>
      </c>
      <c r="O133" s="20"/>
      <c r="P133" s="20"/>
      <c r="Q133" s="20"/>
      <c r="R133" s="161" t="s">
        <v>647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649</v>
      </c>
      <c r="C134" s="157" t="s">
        <v>650</v>
      </c>
      <c r="D134" s="158" t="s">
        <v>611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629</v>
      </c>
      <c r="N134" s="159" t="s">
        <v>601</v>
      </c>
      <c r="O134" s="20" t="s">
        <v>638</v>
      </c>
      <c r="P134" s="145">
        <f>H134/42000*1000000</f>
        <v>35.257266762367934</v>
      </c>
      <c r="Q134" s="20"/>
      <c r="R134" s="156" t="s">
        <v>649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651</v>
      </c>
      <c r="C135" s="162" t="s">
        <v>652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629</v>
      </c>
      <c r="N135" s="164" t="s">
        <v>601</v>
      </c>
      <c r="O135" s="20"/>
      <c r="P135" s="20"/>
      <c r="Q135" s="20"/>
      <c r="R135" s="161" t="s">
        <v>651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653</v>
      </c>
      <c r="C136" s="157" t="s">
        <v>654</v>
      </c>
      <c r="D136" s="158" t="s">
        <v>611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629</v>
      </c>
      <c r="N136" s="159" t="s">
        <v>601</v>
      </c>
      <c r="O136" s="20"/>
      <c r="P136" s="20"/>
      <c r="Q136" s="20"/>
      <c r="R136" s="156" t="s">
        <v>653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655</v>
      </c>
      <c r="C137" s="162" t="s">
        <v>656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655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657</v>
      </c>
      <c r="C138" s="157" t="s">
        <v>658</v>
      </c>
      <c r="D138" s="158" t="s">
        <v>659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629</v>
      </c>
      <c r="N138" s="159"/>
      <c r="O138" s="20"/>
      <c r="P138" s="20"/>
      <c r="Q138" s="20"/>
      <c r="R138" s="156" t="s">
        <v>657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928"/>
      <c r="C140" s="929"/>
      <c r="D140" s="929"/>
      <c r="E140" s="930"/>
      <c r="F140" s="20"/>
      <c r="G140" s="931" t="s">
        <v>660</v>
      </c>
      <c r="H140" s="932"/>
      <c r="I140" s="933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661</v>
      </c>
      <c r="D141" s="158"/>
      <c r="E141" s="156">
        <v>2006</v>
      </c>
      <c r="F141" s="20"/>
      <c r="G141" s="155" t="s">
        <v>662</v>
      </c>
      <c r="H141" s="155" t="s">
        <v>663</v>
      </c>
      <c r="I141" s="155" t="s">
        <v>664</v>
      </c>
      <c r="J141" s="21"/>
      <c r="K141" s="21"/>
      <c r="L141" s="155" t="s">
        <v>662</v>
      </c>
      <c r="M141" s="155" t="s">
        <v>664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665</v>
      </c>
      <c r="D142" s="163"/>
      <c r="E142" s="161">
        <v>2007</v>
      </c>
      <c r="F142" s="20"/>
      <c r="G142" s="177" t="s">
        <v>666</v>
      </c>
      <c r="H142" s="178">
        <v>35.31467</v>
      </c>
      <c r="I142" s="177" t="s">
        <v>667</v>
      </c>
      <c r="J142" s="21"/>
      <c r="K142" s="21"/>
      <c r="L142" s="177" t="s">
        <v>604</v>
      </c>
      <c r="M142" s="177" t="s">
        <v>667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668</v>
      </c>
      <c r="D143" s="158"/>
      <c r="E143" s="156">
        <v>2008</v>
      </c>
      <c r="F143" s="20"/>
      <c r="G143" s="179" t="s">
        <v>669</v>
      </c>
      <c r="H143" s="180">
        <f>1000000/H142</f>
        <v>28316.843963146195</v>
      </c>
      <c r="I143" s="179" t="s">
        <v>604</v>
      </c>
      <c r="J143" s="21"/>
      <c r="K143" s="21"/>
      <c r="L143" s="179" t="s">
        <v>670</v>
      </c>
      <c r="M143" s="179" t="s">
        <v>604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671</v>
      </c>
      <c r="D144" s="163"/>
      <c r="E144" s="161">
        <v>2009</v>
      </c>
      <c r="F144" s="20"/>
      <c r="G144" s="177" t="s">
        <v>672</v>
      </c>
      <c r="H144" s="178">
        <v>3.7854117999999999</v>
      </c>
      <c r="I144" s="177" t="s">
        <v>673</v>
      </c>
      <c r="J144" s="21"/>
      <c r="K144" s="21"/>
      <c r="L144" s="177" t="s">
        <v>638</v>
      </c>
      <c r="M144" s="177" t="s">
        <v>673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674</v>
      </c>
      <c r="D145" s="158"/>
      <c r="E145" s="156">
        <v>2010</v>
      </c>
      <c r="F145" s="20"/>
      <c r="G145" s="179" t="s">
        <v>675</v>
      </c>
      <c r="H145" s="180">
        <v>42</v>
      </c>
      <c r="I145" s="179" t="s">
        <v>638</v>
      </c>
      <c r="J145" s="21"/>
      <c r="K145" s="21"/>
      <c r="L145" s="179" t="s">
        <v>676</v>
      </c>
      <c r="M145" s="179" t="s">
        <v>638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677</v>
      </c>
      <c r="D146" s="163"/>
      <c r="E146" s="161">
        <v>2011</v>
      </c>
      <c r="F146" s="20"/>
      <c r="G146" s="177" t="s">
        <v>666</v>
      </c>
      <c r="H146" s="178">
        <f>1000/H144/H145</f>
        <v>6.2898107438466297</v>
      </c>
      <c r="I146" s="177" t="s">
        <v>676</v>
      </c>
      <c r="J146" s="21"/>
      <c r="K146" s="21"/>
      <c r="L146" s="177" t="s">
        <v>604</v>
      </c>
      <c r="M146" s="177" t="s">
        <v>676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678</v>
      </c>
      <c r="C147" s="157" t="s">
        <v>679</v>
      </c>
      <c r="D147" s="158"/>
      <c r="E147" s="156">
        <v>2012</v>
      </c>
      <c r="F147" s="20"/>
      <c r="G147" s="179" t="s">
        <v>666</v>
      </c>
      <c r="H147" s="180">
        <v>1000</v>
      </c>
      <c r="I147" s="179" t="s">
        <v>673</v>
      </c>
      <c r="J147" s="21"/>
      <c r="K147" s="21"/>
      <c r="L147" s="179" t="s">
        <v>604</v>
      </c>
      <c r="M147" s="179" t="s">
        <v>673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596</v>
      </c>
      <c r="C148" s="162" t="s">
        <v>680</v>
      </c>
      <c r="D148" s="163"/>
      <c r="E148" s="161">
        <v>2013</v>
      </c>
      <c r="F148" s="20"/>
      <c r="G148" s="177" t="s">
        <v>681</v>
      </c>
      <c r="H148" s="178">
        <v>1000</v>
      </c>
      <c r="I148" s="177" t="s">
        <v>676</v>
      </c>
      <c r="J148" s="21"/>
      <c r="K148" s="21"/>
      <c r="L148" s="177" t="s">
        <v>659</v>
      </c>
      <c r="M148" s="177" t="s">
        <v>676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539</v>
      </c>
      <c r="C149" s="157" t="s">
        <v>682</v>
      </c>
      <c r="D149" s="158"/>
      <c r="E149" s="156">
        <v>2014</v>
      </c>
      <c r="F149" s="20"/>
      <c r="G149" s="179" t="s">
        <v>683</v>
      </c>
      <c r="H149" s="181">
        <f>1/H144/H145/H148</f>
        <v>6.2898107438466298E-6</v>
      </c>
      <c r="I149" s="179" t="s">
        <v>659</v>
      </c>
      <c r="J149" s="21"/>
      <c r="K149" s="21"/>
      <c r="L149" s="179" t="s">
        <v>673</v>
      </c>
      <c r="M149" s="179" t="s">
        <v>659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659</v>
      </c>
      <c r="C150" s="162" t="s">
        <v>684</v>
      </c>
      <c r="D150" s="163"/>
      <c r="E150" s="161">
        <v>2015</v>
      </c>
      <c r="F150" s="20"/>
      <c r="G150" s="177" t="s">
        <v>685</v>
      </c>
      <c r="H150" s="178">
        <v>1055.056</v>
      </c>
      <c r="I150" s="177" t="s">
        <v>686</v>
      </c>
      <c r="J150" s="21"/>
      <c r="K150" s="21"/>
      <c r="L150" s="177" t="s">
        <v>575</v>
      </c>
      <c r="M150" s="177" t="s">
        <v>686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687</v>
      </c>
      <c r="H151" s="180">
        <v>3600</v>
      </c>
      <c r="I151" s="179" t="s">
        <v>686</v>
      </c>
      <c r="J151" s="21"/>
      <c r="K151" s="21"/>
      <c r="L151" s="179" t="s">
        <v>688</v>
      </c>
      <c r="M151" s="179" t="s">
        <v>686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666</v>
      </c>
      <c r="H152" s="178">
        <f>H147/H144</f>
        <v>264.17205124155845</v>
      </c>
      <c r="I152" s="177" t="s">
        <v>638</v>
      </c>
      <c r="J152" s="21"/>
      <c r="K152" s="21"/>
      <c r="L152" s="177" t="s">
        <v>604</v>
      </c>
      <c r="M152" s="177" t="s">
        <v>638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689</v>
      </c>
      <c r="F155" s="184" t="s">
        <v>690</v>
      </c>
      <c r="G155" s="184"/>
      <c r="H155" s="184" t="s">
        <v>691</v>
      </c>
      <c r="I155" s="184"/>
      <c r="J155" s="184"/>
      <c r="K155" s="184"/>
      <c r="L155" s="184" t="s">
        <v>692</v>
      </c>
      <c r="M155" s="21" t="s">
        <v>693</v>
      </c>
      <c r="N155" s="22" t="s">
        <v>694</v>
      </c>
      <c r="O155" s="20" t="s">
        <v>695</v>
      </c>
      <c r="P155" s="20" t="s">
        <v>696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697</v>
      </c>
      <c r="D156" s="186"/>
      <c r="E156" s="155"/>
      <c r="F156" s="155" t="s">
        <v>698</v>
      </c>
      <c r="G156" s="155" t="s">
        <v>699</v>
      </c>
      <c r="H156" s="155" t="s">
        <v>700</v>
      </c>
      <c r="I156" s="155" t="s">
        <v>701</v>
      </c>
      <c r="J156" s="155" t="s">
        <v>702</v>
      </c>
      <c r="K156" s="155" t="s">
        <v>703</v>
      </c>
      <c r="L156" s="155" t="s">
        <v>543</v>
      </c>
      <c r="M156" s="21" t="s">
        <v>543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704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705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706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707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708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709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710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711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712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287</v>
      </c>
      <c r="C166" s="191" t="s">
        <v>713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714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715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716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717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718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719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720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721</v>
      </c>
      <c r="D174" s="186"/>
      <c r="E174" s="155" t="s">
        <v>722</v>
      </c>
      <c r="F174" s="155" t="s">
        <v>545</v>
      </c>
      <c r="G174" s="155" t="s">
        <v>723</v>
      </c>
      <c r="H174" s="155" t="s">
        <v>724</v>
      </c>
      <c r="I174" s="155" t="s">
        <v>701</v>
      </c>
      <c r="J174" s="155" t="s">
        <v>725</v>
      </c>
      <c r="K174" s="155" t="s">
        <v>726</v>
      </c>
      <c r="L174" s="197" t="s">
        <v>543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727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728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729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562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730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731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732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733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734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735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736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572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737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738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739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740</v>
      </c>
      <c r="D191" s="186"/>
      <c r="E191" s="155"/>
      <c r="F191" s="155" t="s">
        <v>545</v>
      </c>
      <c r="G191" s="155" t="s">
        <v>741</v>
      </c>
      <c r="H191" s="155"/>
      <c r="I191" s="155"/>
      <c r="J191" s="155" t="s">
        <v>725</v>
      </c>
      <c r="K191" s="155" t="s">
        <v>742</v>
      </c>
      <c r="L191" s="197" t="s">
        <v>543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743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744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745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746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747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748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749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750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751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752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753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754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755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756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757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758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759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760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761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762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763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764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765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766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767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594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599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602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605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607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609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612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618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627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630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632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634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636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639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641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643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645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647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649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653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8">
    <mergeCell ref="F2:G2"/>
    <mergeCell ref="D7:D9"/>
    <mergeCell ref="E41:F41"/>
    <mergeCell ref="G41:N41"/>
    <mergeCell ref="K42:M42"/>
    <mergeCell ref="O5:Q5"/>
    <mergeCell ref="S5:U5"/>
    <mergeCell ref="D107:J107"/>
    <mergeCell ref="B123:L123"/>
    <mergeCell ref="B140:E140"/>
    <mergeCell ref="G140:I140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 r:id="rId1"/>
  <headerFooter>
    <oddHeader>&amp;C002060Balance Energético Colombia &amp;A</oddHeader>
    <oddFooter>&amp;C&amp;F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11"/>
  <sheetViews>
    <sheetView showGridLines="0" topLeftCell="A64" zoomScale="85" zoomScaleNormal="85" workbookViewId="0">
      <selection activeCell="I73" sqref="I73"/>
    </sheetView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1.7109375" customWidth="1"/>
    <col min="13" max="13" width="15.5703125" customWidth="1"/>
    <col min="14" max="14" width="13" customWidth="1"/>
    <col min="15" max="15" width="14.140625" customWidth="1"/>
    <col min="16" max="16" width="13.140625" customWidth="1"/>
    <col min="17" max="17" width="15.140625" customWidth="1"/>
    <col min="18" max="18" width="12.28515625" customWidth="1"/>
    <col min="19" max="19" width="13.855468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768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769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770</v>
      </c>
      <c r="T3" s="202">
        <f>1/R3</f>
        <v>1.0550559865459262E-6</v>
      </c>
      <c r="U3" s="202" t="s">
        <v>771</v>
      </c>
      <c r="V3" s="202"/>
      <c r="W3" s="202"/>
    </row>
    <row r="4" spans="1:41" x14ac:dyDescent="0.25">
      <c r="I4" s="15" t="s">
        <v>270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271</v>
      </c>
      <c r="J5" s="8" t="s">
        <v>272</v>
      </c>
      <c r="K5" s="8" t="s">
        <v>273</v>
      </c>
      <c r="L5" s="8" t="s">
        <v>274</v>
      </c>
      <c r="M5" s="8" t="s">
        <v>275</v>
      </c>
      <c r="Q5" s="202"/>
      <c r="R5" s="202">
        <v>1.0550559999999999E-6</v>
      </c>
      <c r="S5" s="202" t="s">
        <v>772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279</v>
      </c>
      <c r="J6" s="10" t="s">
        <v>280</v>
      </c>
      <c r="K6" s="10" t="s">
        <v>281</v>
      </c>
      <c r="L6" s="10" t="s">
        <v>282</v>
      </c>
      <c r="M6" s="10" t="s">
        <v>283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287</v>
      </c>
      <c r="J7" s="10"/>
      <c r="K7" s="10"/>
      <c r="L7" s="10"/>
      <c r="M7" s="10"/>
      <c r="Q7" s="202"/>
      <c r="R7" s="202" t="s">
        <v>773</v>
      </c>
      <c r="S7" s="202" t="s">
        <v>774</v>
      </c>
      <c r="T7" s="202" t="s">
        <v>775</v>
      </c>
      <c r="U7" s="202"/>
      <c r="V7" s="202" t="s">
        <v>775</v>
      </c>
      <c r="W7" s="202" t="s">
        <v>773</v>
      </c>
    </row>
    <row r="8" spans="1:41" x14ac:dyDescent="0.25">
      <c r="I8" s="12" t="s">
        <v>261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288</v>
      </c>
      <c r="Q8" s="202" t="s">
        <v>776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288</v>
      </c>
      <c r="Q9" s="202" t="s">
        <v>777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288</v>
      </c>
      <c r="Q10" s="202" t="s">
        <v>778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779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288</v>
      </c>
      <c r="Q11" s="202" t="s">
        <v>780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288</v>
      </c>
      <c r="Q12" s="202" t="s">
        <v>781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782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288</v>
      </c>
      <c r="Q13" s="202" t="s">
        <v>783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784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288</v>
      </c>
      <c r="Q14" s="202" t="s">
        <v>785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288</v>
      </c>
      <c r="Q15" s="202" t="s">
        <v>786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787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288</v>
      </c>
      <c r="Q16" s="202" t="s">
        <v>788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789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288</v>
      </c>
      <c r="Q17" s="202" t="s">
        <v>790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288</v>
      </c>
      <c r="Q18" s="202" t="s">
        <v>791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792</v>
      </c>
      <c r="K19" s="12" t="s">
        <v>793</v>
      </c>
      <c r="L19" s="12" t="s">
        <v>59</v>
      </c>
      <c r="M19" s="12" t="s">
        <v>288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794</v>
      </c>
      <c r="K20" s="12" t="s">
        <v>795</v>
      </c>
      <c r="L20" s="12" t="s">
        <v>59</v>
      </c>
      <c r="M20" s="12" t="s">
        <v>288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259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288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288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288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288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288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288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288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288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288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288</v>
      </c>
    </row>
    <row r="31" spans="2:23" ht="15.75" customHeight="1" x14ac:dyDescent="0.25">
      <c r="E31">
        <f>3299*1.38</f>
        <v>4552.62</v>
      </c>
      <c r="J31" s="12" t="str">
        <v>IMP-HOIL</v>
      </c>
      <c r="K31" s="12" t="str">
        <v>Importacion de Petroleo pesado</v>
      </c>
      <c r="L31" s="12" t="s">
        <v>59</v>
      </c>
      <c r="M31" s="12" t="s">
        <v>288</v>
      </c>
    </row>
    <row r="32" spans="2:23" ht="15.75" customHeight="1" x14ac:dyDescent="0.25">
      <c r="B32" s="12" t="s">
        <v>796</v>
      </c>
      <c r="D32" s="12">
        <v>3299</v>
      </c>
      <c r="E32" s="12" t="s">
        <v>797</v>
      </c>
      <c r="J32" s="12" t="s">
        <v>798</v>
      </c>
      <c r="K32" s="12" t="s">
        <v>799</v>
      </c>
      <c r="L32" s="12" t="s">
        <v>59</v>
      </c>
      <c r="M32" s="12" t="s">
        <v>288</v>
      </c>
    </row>
    <row r="33" spans="2:23" ht="15.75" customHeight="1" x14ac:dyDescent="0.25">
      <c r="J33" s="12" t="s">
        <v>800</v>
      </c>
      <c r="K33" s="12" t="s">
        <v>801</v>
      </c>
      <c r="L33" s="12" t="s">
        <v>59</v>
      </c>
      <c r="M33" s="12" t="s">
        <v>288</v>
      </c>
    </row>
    <row r="34" spans="2:23" s="904" customFormat="1" ht="15.75" customHeight="1" x14ac:dyDescent="0.25">
      <c r="J34" s="906" t="s">
        <v>1702</v>
      </c>
      <c r="K34" s="906" t="s">
        <v>1704</v>
      </c>
      <c r="L34" s="12" t="s">
        <v>59</v>
      </c>
      <c r="M34" s="12" t="s">
        <v>288</v>
      </c>
    </row>
    <row r="35" spans="2:23" s="904" customFormat="1" ht="15.75" customHeight="1" x14ac:dyDescent="0.25">
      <c r="J35" s="906" t="s">
        <v>1703</v>
      </c>
      <c r="K35" s="906" t="s">
        <v>1705</v>
      </c>
      <c r="L35" s="12" t="s">
        <v>59</v>
      </c>
      <c r="M35" s="12" t="s">
        <v>288</v>
      </c>
    </row>
    <row r="36" spans="2:23" ht="15.75" customHeight="1" x14ac:dyDescent="0.25"/>
    <row r="37" spans="2:23" ht="15.75" customHeight="1" x14ac:dyDescent="0.25">
      <c r="D37" s="12">
        <v>287</v>
      </c>
      <c r="E37" s="12" t="s">
        <v>802</v>
      </c>
    </row>
    <row r="38" spans="2:23" ht="15.75" customHeight="1" x14ac:dyDescent="0.25">
      <c r="D38" s="205">
        <f>+D37/D32</f>
        <v>8.6996059411943008E-2</v>
      </c>
      <c r="E38" s="12" t="s">
        <v>803</v>
      </c>
      <c r="I38" s="206" t="s">
        <v>804</v>
      </c>
      <c r="J38" s="207"/>
      <c r="K38" s="207"/>
      <c r="L38" s="207"/>
      <c r="M38" s="206"/>
    </row>
    <row r="39" spans="2:23" ht="15.75" customHeight="1" x14ac:dyDescent="0.25">
      <c r="I39" s="208" t="s">
        <v>272</v>
      </c>
      <c r="J39" s="209" t="s">
        <v>805</v>
      </c>
      <c r="K39" s="208" t="s">
        <v>806</v>
      </c>
      <c r="L39" s="210" t="s">
        <v>807</v>
      </c>
      <c r="M39" s="210" t="s">
        <v>808</v>
      </c>
      <c r="N39" s="210" t="s">
        <v>809</v>
      </c>
      <c r="O39" s="210" t="s">
        <v>810</v>
      </c>
      <c r="P39" s="210" t="s">
        <v>811</v>
      </c>
      <c r="Q39" s="210" t="s">
        <v>812</v>
      </c>
      <c r="R39" s="210" t="s">
        <v>813</v>
      </c>
      <c r="S39" s="210" t="s">
        <v>814</v>
      </c>
    </row>
    <row r="40" spans="2:23" ht="15.75" customHeight="1" x14ac:dyDescent="0.25">
      <c r="I40" s="211" t="s">
        <v>815</v>
      </c>
      <c r="J40" s="211" t="s">
        <v>816</v>
      </c>
      <c r="K40" s="211" t="s">
        <v>817</v>
      </c>
      <c r="L40" s="212" t="s">
        <v>818</v>
      </c>
      <c r="M40" s="212" t="s">
        <v>818</v>
      </c>
      <c r="N40" s="212" t="s">
        <v>818</v>
      </c>
      <c r="O40" s="212" t="s">
        <v>818</v>
      </c>
      <c r="P40" s="212" t="s">
        <v>818</v>
      </c>
      <c r="Q40" s="212" t="s">
        <v>818</v>
      </c>
      <c r="R40" s="212" t="s">
        <v>818</v>
      </c>
      <c r="S40" s="212" t="s">
        <v>818</v>
      </c>
    </row>
    <row r="41" spans="2:23" ht="15.75" customHeight="1" x14ac:dyDescent="0.25">
      <c r="I41" s="211"/>
      <c r="J41" s="213"/>
      <c r="K41" s="213"/>
      <c r="L41" s="213" t="s">
        <v>819</v>
      </c>
      <c r="M41" s="213" t="s">
        <v>819</v>
      </c>
      <c r="N41" s="213" t="s">
        <v>819</v>
      </c>
      <c r="O41" s="213" t="s">
        <v>819</v>
      </c>
      <c r="P41" s="213" t="s">
        <v>819</v>
      </c>
      <c r="Q41" s="213" t="s">
        <v>819</v>
      </c>
      <c r="R41" s="213" t="s">
        <v>819</v>
      </c>
      <c r="S41" s="213" t="s">
        <v>819</v>
      </c>
    </row>
    <row r="42" spans="2:23" ht="15.75" customHeight="1" x14ac:dyDescent="0.25">
      <c r="I42" s="12" t="str">
        <f t="shared" ref="I42:I53" si="2">+J8</f>
        <v>EXP-GSL</v>
      </c>
      <c r="J42" s="214" t="str">
        <f t="shared" ref="J42:J47" si="3">+RIGHT(I42,3)</f>
        <v>GSL</v>
      </c>
      <c r="K42" s="214"/>
      <c r="L42" s="215">
        <f t="shared" ref="L42:S42" si="4">+J126</f>
        <v>20.996445954041999</v>
      </c>
      <c r="M42" s="215">
        <f t="shared" si="4"/>
        <v>20.795929580790002</v>
      </c>
      <c r="N42" s="215">
        <f t="shared" si="4"/>
        <v>20.716882590807003</v>
      </c>
      <c r="O42" s="215">
        <f t="shared" si="4"/>
        <v>22.202066334591002</v>
      </c>
      <c r="P42" s="215">
        <f t="shared" si="4"/>
        <v>23.568165402677998</v>
      </c>
      <c r="Q42" s="215">
        <f t="shared" si="4"/>
        <v>24.597135442035</v>
      </c>
      <c r="R42" s="215">
        <f t="shared" si="4"/>
        <v>25.886116327734001</v>
      </c>
      <c r="S42" s="215">
        <f t="shared" si="4"/>
        <v>27.153960894333</v>
      </c>
      <c r="T42" s="215"/>
      <c r="U42" s="215">
        <v>14.26</v>
      </c>
      <c r="V42" s="215"/>
      <c r="W42" s="215"/>
    </row>
    <row r="43" spans="2:23" ht="15.75" customHeight="1" x14ac:dyDescent="0.25">
      <c r="B43" s="216" t="s">
        <v>820</v>
      </c>
      <c r="C43" s="216"/>
      <c r="D43" s="216"/>
      <c r="E43" s="216">
        <v>0.125</v>
      </c>
      <c r="F43" s="216" t="s">
        <v>821</v>
      </c>
      <c r="I43" s="12" t="str">
        <f t="shared" si="2"/>
        <v>EXP-DSL</v>
      </c>
      <c r="J43" s="214" t="str">
        <f t="shared" si="3"/>
        <v>DSL</v>
      </c>
      <c r="K43" s="214"/>
      <c r="L43" s="215">
        <f t="shared" ref="L43:S43" si="5">+J127</f>
        <v>20.905026160941002</v>
      </c>
      <c r="M43" s="215">
        <f t="shared" si="5"/>
        <v>20.219447377232999</v>
      </c>
      <c r="N43" s="215">
        <f t="shared" si="5"/>
        <v>20.630671999937999</v>
      </c>
      <c r="O43" s="215">
        <f t="shared" si="5"/>
        <v>21.930071290101001</v>
      </c>
      <c r="P43" s="215">
        <f t="shared" si="5"/>
        <v>23.082531458571001</v>
      </c>
      <c r="Q43" s="215">
        <f t="shared" si="5"/>
        <v>23.875429665555</v>
      </c>
      <c r="R43" s="215">
        <f t="shared" si="5"/>
        <v>25.090517790116998</v>
      </c>
      <c r="S43" s="215">
        <f t="shared" si="5"/>
        <v>25.880965890156002</v>
      </c>
      <c r="T43" s="215"/>
      <c r="U43" s="215">
        <v>16.96</v>
      </c>
      <c r="V43" s="215"/>
      <c r="W43" s="215"/>
    </row>
    <row r="44" spans="2:23" ht="15.75" customHeight="1" x14ac:dyDescent="0.25">
      <c r="E44" s="12">
        <f>+E43*1000000</f>
        <v>125000</v>
      </c>
      <c r="F44" s="12" t="s">
        <v>822</v>
      </c>
      <c r="I44" s="12" t="str">
        <f t="shared" si="2"/>
        <v>EXP-KER</v>
      </c>
      <c r="J44" s="214" t="str">
        <f t="shared" si="3"/>
        <v>KER</v>
      </c>
      <c r="K44" s="214"/>
      <c r="L44" s="215">
        <f t="shared" ref="L44:S44" si="6">+J128</f>
        <v>13.877034192216</v>
      </c>
      <c r="M44" s="215">
        <f t="shared" si="6"/>
        <v>13.695434350650002</v>
      </c>
      <c r="N44" s="215">
        <f t="shared" si="6"/>
        <v>14.458260219857999</v>
      </c>
      <c r="O44" s="215">
        <f t="shared" si="6"/>
        <v>15.795199697939999</v>
      </c>
      <c r="P44" s="215">
        <f t="shared" si="6"/>
        <v>17.191836481949998</v>
      </c>
      <c r="Q44" s="215">
        <f t="shared" si="6"/>
        <v>18.196136740431001</v>
      </c>
      <c r="R44" s="215">
        <f t="shared" si="6"/>
        <v>19.62033319935</v>
      </c>
      <c r="S44" s="215">
        <f t="shared" si="6"/>
        <v>20.718097692200999</v>
      </c>
      <c r="T44" s="215"/>
      <c r="U44" s="215">
        <v>11.91</v>
      </c>
      <c r="V44" s="215"/>
      <c r="W44" s="215"/>
    </row>
    <row r="45" spans="2:23" ht="15.75" customHeight="1" x14ac:dyDescent="0.25">
      <c r="E45" s="12">
        <f>+E44/(1000000)</f>
        <v>0.125</v>
      </c>
      <c r="F45" s="12" t="s">
        <v>823</v>
      </c>
      <c r="I45" s="12" t="str">
        <f t="shared" si="2"/>
        <v>EXP-LPG</v>
      </c>
      <c r="J45" s="214" t="str">
        <f t="shared" si="3"/>
        <v>LPG</v>
      </c>
      <c r="K45" s="214"/>
      <c r="L45" s="215">
        <f t="shared" ref="L45:S45" si="7">+J129</f>
        <v>17.551047751146001</v>
      </c>
      <c r="M45" s="215">
        <f t="shared" si="7"/>
        <v>16.867144707893999</v>
      </c>
      <c r="N45" s="215">
        <f t="shared" si="7"/>
        <v>19.872932116751997</v>
      </c>
      <c r="O45" s="215">
        <f t="shared" si="7"/>
        <v>22.022557377326997</v>
      </c>
      <c r="P45" s="215">
        <f t="shared" si="7"/>
        <v>22.891725470484001</v>
      </c>
      <c r="Q45" s="215">
        <f t="shared" si="7"/>
        <v>24.412499742618003</v>
      </c>
      <c r="R45" s="215">
        <f t="shared" si="7"/>
        <v>25.877700660591003</v>
      </c>
      <c r="S45" s="215">
        <f t="shared" si="7"/>
        <v>27.425805235919999</v>
      </c>
      <c r="T45" s="215"/>
      <c r="U45" s="215">
        <v>6.34</v>
      </c>
      <c r="V45" s="215"/>
      <c r="W45" s="215"/>
    </row>
    <row r="46" spans="2:23" ht="15.75" customHeight="1" x14ac:dyDescent="0.25">
      <c r="E46" s="12">
        <f>+E45/0.0036</f>
        <v>34.722222222222221</v>
      </c>
      <c r="F46" s="12" t="s">
        <v>773</v>
      </c>
      <c r="I46" s="12" t="str">
        <f t="shared" si="2"/>
        <v>EXP-HFO</v>
      </c>
      <c r="J46" s="214" t="str">
        <f t="shared" si="3"/>
        <v>HFO</v>
      </c>
      <c r="K46" s="214"/>
      <c r="L46" s="215">
        <f t="shared" ref="L46:S46" si="8">+J130</f>
        <v>9.2415067298189992</v>
      </c>
      <c r="M46" s="215">
        <f t="shared" si="8"/>
        <v>9.6605963379900004</v>
      </c>
      <c r="N46" s="215">
        <f t="shared" si="8"/>
        <v>9.3615136314569991</v>
      </c>
      <c r="O46" s="215">
        <f t="shared" si="8"/>
        <v>10.777456499940001</v>
      </c>
      <c r="P46" s="215">
        <f t="shared" si="8"/>
        <v>12.03505800822</v>
      </c>
      <c r="Q46" s="215">
        <f t="shared" si="8"/>
        <v>13.376972577735</v>
      </c>
      <c r="R46" s="215">
        <f t="shared" si="8"/>
        <v>14.299692331392</v>
      </c>
      <c r="S46" s="215">
        <f t="shared" si="8"/>
        <v>15.089726235401999</v>
      </c>
      <c r="T46" s="215"/>
      <c r="U46" s="215">
        <v>8.2100000000000009</v>
      </c>
      <c r="V46" s="215"/>
      <c r="W46" s="215"/>
    </row>
    <row r="47" spans="2:23" ht="15.75" customHeight="1" x14ac:dyDescent="0.25">
      <c r="I47" s="12" t="str">
        <f t="shared" si="2"/>
        <v>EXP-ETH</v>
      </c>
      <c r="J47" s="214" t="str">
        <f t="shared" si="3"/>
        <v>ETH</v>
      </c>
      <c r="K47" s="214"/>
      <c r="L47" s="215">
        <f t="shared" ref="L47:S47" si="9">+J131</f>
        <v>15.484369752577541</v>
      </c>
      <c r="M47" s="215">
        <f t="shared" si="9"/>
        <v>15.076841521470868</v>
      </c>
      <c r="N47" s="215">
        <f t="shared" si="9"/>
        <v>16.842423718223472</v>
      </c>
      <c r="O47" s="215">
        <f t="shared" si="9"/>
        <v>19.600166238545455</v>
      </c>
      <c r="P47" s="215">
        <f t="shared" si="9"/>
        <v>19.747825616593868</v>
      </c>
      <c r="Q47" s="215">
        <f t="shared" si="9"/>
        <v>20.304548193105546</v>
      </c>
      <c r="R47" s="215">
        <f t="shared" si="9"/>
        <v>21.409220503499576</v>
      </c>
      <c r="S47" s="215">
        <f t="shared" si="9"/>
        <v>24.151142776321418</v>
      </c>
      <c r="T47" s="215"/>
      <c r="U47" s="215">
        <v>26</v>
      </c>
      <c r="V47" s="215"/>
      <c r="W47" s="215"/>
    </row>
    <row r="48" spans="2:23" ht="15.75" customHeight="1" x14ac:dyDescent="0.25">
      <c r="I48" s="12" t="str">
        <f t="shared" si="2"/>
        <v>EXP-BDSL</v>
      </c>
      <c r="J48" s="214" t="str">
        <f>+RIGHT(I48,4)</f>
        <v>BDSL</v>
      </c>
      <c r="K48" s="214"/>
      <c r="L48" s="215">
        <f t="shared" ref="L48:S48" si="10">+J132</f>
        <v>27.015813128159731</v>
      </c>
      <c r="M48" s="215">
        <f t="shared" si="10"/>
        <v>26.129831538723028</v>
      </c>
      <c r="N48" s="215">
        <f t="shared" si="10"/>
        <v>26.661261993541277</v>
      </c>
      <c r="O48" s="215">
        <f t="shared" si="10"/>
        <v>28.340491100056148</v>
      </c>
      <c r="P48" s="215">
        <f t="shared" si="10"/>
        <v>29.829829037705093</v>
      </c>
      <c r="Q48" s="215">
        <f t="shared" si="10"/>
        <v>30.854500790068418</v>
      </c>
      <c r="R48" s="215">
        <f t="shared" si="10"/>
        <v>32.424773577803386</v>
      </c>
      <c r="S48" s="215">
        <f t="shared" si="10"/>
        <v>33.446279027916688</v>
      </c>
      <c r="T48" s="215"/>
      <c r="U48" s="215">
        <v>29</v>
      </c>
      <c r="V48" s="215"/>
      <c r="W48" s="215"/>
    </row>
    <row r="49" spans="2:23" ht="15.75" customHeight="1" x14ac:dyDescent="0.25">
      <c r="B49" s="217" t="s">
        <v>824</v>
      </c>
      <c r="C49" s="217"/>
      <c r="D49" s="217"/>
      <c r="E49" s="218">
        <v>0.25</v>
      </c>
      <c r="I49" s="12" t="str">
        <f t="shared" si="2"/>
        <v>EXP-GAS</v>
      </c>
      <c r="J49" s="214" t="str">
        <f>+RIGHT(I49,3)</f>
        <v>GAS</v>
      </c>
      <c r="K49" s="214"/>
      <c r="L49" s="215">
        <f t="shared" ref="L49:S49" si="11">+J133</f>
        <v>4.769127007632</v>
      </c>
      <c r="M49" s="215">
        <f t="shared" si="11"/>
        <v>4.5122894526059998</v>
      </c>
      <c r="N49" s="215">
        <f t="shared" si="11"/>
        <v>4.9274484636779992</v>
      </c>
      <c r="O49" s="215">
        <f t="shared" si="11"/>
        <v>5.3827086642029993</v>
      </c>
      <c r="P49" s="215">
        <f t="shared" si="11"/>
        <v>5.4401245746119997</v>
      </c>
      <c r="Q49" s="215">
        <f t="shared" si="11"/>
        <v>5.4800854871490001</v>
      </c>
      <c r="R49" s="215">
        <f t="shared" si="11"/>
        <v>5.5431115263809998</v>
      </c>
      <c r="S49" s="215">
        <f t="shared" si="11"/>
        <v>5.7037579775280003</v>
      </c>
      <c r="T49" s="215"/>
      <c r="U49" s="215">
        <v>5.6</v>
      </c>
      <c r="V49" s="215"/>
      <c r="W49" s="215"/>
    </row>
    <row r="50" spans="2:23" ht="15.75" customHeight="1" x14ac:dyDescent="0.25">
      <c r="I50" s="12" t="str">
        <f t="shared" si="2"/>
        <v>EXP-LOIL</v>
      </c>
      <c r="J50" s="214" t="str">
        <f t="shared" ref="J50:J52" si="12">+RIGHT(I50,4)</f>
        <v>LOIL</v>
      </c>
      <c r="K50" s="214"/>
      <c r="L50" s="215">
        <f t="shared" ref="L50:S50" si="13">+J137</f>
        <v>9.4202649837693002</v>
      </c>
      <c r="M50" s="215">
        <f t="shared" si="13"/>
        <v>8.8971488688237894</v>
      </c>
      <c r="N50" s="215">
        <f t="shared" si="13"/>
        <v>10.809495075642701</v>
      </c>
      <c r="O50" s="215">
        <f t="shared" si="13"/>
        <v>11.944874310089356</v>
      </c>
      <c r="P50" s="215">
        <f t="shared" si="13"/>
        <v>13.287214218828185</v>
      </c>
      <c r="Q50" s="215">
        <f t="shared" si="13"/>
        <v>14.355702223711937</v>
      </c>
      <c r="R50" s="215">
        <f t="shared" si="13"/>
        <v>15.630732976072419</v>
      </c>
      <c r="S50" s="215">
        <f t="shared" si="13"/>
        <v>16.864994934098721</v>
      </c>
      <c r="T50" s="215"/>
      <c r="U50" s="215">
        <v>7.26</v>
      </c>
      <c r="V50" s="215"/>
      <c r="W50" s="215"/>
    </row>
    <row r="51" spans="2:23" ht="15.75" customHeight="1" x14ac:dyDescent="0.25">
      <c r="I51" s="12" t="str">
        <f t="shared" si="2"/>
        <v>EXP-MOIL</v>
      </c>
      <c r="J51" s="214" t="str">
        <f t="shared" si="12"/>
        <v>MOIL</v>
      </c>
      <c r="K51" s="214"/>
      <c r="L51" s="215">
        <f t="shared" ref="L51:S51" si="14">+J135</f>
        <v>8.6667911578505592</v>
      </c>
      <c r="M51" s="215">
        <f t="shared" si="14"/>
        <v>8.1855161483523844</v>
      </c>
      <c r="N51" s="215">
        <f t="shared" si="14"/>
        <v>9.9449045758078007</v>
      </c>
      <c r="O51" s="215">
        <f t="shared" si="14"/>
        <v>10.989471233631489</v>
      </c>
      <c r="P51" s="215">
        <f t="shared" si="14"/>
        <v>12.224444949544161</v>
      </c>
      <c r="Q51" s="215">
        <f t="shared" si="14"/>
        <v>13.207470629708267</v>
      </c>
      <c r="R51" s="215">
        <f t="shared" si="14"/>
        <v>14.380518868753001</v>
      </c>
      <c r="S51" s="215">
        <f t="shared" si="14"/>
        <v>15.516059179213938</v>
      </c>
      <c r="T51" s="215"/>
      <c r="U51" s="215">
        <v>7.01</v>
      </c>
      <c r="V51" s="215"/>
      <c r="W51" s="215"/>
    </row>
    <row r="52" spans="2:23" ht="15.75" customHeight="1" x14ac:dyDescent="0.25">
      <c r="I52" s="12" t="str">
        <f t="shared" si="2"/>
        <v>EXP-HOIL</v>
      </c>
      <c r="J52" s="214" t="str">
        <f t="shared" si="12"/>
        <v>HOIL</v>
      </c>
      <c r="K52" s="214"/>
      <c r="L52" s="215">
        <f t="shared" ref="L52:S52" si="15">+J136</f>
        <v>7.1598435060130816</v>
      </c>
      <c r="M52" s="215">
        <f t="shared" si="15"/>
        <v>6.7622507074095797</v>
      </c>
      <c r="N52" s="215">
        <f t="shared" si="15"/>
        <v>8.215723576138009</v>
      </c>
      <c r="O52" s="215">
        <f t="shared" si="15"/>
        <v>9.0786650807157603</v>
      </c>
      <c r="P52" s="215">
        <f t="shared" si="15"/>
        <v>10.098906410976124</v>
      </c>
      <c r="Q52" s="215">
        <f t="shared" si="15"/>
        <v>10.911007441700926</v>
      </c>
      <c r="R52" s="215">
        <f t="shared" si="15"/>
        <v>11.88009065411417</v>
      </c>
      <c r="S52" s="215">
        <f t="shared" si="15"/>
        <v>12.818187669444375</v>
      </c>
      <c r="T52" s="215"/>
      <c r="U52" s="215">
        <v>6.76</v>
      </c>
      <c r="V52" s="215"/>
      <c r="W52" s="215"/>
    </row>
    <row r="53" spans="2:23" ht="15.75" customHeight="1" x14ac:dyDescent="0.25">
      <c r="I53" s="12" t="str">
        <f t="shared" si="2"/>
        <v>EXP-SIN</v>
      </c>
      <c r="J53" s="219" t="s">
        <v>825</v>
      </c>
      <c r="K53" s="214"/>
      <c r="L53" s="220">
        <f>+E46</f>
        <v>34.722222222222221</v>
      </c>
      <c r="M53" s="220">
        <f t="shared" ref="M53:S53" si="16">+L53</f>
        <v>34.722222222222221</v>
      </c>
      <c r="N53" s="220">
        <f t="shared" si="16"/>
        <v>34.722222222222221</v>
      </c>
      <c r="O53" s="220">
        <f t="shared" si="16"/>
        <v>34.722222222222221</v>
      </c>
      <c r="P53" s="220">
        <f t="shared" si="16"/>
        <v>34.722222222222221</v>
      </c>
      <c r="Q53" s="220">
        <f t="shared" si="16"/>
        <v>34.722222222222221</v>
      </c>
      <c r="R53" s="220">
        <f t="shared" si="16"/>
        <v>34.722222222222221</v>
      </c>
      <c r="S53" s="220">
        <f t="shared" si="16"/>
        <v>34.722222222222221</v>
      </c>
    </row>
    <row r="54" spans="2:23" ht="15.75" customHeight="1" x14ac:dyDescent="0.25">
      <c r="I54" s="12" t="s">
        <v>794</v>
      </c>
      <c r="J54" s="221" t="str">
        <f>+RIGHT(I54,3)</f>
        <v>AVG</v>
      </c>
      <c r="L54" s="222">
        <v>21.450884058013838</v>
      </c>
      <c r="M54" s="222">
        <v>21.173796174722664</v>
      </c>
      <c r="N54" s="222">
        <v>22.060639953463127</v>
      </c>
      <c r="O54" s="222">
        <v>24.100563154252466</v>
      </c>
      <c r="P54" s="222">
        <v>26.231573439673227</v>
      </c>
      <c r="Q54" s="222">
        <v>27.763950507910614</v>
      </c>
      <c r="R54" s="222">
        <v>29.937011777070548</v>
      </c>
      <c r="S54" s="222">
        <v>31.611998038364984</v>
      </c>
    </row>
    <row r="55" spans="2:23" ht="15.75" customHeight="1" x14ac:dyDescent="0.25">
      <c r="I55" s="12" t="str">
        <f t="shared" ref="I55:I66" si="17">+J21</f>
        <v>IMP-GSL</v>
      </c>
      <c r="J55" s="214"/>
      <c r="K55" s="214" t="str">
        <f t="shared" ref="K55:K60" si="18">+RIGHT(I55,3)</f>
        <v>GSL</v>
      </c>
      <c r="L55" s="223">
        <f t="shared" ref="L55:S55" si="19">+L42+($E$49*L42)</f>
        <v>26.245557442552499</v>
      </c>
      <c r="M55" s="224">
        <f t="shared" si="19"/>
        <v>25.994911975987502</v>
      </c>
      <c r="N55" s="224">
        <f t="shared" si="19"/>
        <v>25.896103238508754</v>
      </c>
      <c r="O55" s="224">
        <f t="shared" si="19"/>
        <v>27.752582918238751</v>
      </c>
      <c r="P55" s="224">
        <f t="shared" si="19"/>
        <v>29.460206753347499</v>
      </c>
      <c r="Q55" s="224">
        <f t="shared" si="19"/>
        <v>30.74641930254375</v>
      </c>
      <c r="R55" s="224">
        <f t="shared" si="19"/>
        <v>32.357645409667498</v>
      </c>
      <c r="S55" s="224">
        <f t="shared" si="19"/>
        <v>33.942451117916249</v>
      </c>
    </row>
    <row r="56" spans="2:23" ht="15.75" customHeight="1" x14ac:dyDescent="0.25">
      <c r="I56" s="12" t="str">
        <f t="shared" si="17"/>
        <v>IMP-DSL</v>
      </c>
      <c r="J56" s="214"/>
      <c r="K56" s="214" t="str">
        <f t="shared" si="18"/>
        <v>DSL</v>
      </c>
      <c r="L56" s="225">
        <f t="shared" ref="L56:S56" si="20">+L43+($E$49*L43)</f>
        <v>26.131282701176254</v>
      </c>
      <c r="M56" s="224">
        <f t="shared" si="20"/>
        <v>25.274309221541248</v>
      </c>
      <c r="N56" s="224">
        <f t="shared" si="20"/>
        <v>25.788339999922499</v>
      </c>
      <c r="O56" s="224">
        <f t="shared" si="20"/>
        <v>27.41258911262625</v>
      </c>
      <c r="P56" s="224">
        <f t="shared" si="20"/>
        <v>28.85316432321375</v>
      </c>
      <c r="Q56" s="224">
        <f t="shared" si="20"/>
        <v>29.844287081943751</v>
      </c>
      <c r="R56" s="224">
        <f t="shared" si="20"/>
        <v>31.363147237646245</v>
      </c>
      <c r="S56" s="224">
        <f t="shared" si="20"/>
        <v>32.351207362695</v>
      </c>
    </row>
    <row r="57" spans="2:23" ht="15.75" customHeight="1" x14ac:dyDescent="0.25">
      <c r="E57">
        <f>64.7*L49</f>
        <v>308.56251739379042</v>
      </c>
      <c r="F57" s="806" t="s">
        <v>59</v>
      </c>
      <c r="I57" s="12" t="str">
        <f t="shared" si="17"/>
        <v>IMP-KER</v>
      </c>
      <c r="J57" s="214"/>
      <c r="K57" s="214" t="str">
        <f t="shared" si="18"/>
        <v>KER</v>
      </c>
      <c r="L57" s="224">
        <f t="shared" ref="L57:S57" si="21">+L44+($E$49*L44)</f>
        <v>17.346292740269998</v>
      </c>
      <c r="M57" s="224">
        <f t="shared" si="21"/>
        <v>17.119292938312501</v>
      </c>
      <c r="N57" s="224">
        <f t="shared" si="21"/>
        <v>18.072825274822499</v>
      </c>
      <c r="O57" s="224">
        <f t="shared" si="21"/>
        <v>19.743999622425001</v>
      </c>
      <c r="P57" s="224">
        <f t="shared" si="21"/>
        <v>21.489795602437496</v>
      </c>
      <c r="Q57" s="224">
        <f t="shared" si="21"/>
        <v>22.745170925538751</v>
      </c>
      <c r="R57" s="224">
        <f t="shared" si="21"/>
        <v>24.5254164991875</v>
      </c>
      <c r="S57" s="224">
        <f t="shared" si="21"/>
        <v>25.897622115251249</v>
      </c>
    </row>
    <row r="58" spans="2:23" ht="15.75" customHeight="1" x14ac:dyDescent="0.25">
      <c r="E58">
        <f>+E57*2.7</f>
        <v>833.11879696323422</v>
      </c>
      <c r="F58" s="806" t="s">
        <v>670</v>
      </c>
      <c r="I58" s="12" t="str">
        <f t="shared" si="17"/>
        <v>IMP-LPG</v>
      </c>
      <c r="J58" s="214"/>
      <c r="K58" s="214" t="str">
        <f t="shared" si="18"/>
        <v>LPG</v>
      </c>
      <c r="L58" s="224">
        <f t="shared" ref="L58:S58" si="22">+L45+($E$49*L45)</f>
        <v>21.938809688932501</v>
      </c>
      <c r="M58" s="224">
        <f t="shared" si="22"/>
        <v>21.083930884867499</v>
      </c>
      <c r="N58" s="224">
        <f t="shared" si="22"/>
        <v>24.841165145939996</v>
      </c>
      <c r="O58" s="224">
        <f t="shared" si="22"/>
        <v>27.528196721658745</v>
      </c>
      <c r="P58" s="224">
        <f t="shared" si="22"/>
        <v>28.614656838105002</v>
      </c>
      <c r="Q58" s="224">
        <f t="shared" si="22"/>
        <v>30.515624678272502</v>
      </c>
      <c r="R58" s="224">
        <f t="shared" si="22"/>
        <v>32.347125825738757</v>
      </c>
      <c r="S58" s="224">
        <f t="shared" si="22"/>
        <v>34.282256544900001</v>
      </c>
    </row>
    <row r="59" spans="2:23" ht="15.75" customHeight="1" x14ac:dyDescent="0.25">
      <c r="E59">
        <f>+E58/365</f>
        <v>2.2825172519540664</v>
      </c>
      <c r="F59" s="806" t="s">
        <v>1565</v>
      </c>
      <c r="I59" s="12" t="str">
        <f t="shared" si="17"/>
        <v>IMP-HFO</v>
      </c>
      <c r="J59" s="214"/>
      <c r="K59" s="214" t="str">
        <f t="shared" si="18"/>
        <v>HFO</v>
      </c>
      <c r="L59" s="224">
        <f t="shared" ref="L59:S59" si="23">+L46+($E$49*L46)</f>
        <v>11.551883412273749</v>
      </c>
      <c r="M59" s="224">
        <f t="shared" si="23"/>
        <v>12.0757454224875</v>
      </c>
      <c r="N59" s="224">
        <f t="shared" si="23"/>
        <v>11.701892039321249</v>
      </c>
      <c r="O59" s="224">
        <f t="shared" si="23"/>
        <v>13.471820624925002</v>
      </c>
      <c r="P59" s="224">
        <f t="shared" si="23"/>
        <v>15.043822510275</v>
      </c>
      <c r="Q59" s="224">
        <f t="shared" si="23"/>
        <v>16.721215722168751</v>
      </c>
      <c r="R59" s="224">
        <f t="shared" si="23"/>
        <v>17.874615414240001</v>
      </c>
      <c r="S59" s="224">
        <f t="shared" si="23"/>
        <v>18.8621577942525</v>
      </c>
    </row>
    <row r="60" spans="2:23" ht="15.75" customHeight="1" x14ac:dyDescent="0.25">
      <c r="I60" s="12" t="str">
        <f t="shared" si="17"/>
        <v>IMP-ETH</v>
      </c>
      <c r="J60" s="214"/>
      <c r="K60" s="214" t="str">
        <f t="shared" si="18"/>
        <v>ETH</v>
      </c>
      <c r="L60" s="224">
        <f>+L47+($E$49*L47)</f>
        <v>19.355462190721926</v>
      </c>
      <c r="M60" s="224">
        <f t="shared" ref="M60:S60" si="24">+M47+($E$49*M47)</f>
        <v>18.846051901838585</v>
      </c>
      <c r="N60" s="224">
        <f t="shared" si="24"/>
        <v>21.05302964777934</v>
      </c>
      <c r="O60" s="224">
        <f t="shared" si="24"/>
        <v>24.500207798181819</v>
      </c>
      <c r="P60" s="224">
        <f t="shared" si="24"/>
        <v>24.684782020742336</v>
      </c>
      <c r="Q60" s="224">
        <f t="shared" si="24"/>
        <v>25.380685241381933</v>
      </c>
      <c r="R60" s="224">
        <f t="shared" si="24"/>
        <v>26.761525629374468</v>
      </c>
      <c r="S60" s="224">
        <f t="shared" si="24"/>
        <v>30.188928470401773</v>
      </c>
    </row>
    <row r="61" spans="2:23" ht="15.75" customHeight="1" x14ac:dyDescent="0.25">
      <c r="I61" s="12" t="str">
        <f t="shared" si="17"/>
        <v>IMP-BDSL</v>
      </c>
      <c r="J61" s="214"/>
      <c r="K61" s="214" t="str">
        <f>+RIGHT(I61,4)</f>
        <v>BDSL</v>
      </c>
      <c r="L61" s="224">
        <f t="shared" ref="L61:S61" si="25">+L48+($E$49*L48)</f>
        <v>33.769766410199665</v>
      </c>
      <c r="M61" s="224">
        <f t="shared" si="25"/>
        <v>32.662289423403784</v>
      </c>
      <c r="N61" s="224">
        <f t="shared" si="25"/>
        <v>33.326577491926599</v>
      </c>
      <c r="O61" s="224">
        <f t="shared" si="25"/>
        <v>35.425613875070184</v>
      </c>
      <c r="P61" s="224">
        <f t="shared" si="25"/>
        <v>37.287286297131367</v>
      </c>
      <c r="Q61" s="224">
        <f t="shared" si="25"/>
        <v>38.568125987585525</v>
      </c>
      <c r="R61" s="224">
        <f t="shared" si="25"/>
        <v>40.530966972254234</v>
      </c>
      <c r="S61" s="224">
        <f t="shared" si="25"/>
        <v>41.80784878489586</v>
      </c>
    </row>
    <row r="62" spans="2:23" ht="15.75" customHeight="1" x14ac:dyDescent="0.25">
      <c r="I62" s="12" t="str">
        <f t="shared" si="17"/>
        <v>IMP-GAS</v>
      </c>
      <c r="J62" s="214"/>
      <c r="K62" s="214" t="str">
        <f>+RIGHT(I62,3)</f>
        <v>GAS</v>
      </c>
      <c r="L62" s="224">
        <f t="shared" ref="L62:S62" si="26">+L49+($E$49*L49)</f>
        <v>5.9614087595400003</v>
      </c>
      <c r="M62" s="224">
        <f t="shared" si="26"/>
        <v>5.6403618157574993</v>
      </c>
      <c r="N62" s="224">
        <f t="shared" si="26"/>
        <v>6.1593105795974985</v>
      </c>
      <c r="O62" s="224">
        <f t="shared" si="26"/>
        <v>6.7283858302537496</v>
      </c>
      <c r="P62" s="224">
        <f t="shared" si="26"/>
        <v>6.8001557182649996</v>
      </c>
      <c r="Q62" s="224">
        <f t="shared" si="26"/>
        <v>6.8501068589362504</v>
      </c>
      <c r="R62" s="224">
        <f t="shared" si="26"/>
        <v>6.92888940797625</v>
      </c>
      <c r="S62" s="224">
        <f t="shared" si="26"/>
        <v>7.1296974719100001</v>
      </c>
    </row>
    <row r="63" spans="2:23" ht="15.75" customHeight="1" x14ac:dyDescent="0.25">
      <c r="I63" s="12" t="str">
        <f t="shared" si="17"/>
        <v>IMP-LOIL</v>
      </c>
      <c r="J63" s="214"/>
      <c r="K63" s="214" t="str">
        <f t="shared" ref="K63:K65" si="27">+RIGHT(I63,4)</f>
        <v>LOIL</v>
      </c>
      <c r="L63" s="224">
        <f t="shared" ref="L63:S63" si="28">+L50+($E$49*L50)</f>
        <v>11.775331229711625</v>
      </c>
      <c r="M63" s="224">
        <f t="shared" si="28"/>
        <v>11.121436086029737</v>
      </c>
      <c r="N63" s="224">
        <f t="shared" si="28"/>
        <v>13.511868844553376</v>
      </c>
      <c r="O63" s="224">
        <f t="shared" si="28"/>
        <v>14.931092887611694</v>
      </c>
      <c r="P63" s="224">
        <f t="shared" si="28"/>
        <v>16.609017773535232</v>
      </c>
      <c r="Q63" s="224">
        <f t="shared" si="28"/>
        <v>17.944627779639923</v>
      </c>
      <c r="R63" s="224">
        <f t="shared" si="28"/>
        <v>19.538416220090525</v>
      </c>
      <c r="S63" s="224">
        <f t="shared" si="28"/>
        <v>21.081243667623401</v>
      </c>
    </row>
    <row r="64" spans="2:23" ht="15.75" customHeight="1" x14ac:dyDescent="0.25">
      <c r="I64" s="12" t="str">
        <f t="shared" si="17"/>
        <v>IMP-MOIL</v>
      </c>
      <c r="J64" s="214"/>
      <c r="K64" s="214" t="str">
        <f t="shared" si="27"/>
        <v>MOIL</v>
      </c>
      <c r="L64" s="224">
        <f t="shared" ref="L64:S64" si="29">+L51+($E$49*L51)</f>
        <v>10.833488947313199</v>
      </c>
      <c r="M64" s="224">
        <f t="shared" si="29"/>
        <v>10.23189518544048</v>
      </c>
      <c r="N64" s="224">
        <f t="shared" si="29"/>
        <v>12.43113071975975</v>
      </c>
      <c r="O64" s="224">
        <f t="shared" si="29"/>
        <v>13.736839042039362</v>
      </c>
      <c r="P64" s="224">
        <f t="shared" si="29"/>
        <v>15.280556186930202</v>
      </c>
      <c r="Q64" s="224">
        <f t="shared" si="29"/>
        <v>16.509338287135332</v>
      </c>
      <c r="R64" s="224">
        <f t="shared" si="29"/>
        <v>17.975648585941251</v>
      </c>
      <c r="S64" s="224">
        <f t="shared" si="29"/>
        <v>19.395073974017421</v>
      </c>
    </row>
    <row r="65" spans="2:21" ht="15.75" customHeight="1" x14ac:dyDescent="0.25">
      <c r="I65" s="12" t="str">
        <f t="shared" si="17"/>
        <v>IMP-HOIL</v>
      </c>
      <c r="J65" s="214"/>
      <c r="K65" s="214" t="str">
        <f t="shared" si="27"/>
        <v>HOIL</v>
      </c>
      <c r="L65" s="224">
        <f t="shared" ref="L65:S65" si="30">+L52+($E$49*L52)</f>
        <v>8.9498043825163514</v>
      </c>
      <c r="M65" s="224">
        <f t="shared" si="30"/>
        <v>8.4528133842619742</v>
      </c>
      <c r="N65" s="224">
        <f t="shared" si="30"/>
        <v>10.269654470172512</v>
      </c>
      <c r="O65" s="224">
        <f t="shared" si="30"/>
        <v>11.3483313508947</v>
      </c>
      <c r="P65" s="224">
        <f t="shared" si="30"/>
        <v>12.623633013720156</v>
      </c>
      <c r="Q65" s="224">
        <f t="shared" si="30"/>
        <v>13.638759302126157</v>
      </c>
      <c r="R65" s="224">
        <f t="shared" si="30"/>
        <v>14.850113317642712</v>
      </c>
      <c r="S65" s="224">
        <f t="shared" si="30"/>
        <v>16.02273458680547</v>
      </c>
    </row>
    <row r="66" spans="2:21" ht="15.75" customHeight="1" x14ac:dyDescent="0.25">
      <c r="I66" s="12" t="str">
        <f t="shared" si="17"/>
        <v>IMP-SIN</v>
      </c>
      <c r="J66" s="214"/>
      <c r="K66" s="219" t="s">
        <v>825</v>
      </c>
      <c r="L66" s="226">
        <f>+L53+($E$49*L53)</f>
        <v>43.402777777777779</v>
      </c>
      <c r="M66" s="226">
        <f t="shared" ref="M66:S66" si="31">+L66</f>
        <v>43.402777777777779</v>
      </c>
      <c r="N66" s="226">
        <f t="shared" si="31"/>
        <v>43.402777777777779</v>
      </c>
      <c r="O66" s="226">
        <f t="shared" si="31"/>
        <v>43.402777777777779</v>
      </c>
      <c r="P66" s="226">
        <f t="shared" si="31"/>
        <v>43.402777777777779</v>
      </c>
      <c r="Q66" s="226">
        <f t="shared" si="31"/>
        <v>43.402777777777779</v>
      </c>
      <c r="R66" s="226">
        <f t="shared" si="31"/>
        <v>43.402777777777779</v>
      </c>
      <c r="S66" s="226">
        <f t="shared" si="31"/>
        <v>43.402777777777779</v>
      </c>
    </row>
    <row r="67" spans="2:21" ht="15.75" customHeight="1" x14ac:dyDescent="0.25">
      <c r="I67" s="12" t="s">
        <v>800</v>
      </c>
      <c r="K67" s="227" t="str">
        <f>+J54</f>
        <v>AVG</v>
      </c>
      <c r="L67" s="224">
        <f t="shared" ref="L67:S67" si="32">+L54*(100%+$E$49)</f>
        <v>26.813605072517298</v>
      </c>
      <c r="M67" s="224">
        <f t="shared" si="32"/>
        <v>26.467245218403331</v>
      </c>
      <c r="N67" s="224">
        <f t="shared" si="32"/>
        <v>27.575799941828908</v>
      </c>
      <c r="O67" s="224">
        <f t="shared" si="32"/>
        <v>30.125703942815584</v>
      </c>
      <c r="P67" s="224">
        <f t="shared" si="32"/>
        <v>32.789466799591537</v>
      </c>
      <c r="Q67" s="224">
        <f t="shared" si="32"/>
        <v>34.704938134888266</v>
      </c>
      <c r="R67" s="224">
        <f t="shared" si="32"/>
        <v>37.421264721338183</v>
      </c>
      <c r="S67" s="224">
        <f t="shared" si="32"/>
        <v>39.514997547956227</v>
      </c>
    </row>
    <row r="68" spans="2:21" ht="15.75" customHeight="1" x14ac:dyDescent="0.25"/>
    <row r="69" spans="2:21" s="904" customFormat="1" ht="15.75" customHeight="1" x14ac:dyDescent="0.25">
      <c r="C69" s="20" t="s">
        <v>1690</v>
      </c>
      <c r="D69" s="20">
        <v>3685</v>
      </c>
      <c r="E69" s="20" t="s">
        <v>1693</v>
      </c>
    </row>
    <row r="70" spans="2:21" s="904" customFormat="1" ht="15.75" customHeight="1" x14ac:dyDescent="0.25">
      <c r="I70" s="906" t="s">
        <v>1701</v>
      </c>
    </row>
    <row r="71" spans="2:21" s="904" customFormat="1" ht="15.75" customHeight="1" x14ac:dyDescent="0.25">
      <c r="C71" s="915" t="s">
        <v>1710</v>
      </c>
    </row>
    <row r="72" spans="2:21" s="904" customFormat="1" ht="15.75" customHeight="1" x14ac:dyDescent="0.25">
      <c r="B72" s="906" t="s">
        <v>477</v>
      </c>
      <c r="C72" s="906" t="s">
        <v>1709</v>
      </c>
      <c r="D72" s="904">
        <v>7679</v>
      </c>
      <c r="E72" s="906" t="s">
        <v>1688</v>
      </c>
      <c r="I72" s="206"/>
      <c r="J72" s="207"/>
      <c r="K72" s="207"/>
      <c r="L72" s="207"/>
      <c r="M72" s="206"/>
    </row>
    <row r="73" spans="2:21" s="904" customFormat="1" ht="15.75" customHeight="1" x14ac:dyDescent="0.25">
      <c r="B73" s="904">
        <f>'Bases de Cálculo'!F15/1000000</f>
        <v>2.933593489850151E-6</v>
      </c>
      <c r="C73" s="906" t="s">
        <v>1712</v>
      </c>
      <c r="D73" s="839">
        <f>D72*42/$D$69</f>
        <v>87.521845318860244</v>
      </c>
      <c r="E73" s="906" t="s">
        <v>1453</v>
      </c>
      <c r="I73" s="208" t="s">
        <v>272</v>
      </c>
      <c r="J73" s="209" t="s">
        <v>805</v>
      </c>
      <c r="K73" s="208" t="s">
        <v>806</v>
      </c>
      <c r="L73" s="210" t="s">
        <v>807</v>
      </c>
      <c r="M73" s="210" t="s">
        <v>808</v>
      </c>
      <c r="N73" s="210" t="s">
        <v>809</v>
      </c>
      <c r="O73" s="210" t="s">
        <v>810</v>
      </c>
      <c r="P73" s="210" t="s">
        <v>811</v>
      </c>
      <c r="Q73" s="210" t="s">
        <v>812</v>
      </c>
      <c r="R73" s="210" t="s">
        <v>813</v>
      </c>
      <c r="S73" s="210" t="s">
        <v>814</v>
      </c>
      <c r="T73" s="912" t="s">
        <v>1707</v>
      </c>
      <c r="U73" s="912" t="s">
        <v>1708</v>
      </c>
    </row>
    <row r="74" spans="2:21" s="904" customFormat="1" ht="15.75" customHeight="1" thickBot="1" x14ac:dyDescent="0.3">
      <c r="D74" s="812">
        <f>(D73/1000000)/B73</f>
        <v>29.834346722432525</v>
      </c>
      <c r="E74" s="906" t="s">
        <v>773</v>
      </c>
      <c r="I74" s="211" t="s">
        <v>815</v>
      </c>
      <c r="J74" s="211" t="s">
        <v>816</v>
      </c>
      <c r="K74" s="211" t="s">
        <v>817</v>
      </c>
      <c r="L74" s="212" t="s">
        <v>818</v>
      </c>
      <c r="M74" s="212" t="s">
        <v>818</v>
      </c>
      <c r="N74" s="212" t="s">
        <v>818</v>
      </c>
      <c r="O74" s="212" t="s">
        <v>818</v>
      </c>
      <c r="P74" s="212" t="s">
        <v>818</v>
      </c>
      <c r="Q74" s="212" t="s">
        <v>818</v>
      </c>
      <c r="R74" s="212" t="s">
        <v>818</v>
      </c>
      <c r="S74" s="212" t="s">
        <v>818</v>
      </c>
      <c r="T74" s="914" t="s">
        <v>1706</v>
      </c>
      <c r="U74" s="914" t="s">
        <v>1706</v>
      </c>
    </row>
    <row r="75" spans="2:21" ht="15.75" customHeight="1" thickBot="1" x14ac:dyDescent="0.3">
      <c r="I75" s="211"/>
      <c r="J75" s="213"/>
      <c r="K75" s="213"/>
      <c r="L75" s="213" t="s">
        <v>819</v>
      </c>
      <c r="M75" s="213" t="s">
        <v>819</v>
      </c>
      <c r="N75" s="213" t="s">
        <v>819</v>
      </c>
      <c r="O75" s="213" t="s">
        <v>819</v>
      </c>
      <c r="P75" s="213" t="s">
        <v>819</v>
      </c>
      <c r="Q75" s="213" t="s">
        <v>819</v>
      </c>
      <c r="R75" s="213" t="s">
        <v>819</v>
      </c>
      <c r="S75" s="213" t="s">
        <v>819</v>
      </c>
      <c r="T75" s="913"/>
      <c r="U75" s="913"/>
    </row>
    <row r="76" spans="2:21" ht="15.75" customHeight="1" x14ac:dyDescent="0.25">
      <c r="I76" t="str">
        <f>J34</f>
        <v>BUY-ETH</v>
      </c>
      <c r="K76" t="str">
        <f>K60</f>
        <v>ETH</v>
      </c>
    </row>
    <row r="77" spans="2:21" ht="15.75" customHeight="1" x14ac:dyDescent="0.25">
      <c r="B77" s="906" t="s">
        <v>477</v>
      </c>
      <c r="C77" s="906" t="s">
        <v>1711</v>
      </c>
      <c r="D77">
        <v>10627</v>
      </c>
      <c r="E77" s="906" t="s">
        <v>1688</v>
      </c>
      <c r="I77" s="904" t="str">
        <f>J35</f>
        <v>BUY-BDSL</v>
      </c>
      <c r="K77" s="904" t="str">
        <f>K61</f>
        <v>BDSL</v>
      </c>
    </row>
    <row r="78" spans="2:21" s="904" customFormat="1" ht="15.75" customHeight="1" x14ac:dyDescent="0.25">
      <c r="B78" s="904">
        <f>'Bases de Cálculo'!F16/1000000</f>
        <v>5.274111587340502E-6</v>
      </c>
      <c r="C78" s="906" t="s">
        <v>1712</v>
      </c>
      <c r="D78" s="839">
        <f>D77*42/$D$69</f>
        <v>121.12184531886024</v>
      </c>
      <c r="E78" s="906" t="s">
        <v>1453</v>
      </c>
    </row>
    <row r="79" spans="2:21" s="904" customFormat="1" ht="15.75" customHeight="1" x14ac:dyDescent="0.25">
      <c r="D79" s="812">
        <f>(D78/1000000)/B78</f>
        <v>22.9653550769745</v>
      </c>
      <c r="E79" s="906" t="s">
        <v>773</v>
      </c>
    </row>
    <row r="80" spans="2:21" s="904" customFormat="1" ht="15.75" customHeight="1" x14ac:dyDescent="0.25"/>
    <row r="81" spans="9:13" ht="15.75" customHeight="1" x14ac:dyDescent="0.25"/>
    <row r="82" spans="9:13" ht="15.75" customHeight="1" x14ac:dyDescent="0.25"/>
    <row r="83" spans="9:13" ht="15.75" customHeight="1" x14ac:dyDescent="0.25">
      <c r="I83" s="12" t="s">
        <v>826</v>
      </c>
    </row>
    <row r="84" spans="9:13" ht="15.75" customHeight="1" x14ac:dyDescent="0.25">
      <c r="J84" s="12" t="s">
        <v>827</v>
      </c>
      <c r="K84" s="18" t="s">
        <v>828</v>
      </c>
      <c r="L84" s="18" t="s">
        <v>829</v>
      </c>
      <c r="M84" s="12" t="s">
        <v>830</v>
      </c>
    </row>
    <row r="85" spans="9:13" ht="15.75" customHeight="1" x14ac:dyDescent="0.25">
      <c r="I85" s="12" t="s">
        <v>831</v>
      </c>
      <c r="J85" s="12" t="s">
        <v>832</v>
      </c>
      <c r="K85" s="18">
        <v>56.261001999999998</v>
      </c>
      <c r="L85" s="18">
        <f t="shared" ref="L85:L87" si="33">+K85/$J$91</f>
        <v>9.9388771706679382</v>
      </c>
    </row>
    <row r="86" spans="9:13" ht="15.75" customHeight="1" x14ac:dyDescent="0.25">
      <c r="I86" s="12" t="s">
        <v>833</v>
      </c>
      <c r="J86" s="12" t="s">
        <v>834</v>
      </c>
      <c r="K86" s="18">
        <f>+K85-4.5</f>
        <v>51.761001999999998</v>
      </c>
      <c r="L86" s="18">
        <f t="shared" si="33"/>
        <v>9.1439224830851291</v>
      </c>
      <c r="M86" s="228">
        <f>+(L86-L85)/L85</f>
        <v>-7.9984355770983381E-2</v>
      </c>
    </row>
    <row r="87" spans="9:13" ht="15.75" customHeight="1" x14ac:dyDescent="0.25">
      <c r="I87" s="12" t="s">
        <v>835</v>
      </c>
      <c r="J87" s="12" t="s">
        <v>836</v>
      </c>
      <c r="K87" s="18">
        <f>+K86-9</f>
        <v>42.761001999999998</v>
      </c>
      <c r="L87" s="18">
        <f t="shared" si="33"/>
        <v>7.5540131079195145</v>
      </c>
      <c r="M87" s="228">
        <f>+(L87-L85)/L85</f>
        <v>-0.2399530673129498</v>
      </c>
    </row>
    <row r="88" spans="9:13" ht="15.75" customHeight="1" x14ac:dyDescent="0.25"/>
    <row r="89" spans="9:13" ht="15.75" customHeight="1" x14ac:dyDescent="0.25"/>
    <row r="90" spans="9:13" ht="15.75" customHeight="1" x14ac:dyDescent="0.25"/>
    <row r="91" spans="9:13" ht="15.75" customHeight="1" x14ac:dyDescent="0.25">
      <c r="I91" s="12" t="s">
        <v>837</v>
      </c>
      <c r="J91" s="12">
        <v>5.6607000000000003</v>
      </c>
      <c r="K91" s="12" t="s">
        <v>829</v>
      </c>
    </row>
    <row r="92" spans="9:13" ht="15.75" customHeight="1" x14ac:dyDescent="0.25">
      <c r="J92" s="12" t="s">
        <v>832</v>
      </c>
      <c r="K92" s="12" t="s">
        <v>832</v>
      </c>
    </row>
    <row r="93" spans="9:13" ht="15.75" customHeight="1" x14ac:dyDescent="0.25">
      <c r="J93" s="12">
        <f>4.5/J91</f>
        <v>0.79495468758280774</v>
      </c>
      <c r="K93" s="12" t="s">
        <v>838</v>
      </c>
    </row>
    <row r="94" spans="9:13" ht="15.75" customHeight="1" x14ac:dyDescent="0.25">
      <c r="J94" s="12">
        <f>9/J91</f>
        <v>1.5899093751656155</v>
      </c>
      <c r="K94" s="12" t="s">
        <v>839</v>
      </c>
    </row>
    <row r="95" spans="9:13" ht="15.75" customHeight="1" x14ac:dyDescent="0.25"/>
    <row r="96" spans="9:13" ht="15.75" customHeight="1" x14ac:dyDescent="0.25"/>
    <row r="97" spans="9:41" ht="15.75" customHeight="1" x14ac:dyDescent="0.25"/>
    <row r="98" spans="9:41" ht="15.75" customHeight="1" x14ac:dyDescent="0.25"/>
    <row r="99" spans="9:41" ht="15.75" customHeight="1" x14ac:dyDescent="0.25"/>
    <row r="100" spans="9:41" ht="15.75" customHeight="1" x14ac:dyDescent="0.25"/>
    <row r="101" spans="9:41" ht="15.75" customHeight="1" x14ac:dyDescent="0.25"/>
    <row r="102" spans="9:41" ht="15.75" customHeight="1" x14ac:dyDescent="0.25"/>
    <row r="103" spans="9:41" ht="15.75" customHeight="1" x14ac:dyDescent="0.25"/>
    <row r="104" spans="9:41" ht="15.75" customHeight="1" x14ac:dyDescent="0.25"/>
    <row r="105" spans="9:41" ht="15.75" customHeight="1" x14ac:dyDescent="0.25"/>
    <row r="106" spans="9:41" ht="15.75" customHeight="1" x14ac:dyDescent="0.25">
      <c r="I106" s="12" t="s">
        <v>840</v>
      </c>
    </row>
    <row r="107" spans="9:41" ht="15.75" customHeight="1" x14ac:dyDescent="0.25">
      <c r="J107" s="12">
        <v>2019</v>
      </c>
      <c r="K107" s="12">
        <v>2020</v>
      </c>
      <c r="L107" s="12">
        <v>2021</v>
      </c>
      <c r="M107" s="12">
        <v>2022</v>
      </c>
      <c r="N107" s="12">
        <v>2023</v>
      </c>
      <c r="O107" s="12">
        <v>2024</v>
      </c>
      <c r="P107" s="12">
        <v>2025</v>
      </c>
      <c r="Q107" s="12">
        <v>2026</v>
      </c>
      <c r="R107" s="12">
        <v>2027</v>
      </c>
      <c r="S107" s="12">
        <v>2028</v>
      </c>
      <c r="T107" s="12">
        <v>2029</v>
      </c>
      <c r="U107" s="12">
        <v>2030</v>
      </c>
      <c r="V107" s="12">
        <v>2031</v>
      </c>
      <c r="W107" s="12">
        <v>2032</v>
      </c>
      <c r="X107" s="12">
        <v>2033</v>
      </c>
      <c r="Y107" s="12">
        <v>2034</v>
      </c>
      <c r="Z107" s="12">
        <v>2035</v>
      </c>
      <c r="AA107" s="12">
        <v>2036</v>
      </c>
      <c r="AB107" s="12">
        <v>2037</v>
      </c>
      <c r="AC107" s="12">
        <v>2038</v>
      </c>
      <c r="AD107" s="12">
        <v>2039</v>
      </c>
      <c r="AE107" s="12">
        <v>2040</v>
      </c>
      <c r="AF107" s="12">
        <v>2041</v>
      </c>
      <c r="AG107" s="12">
        <v>2042</v>
      </c>
      <c r="AH107" s="12">
        <v>2043</v>
      </c>
      <c r="AI107" s="12">
        <v>2044</v>
      </c>
      <c r="AJ107" s="12">
        <v>2045</v>
      </c>
      <c r="AK107" s="12">
        <v>2046</v>
      </c>
      <c r="AL107" s="12">
        <v>2047</v>
      </c>
      <c r="AM107" s="12">
        <v>2048</v>
      </c>
      <c r="AN107" s="12">
        <v>2049</v>
      </c>
      <c r="AO107" s="12">
        <v>2050</v>
      </c>
    </row>
    <row r="108" spans="9:41" ht="15.75" customHeight="1" x14ac:dyDescent="0.25">
      <c r="I108" s="12" t="s">
        <v>8</v>
      </c>
      <c r="J108" s="229">
        <v>22.152425999999998</v>
      </c>
      <c r="K108" s="230">
        <v>21.94087</v>
      </c>
      <c r="L108" s="229">
        <v>21.968945999999999</v>
      </c>
      <c r="M108" s="230">
        <v>21.978165000000001</v>
      </c>
      <c r="N108" s="229">
        <v>21.894269999999999</v>
      </c>
      <c r="O108" s="230">
        <v>21.607965</v>
      </c>
      <c r="P108" s="229">
        <v>21.857471</v>
      </c>
      <c r="Q108" s="230">
        <v>22.043116000000001</v>
      </c>
      <c r="R108" s="229">
        <v>22.312280999999999</v>
      </c>
      <c r="S108" s="230">
        <v>22.424955000000001</v>
      </c>
      <c r="T108" s="229">
        <v>22.720831</v>
      </c>
      <c r="U108" s="230">
        <v>23.424423000000001</v>
      </c>
      <c r="V108" s="229">
        <v>23.588041</v>
      </c>
      <c r="W108" s="230">
        <v>23.796983999999998</v>
      </c>
      <c r="X108" s="229">
        <v>24.220589</v>
      </c>
      <c r="Y108" s="230">
        <v>24.608730000000001</v>
      </c>
      <c r="Z108" s="229">
        <v>24.865734</v>
      </c>
      <c r="AA108" s="230">
        <v>25.162941</v>
      </c>
      <c r="AB108" s="229">
        <v>25.240604000000001</v>
      </c>
      <c r="AC108" s="230">
        <v>25.517137999999999</v>
      </c>
      <c r="AD108" s="229">
        <v>25.858951999999999</v>
      </c>
      <c r="AE108" s="230">
        <v>25.951355</v>
      </c>
      <c r="AF108" s="229">
        <v>26.136623</v>
      </c>
      <c r="AG108" s="230">
        <v>26.539719000000002</v>
      </c>
      <c r="AH108" s="229">
        <v>26.75515</v>
      </c>
      <c r="AI108" s="230">
        <v>26.964805999999999</v>
      </c>
      <c r="AJ108" s="229">
        <v>27.311302000000001</v>
      </c>
      <c r="AK108" s="230">
        <v>27.396849</v>
      </c>
      <c r="AL108" s="229">
        <v>27.872745999999999</v>
      </c>
      <c r="AM108" s="230">
        <v>28.194441000000001</v>
      </c>
      <c r="AN108" s="229">
        <v>28.439672000000002</v>
      </c>
      <c r="AO108" s="230">
        <v>28.648949000000002</v>
      </c>
    </row>
    <row r="109" spans="9:41" ht="15.75" customHeight="1" x14ac:dyDescent="0.25">
      <c r="I109" s="12" t="s">
        <v>14</v>
      </c>
      <c r="J109" s="229">
        <v>22.055973000000002</v>
      </c>
      <c r="K109" s="230">
        <v>21.332649</v>
      </c>
      <c r="L109" s="229">
        <v>21.307634</v>
      </c>
      <c r="M109" s="230">
        <v>21.509706000000001</v>
      </c>
      <c r="N109" s="229">
        <v>21.507311000000001</v>
      </c>
      <c r="O109" s="230">
        <v>21.769124999999999</v>
      </c>
      <c r="P109" s="229">
        <v>21.766514000000001</v>
      </c>
      <c r="Q109" s="230">
        <v>22.167186999999998</v>
      </c>
      <c r="R109" s="229">
        <v>22.215661999999998</v>
      </c>
      <c r="S109" s="230">
        <v>22.559709999999999</v>
      </c>
      <c r="T109" s="229">
        <v>22.7668</v>
      </c>
      <c r="U109" s="230">
        <v>23.137453000000001</v>
      </c>
      <c r="V109" s="229">
        <v>23.400127000000001</v>
      </c>
      <c r="W109" s="230">
        <v>23.565245000000001</v>
      </c>
      <c r="X109" s="229">
        <v>23.939878</v>
      </c>
      <c r="Y109" s="230">
        <v>24.132757000000002</v>
      </c>
      <c r="Z109" s="229">
        <v>24.353363000000002</v>
      </c>
      <c r="AA109" s="230">
        <v>24.599989000000001</v>
      </c>
      <c r="AB109" s="229">
        <v>24.760366000000001</v>
      </c>
      <c r="AC109" s="230">
        <v>24.966681000000001</v>
      </c>
      <c r="AD109" s="229">
        <v>25.188585</v>
      </c>
      <c r="AE109" s="230">
        <v>25.189914999999999</v>
      </c>
      <c r="AF109" s="229">
        <v>25.361546000000001</v>
      </c>
      <c r="AG109" s="230">
        <v>25.739941000000002</v>
      </c>
      <c r="AH109" s="229">
        <v>25.903061000000001</v>
      </c>
      <c r="AI109" s="230">
        <v>26.101400000000002</v>
      </c>
      <c r="AJ109" s="229">
        <v>26.471900999999999</v>
      </c>
      <c r="AK109" s="230">
        <v>26.487107999999999</v>
      </c>
      <c r="AL109" s="229">
        <v>26.746400999999999</v>
      </c>
      <c r="AM109" s="230">
        <v>26.985009999999999</v>
      </c>
      <c r="AN109" s="229">
        <v>27.152633999999999</v>
      </c>
      <c r="AO109" s="230">
        <v>27.305868</v>
      </c>
    </row>
    <row r="110" spans="9:41" ht="15.75" customHeight="1" x14ac:dyDescent="0.25">
      <c r="I110" s="12" t="s">
        <v>18</v>
      </c>
      <c r="J110" s="229">
        <v>14.641048</v>
      </c>
      <c r="K110" s="230">
        <v>14.449450000000001</v>
      </c>
      <c r="L110" s="229">
        <v>14.469915</v>
      </c>
      <c r="M110" s="230">
        <v>14.677915</v>
      </c>
      <c r="N110" s="229">
        <v>14.784328</v>
      </c>
      <c r="O110" s="230">
        <v>15.181978000000001</v>
      </c>
      <c r="P110" s="229">
        <v>15.254274000000001</v>
      </c>
      <c r="Q110" s="230">
        <v>15.71048</v>
      </c>
      <c r="R110" s="229">
        <v>15.739540999999999</v>
      </c>
      <c r="S110" s="230">
        <v>16.214652999999998</v>
      </c>
      <c r="T110" s="229">
        <v>16.425370999999998</v>
      </c>
      <c r="U110" s="230">
        <v>16.664819999999999</v>
      </c>
      <c r="V110" s="229">
        <v>17.012841999999999</v>
      </c>
      <c r="W110" s="230">
        <v>17.187419999999999</v>
      </c>
      <c r="X110" s="229">
        <v>17.583839000000001</v>
      </c>
      <c r="Y110" s="230">
        <v>17.868292</v>
      </c>
      <c r="Z110" s="229">
        <v>18.138349999999999</v>
      </c>
      <c r="AA110" s="230">
        <v>18.383088999999998</v>
      </c>
      <c r="AB110" s="229">
        <v>18.624289999999998</v>
      </c>
      <c r="AC110" s="230">
        <v>18.83005</v>
      </c>
      <c r="AD110" s="229">
        <v>19.106794000000001</v>
      </c>
      <c r="AE110" s="230">
        <v>19.197942999999999</v>
      </c>
      <c r="AF110" s="229">
        <v>19.450199000000001</v>
      </c>
      <c r="AG110" s="230">
        <v>19.834574</v>
      </c>
      <c r="AH110" s="229">
        <v>20.040814999999998</v>
      </c>
      <c r="AI110" s="230">
        <v>20.276285000000001</v>
      </c>
      <c r="AJ110" s="229">
        <v>20.70055</v>
      </c>
      <c r="AK110" s="230">
        <v>20.752966000000001</v>
      </c>
      <c r="AL110" s="229">
        <v>21.175343999999999</v>
      </c>
      <c r="AM110" s="230">
        <v>21.518598999999998</v>
      </c>
      <c r="AN110" s="229">
        <v>21.766680000000001</v>
      </c>
      <c r="AO110" s="230">
        <v>21.858753</v>
      </c>
    </row>
    <row r="111" spans="9:41" ht="15.75" customHeight="1" x14ac:dyDescent="0.25">
      <c r="I111" s="12" t="s">
        <v>22</v>
      </c>
      <c r="J111" s="229">
        <v>18.517337999999999</v>
      </c>
      <c r="K111" s="230">
        <v>17.795781999999999</v>
      </c>
      <c r="L111" s="229">
        <v>18.164116</v>
      </c>
      <c r="M111" s="230">
        <v>18.891821</v>
      </c>
      <c r="N111" s="229">
        <v>19.477640000000001</v>
      </c>
      <c r="O111" s="230">
        <v>20.115549000000001</v>
      </c>
      <c r="P111" s="229">
        <v>20.967055999999999</v>
      </c>
      <c r="Q111" s="230">
        <v>21.841379</v>
      </c>
      <c r="R111" s="229">
        <v>22.424021</v>
      </c>
      <c r="S111" s="230">
        <v>22.825673999999999</v>
      </c>
      <c r="T111" s="229">
        <v>23.067326999999999</v>
      </c>
      <c r="U111" s="230">
        <v>23.235030999999999</v>
      </c>
      <c r="V111" s="229">
        <v>23.271035999999999</v>
      </c>
      <c r="W111" s="230">
        <v>23.351419</v>
      </c>
      <c r="X111" s="229">
        <v>23.62575</v>
      </c>
      <c r="Y111" s="230">
        <v>23.87743</v>
      </c>
      <c r="Z111" s="229">
        <v>24.152052000000001</v>
      </c>
      <c r="AA111" s="230">
        <v>24.470886</v>
      </c>
      <c r="AB111" s="229">
        <v>24.818118999999999</v>
      </c>
      <c r="AC111" s="230">
        <v>25.156732999999999</v>
      </c>
      <c r="AD111" s="229">
        <v>25.476082000000002</v>
      </c>
      <c r="AE111" s="230">
        <v>25.756554000000001</v>
      </c>
      <c r="AF111" s="229">
        <v>26.017603000000001</v>
      </c>
      <c r="AG111" s="230">
        <v>26.396612000000001</v>
      </c>
      <c r="AH111" s="229">
        <v>26.704369</v>
      </c>
      <c r="AI111" s="230">
        <v>27.004362</v>
      </c>
      <c r="AJ111" s="229">
        <v>27.302423000000001</v>
      </c>
      <c r="AK111" s="230">
        <v>27.590530000000001</v>
      </c>
      <c r="AL111" s="229">
        <v>27.952341000000001</v>
      </c>
      <c r="AM111" s="230">
        <v>28.331855999999998</v>
      </c>
      <c r="AN111" s="229">
        <v>28.642916</v>
      </c>
      <c r="AO111" s="230">
        <v>28.935759999999998</v>
      </c>
    </row>
    <row r="112" spans="9:41" ht="15.75" customHeight="1" x14ac:dyDescent="0.25">
      <c r="I112" s="12" t="s">
        <v>26</v>
      </c>
      <c r="J112" s="229">
        <v>9.7503069999999994</v>
      </c>
      <c r="K112" s="230">
        <v>10.19247</v>
      </c>
      <c r="L112" s="229">
        <v>10.271381</v>
      </c>
      <c r="M112" s="230">
        <v>10.173702</v>
      </c>
      <c r="N112" s="229">
        <v>9.1834290000000003</v>
      </c>
      <c r="O112" s="230">
        <v>9.5545159999999996</v>
      </c>
      <c r="P112" s="229">
        <v>9.8769209999999994</v>
      </c>
      <c r="Q112" s="230">
        <v>10.457724000000001</v>
      </c>
      <c r="R112" s="229">
        <v>11.210336</v>
      </c>
      <c r="S112" s="230">
        <v>11.536975999999999</v>
      </c>
      <c r="T112" s="229">
        <v>11.842731000000001</v>
      </c>
      <c r="U112" s="230">
        <v>11.37082</v>
      </c>
      <c r="V112" s="229">
        <v>11.605115</v>
      </c>
      <c r="W112" s="230">
        <v>11.676685000000001</v>
      </c>
      <c r="X112" s="229">
        <v>11.933399</v>
      </c>
      <c r="Y112" s="230">
        <v>12.064242</v>
      </c>
      <c r="Z112" s="229">
        <v>12.697660000000001</v>
      </c>
      <c r="AA112" s="230">
        <v>13.116432</v>
      </c>
      <c r="AB112" s="229">
        <v>13.224297</v>
      </c>
      <c r="AC112" s="230">
        <v>13.736769000000001</v>
      </c>
      <c r="AD112" s="229">
        <v>13.914393</v>
      </c>
      <c r="AE112" s="230">
        <v>14.113455</v>
      </c>
      <c r="AF112" s="229">
        <v>14.229108</v>
      </c>
      <c r="AG112" s="230">
        <v>14.283981000000001</v>
      </c>
      <c r="AH112" s="229">
        <v>14.843826</v>
      </c>
      <c r="AI112" s="230">
        <v>15.073577</v>
      </c>
      <c r="AJ112" s="229">
        <v>15.086976</v>
      </c>
      <c r="AK112" s="230">
        <v>15.677839000000001</v>
      </c>
      <c r="AL112" s="229">
        <v>15.942997</v>
      </c>
      <c r="AM112" s="230">
        <v>16.146730000000002</v>
      </c>
      <c r="AN112" s="229">
        <v>16.344221000000001</v>
      </c>
      <c r="AO112" s="230">
        <v>15.920506</v>
      </c>
    </row>
    <row r="113" spans="8:41" ht="15.75" customHeight="1" x14ac:dyDescent="0.25">
      <c r="I113" s="12" t="s">
        <v>30</v>
      </c>
      <c r="J113" s="12">
        <v>16.336877005347596</v>
      </c>
      <c r="K113" s="12">
        <v>15.906911905432029</v>
      </c>
      <c r="L113" s="12">
        <v>16.583545735997749</v>
      </c>
      <c r="M113" s="12">
        <v>17.425744441317196</v>
      </c>
      <c r="N113" s="12">
        <v>17.265841823810863</v>
      </c>
      <c r="O113" s="12">
        <v>17.183804109203489</v>
      </c>
      <c r="P113" s="12">
        <v>17.76969997185477</v>
      </c>
      <c r="Q113" s="12">
        <v>17.949379116239797</v>
      </c>
      <c r="R113" s="12">
        <v>18.489267661131436</v>
      </c>
      <c r="S113" s="12">
        <v>19.181316070925977</v>
      </c>
      <c r="T113" s="12">
        <v>19.59553560371517</v>
      </c>
      <c r="U113" s="12">
        <v>20.679272727272728</v>
      </c>
      <c r="V113" s="12">
        <v>20.745623979735434</v>
      </c>
      <c r="W113" s="12">
        <v>20.815344216155363</v>
      </c>
      <c r="X113" s="12">
        <v>20.860866873065014</v>
      </c>
      <c r="Y113" s="12">
        <v>20.756759358288768</v>
      </c>
      <c r="Z113" s="12">
        <v>20.835061638052352</v>
      </c>
      <c r="AA113" s="12">
        <v>20.885974669293553</v>
      </c>
      <c r="AB113" s="12">
        <v>20.979112299465239</v>
      </c>
      <c r="AC113" s="12">
        <v>21.052343371798479</v>
      </c>
      <c r="AD113" s="12">
        <v>21.330976076555025</v>
      </c>
      <c r="AE113" s="12">
        <v>21.42243512524627</v>
      </c>
      <c r="AF113" s="12">
        <v>21.491599774838164</v>
      </c>
      <c r="AG113" s="12">
        <v>21.928314663664509</v>
      </c>
      <c r="AH113" s="12">
        <v>22.202857303687022</v>
      </c>
      <c r="AI113" s="12">
        <v>22.659845201238387</v>
      </c>
      <c r="AJ113" s="12">
        <v>22.587926259499014</v>
      </c>
      <c r="AK113" s="12">
        <v>22.963514776245425</v>
      </c>
      <c r="AL113" s="12">
        <v>23.469701660568532</v>
      </c>
      <c r="AM113" s="12">
        <v>23.726725584013508</v>
      </c>
      <c r="AN113" s="12">
        <v>24.321664508865748</v>
      </c>
      <c r="AO113" s="12">
        <v>25.480807768083309</v>
      </c>
    </row>
    <row r="114" spans="8:41" ht="15.75" customHeight="1" x14ac:dyDescent="0.25">
      <c r="I114" s="12" t="s">
        <v>32</v>
      </c>
      <c r="J114" s="12">
        <v>28.503195372270948</v>
      </c>
      <c r="K114" s="12">
        <v>27.56843519236628</v>
      </c>
      <c r="L114" s="12">
        <v>27.536108011323876</v>
      </c>
      <c r="M114" s="12">
        <v>27.797248052403248</v>
      </c>
      <c r="N114" s="12">
        <v>27.794152965511518</v>
      </c>
      <c r="O114" s="12">
        <v>28.132498301407413</v>
      </c>
      <c r="P114" s="12">
        <v>28.129124075155097</v>
      </c>
      <c r="Q114" s="12">
        <v>28.646918542866576</v>
      </c>
      <c r="R114" s="12">
        <v>28.709563360017508</v>
      </c>
      <c r="S114" s="12">
        <v>29.154180668963214</v>
      </c>
      <c r="T114" s="12">
        <v>29.421805530928889</v>
      </c>
      <c r="U114" s="12">
        <v>29.90080479676578</v>
      </c>
      <c r="V114" s="12">
        <v>30.240261520856617</v>
      </c>
      <c r="W114" s="12">
        <v>30.453645469661708</v>
      </c>
      <c r="X114" s="12">
        <v>30.937788136679849</v>
      </c>
      <c r="Y114" s="12">
        <v>31.187047954880036</v>
      </c>
      <c r="Z114" s="12">
        <v>31.472139703872259</v>
      </c>
      <c r="AA114" s="12">
        <v>31.79085740732074</v>
      </c>
      <c r="AB114" s="12">
        <v>31.99811450562326</v>
      </c>
      <c r="AC114" s="12">
        <v>32.264737825901626</v>
      </c>
      <c r="AD114" s="12">
        <v>32.551506995681095</v>
      </c>
      <c r="AE114" s="12">
        <v>32.553225770447689</v>
      </c>
      <c r="AF114" s="12">
        <v>32.775026546361701</v>
      </c>
      <c r="AG114" s="12">
        <v>33.264030890576777</v>
      </c>
      <c r="AH114" s="12">
        <v>33.474832800296412</v>
      </c>
      <c r="AI114" s="12">
        <v>33.731148641222632</v>
      </c>
      <c r="AJ114" s="12">
        <v>34.209951475657626</v>
      </c>
      <c r="AK114" s="12">
        <v>34.229603662030271</v>
      </c>
      <c r="AL114" s="12">
        <v>34.564691079740761</v>
      </c>
      <c r="AM114" s="12">
        <v>34.873048319051037</v>
      </c>
      <c r="AN114" s="12">
        <v>35.089670801363731</v>
      </c>
      <c r="AO114" s="12">
        <v>35.287696916088954</v>
      </c>
    </row>
    <row r="115" spans="8:41" ht="15.75" customHeight="1" x14ac:dyDescent="0.25">
      <c r="I115" s="12" t="s">
        <v>7</v>
      </c>
      <c r="J115" s="229">
        <v>5.0316960000000002</v>
      </c>
      <c r="K115" s="230">
        <v>4.7607179999999998</v>
      </c>
      <c r="L115" s="229">
        <v>4.8476780000000002</v>
      </c>
      <c r="M115" s="230">
        <v>4.8332069999999998</v>
      </c>
      <c r="N115" s="229">
        <v>4.8686489999999996</v>
      </c>
      <c r="O115" s="230">
        <v>4.9797479999999998</v>
      </c>
      <c r="P115" s="229">
        <v>5.198734</v>
      </c>
      <c r="Q115" s="230">
        <v>5.4027200000000004</v>
      </c>
      <c r="R115" s="229">
        <v>5.5522840000000002</v>
      </c>
      <c r="S115" s="230">
        <v>5.6320800000000002</v>
      </c>
      <c r="T115" s="229">
        <v>5.6439170000000001</v>
      </c>
      <c r="U115" s="230">
        <v>5.6790589999999996</v>
      </c>
      <c r="V115" s="229">
        <v>5.6373389999999999</v>
      </c>
      <c r="W115" s="230">
        <v>5.6477459999999997</v>
      </c>
      <c r="X115" s="229">
        <v>5.7140750000000002</v>
      </c>
      <c r="Y115" s="230">
        <v>5.7420039999999997</v>
      </c>
      <c r="Z115" s="229">
        <v>5.739636</v>
      </c>
      <c r="AA115" s="230">
        <v>5.7297529999999997</v>
      </c>
      <c r="AB115" s="229">
        <v>5.7619749999999996</v>
      </c>
      <c r="AC115" s="230">
        <v>5.7804820000000001</v>
      </c>
      <c r="AD115" s="229">
        <v>5.7848649999999999</v>
      </c>
      <c r="AE115" s="230">
        <v>5.7817970000000001</v>
      </c>
      <c r="AF115" s="229">
        <v>5.7831630000000001</v>
      </c>
      <c r="AG115" s="230">
        <v>5.7969949999999999</v>
      </c>
      <c r="AH115" s="229">
        <v>5.8079429999999999</v>
      </c>
      <c r="AI115" s="230">
        <v>5.8250010000000003</v>
      </c>
      <c r="AJ115" s="229">
        <v>5.848293</v>
      </c>
      <c r="AK115" s="230">
        <v>5.8874190000000004</v>
      </c>
      <c r="AL115" s="229">
        <v>5.9310219999999996</v>
      </c>
      <c r="AM115" s="230">
        <v>5.9516270000000002</v>
      </c>
      <c r="AN115" s="229">
        <v>5.9727379999999997</v>
      </c>
      <c r="AO115" s="230">
        <v>6.0177839999999998</v>
      </c>
    </row>
    <row r="116" spans="8:41" ht="16.5" customHeight="1" x14ac:dyDescent="0.25">
      <c r="I116" s="12" t="s">
        <v>13</v>
      </c>
      <c r="J116" s="12">
        <f t="shared" ref="J116:AO116" si="34">+J119</f>
        <v>9.9389069659747609</v>
      </c>
      <c r="K116" s="12">
        <f t="shared" si="34"/>
        <v>9.3869901772428523</v>
      </c>
      <c r="L116" s="12">
        <f t="shared" si="34"/>
        <v>10.287079260646848</v>
      </c>
      <c r="M116" s="12">
        <f t="shared" si="34"/>
        <v>10.535673289409495</v>
      </c>
      <c r="N116" s="12">
        <f t="shared" si="34"/>
        <v>10.74174170797278</v>
      </c>
      <c r="O116" s="12">
        <f t="shared" si="34"/>
        <v>11.129993971580372</v>
      </c>
      <c r="P116" s="12">
        <f t="shared" si="34"/>
        <v>11.404622491095539</v>
      </c>
      <c r="Q116" s="12">
        <f t="shared" si="34"/>
        <v>11.693615001593368</v>
      </c>
      <c r="R116" s="12">
        <f t="shared" si="34"/>
        <v>11.97288183063062</v>
      </c>
      <c r="S116" s="12">
        <f t="shared" si="34"/>
        <v>12.106750658115047</v>
      </c>
      <c r="T116" s="12">
        <f t="shared" si="34"/>
        <v>12.377995487022886</v>
      </c>
      <c r="U116" s="12">
        <f t="shared" si="34"/>
        <v>12.602511149398413</v>
      </c>
      <c r="V116" s="12">
        <f t="shared" si="34"/>
        <v>12.89947849257279</v>
      </c>
      <c r="W116" s="12">
        <f t="shared" si="34"/>
        <v>13.05019617018589</v>
      </c>
      <c r="X116" s="12">
        <f t="shared" si="34"/>
        <v>13.528408425775462</v>
      </c>
      <c r="Y116" s="12">
        <f t="shared" si="34"/>
        <v>13.746138157938017</v>
      </c>
      <c r="Z116" s="12">
        <f t="shared" si="34"/>
        <v>14.018754906092827</v>
      </c>
      <c r="AA116" s="12">
        <f t="shared" si="34"/>
        <v>14.383410900612422</v>
      </c>
      <c r="AB116" s="12">
        <f t="shared" si="34"/>
        <v>14.451363477705129</v>
      </c>
      <c r="AC116" s="12">
        <f t="shared" si="34"/>
        <v>14.722348267322275</v>
      </c>
      <c r="AD116" s="12">
        <f t="shared" si="34"/>
        <v>14.97849385828558</v>
      </c>
      <c r="AE116" s="12">
        <f t="shared" si="34"/>
        <v>15.146069572197943</v>
      </c>
      <c r="AF116" s="12">
        <f t="shared" si="34"/>
        <v>15.324567642948036</v>
      </c>
      <c r="AG116" s="12">
        <f t="shared" si="34"/>
        <v>15.726956186501802</v>
      </c>
      <c r="AH116" s="12">
        <f t="shared" si="34"/>
        <v>15.920432485064548</v>
      </c>
      <c r="AI116" s="12">
        <f t="shared" si="34"/>
        <v>16.14669086999627</v>
      </c>
      <c r="AJ116" s="12">
        <f t="shared" si="34"/>
        <v>16.491298400506025</v>
      </c>
      <c r="AK116" s="12">
        <f t="shared" si="34"/>
        <v>16.614746224078669</v>
      </c>
      <c r="AL116" s="12">
        <f t="shared" si="34"/>
        <v>17.032564177747016</v>
      </c>
      <c r="AM116" s="12">
        <f t="shared" si="34"/>
        <v>17.354044993811897</v>
      </c>
      <c r="AN116" s="12">
        <f t="shared" si="34"/>
        <v>17.615031873336019</v>
      </c>
      <c r="AO116" s="12">
        <f t="shared" si="34"/>
        <v>17.793513868287572</v>
      </c>
    </row>
    <row r="117" spans="8:41" ht="15.75" customHeight="1" x14ac:dyDescent="0.25">
      <c r="I117" s="12" t="s">
        <v>17</v>
      </c>
      <c r="J117" s="12">
        <f t="shared" ref="J117:AO117" si="35">+J116*(100%+$M$86)</f>
        <v>9.143949895233531</v>
      </c>
      <c r="K117" s="12">
        <f t="shared" si="35"/>
        <v>8.6361778152875335</v>
      </c>
      <c r="L117" s="12">
        <f t="shared" si="35"/>
        <v>9.4642738532189661</v>
      </c>
      <c r="M117" s="12">
        <f t="shared" si="35"/>
        <v>9.6929842487425191</v>
      </c>
      <c r="N117" s="12">
        <f t="shared" si="35"/>
        <v>9.8825704176022739</v>
      </c>
      <c r="O117" s="12">
        <f t="shared" si="35"/>
        <v>10.239768574028588</v>
      </c>
      <c r="P117" s="12">
        <f t="shared" si="35"/>
        <v>10.492431108333994</v>
      </c>
      <c r="Q117" s="12">
        <f t="shared" si="35"/>
        <v>10.758308739057016</v>
      </c>
      <c r="R117" s="12">
        <f t="shared" si="35"/>
        <v>11.015238590685517</v>
      </c>
      <c r="S117" s="12">
        <f t="shared" si="35"/>
        <v>11.138400006245785</v>
      </c>
      <c r="T117" s="12">
        <f t="shared" si="35"/>
        <v>11.387949492257221</v>
      </c>
      <c r="U117" s="12">
        <f t="shared" si="35"/>
        <v>11.594507414017146</v>
      </c>
      <c r="V117" s="12">
        <f t="shared" si="35"/>
        <v>11.8677220155627</v>
      </c>
      <c r="W117" s="12">
        <f t="shared" si="35"/>
        <v>12.006384636828617</v>
      </c>
      <c r="X117" s="12">
        <f t="shared" si="35"/>
        <v>12.446347393233069</v>
      </c>
      <c r="Y117" s="12">
        <f t="shared" si="35"/>
        <v>12.646662153036411</v>
      </c>
      <c r="Z117" s="12">
        <f t="shared" si="35"/>
        <v>12.897473826217679</v>
      </c>
      <c r="AA117" s="12">
        <f t="shared" si="35"/>
        <v>13.232963045937597</v>
      </c>
      <c r="AB117" s="12">
        <f t="shared" si="35"/>
        <v>13.295480479928566</v>
      </c>
      <c r="AC117" s="12">
        <f t="shared" si="35"/>
        <v>13.544790725724448</v>
      </c>
      <c r="AD117" s="12">
        <f t="shared" si="35"/>
        <v>13.780448676610977</v>
      </c>
      <c r="AE117" s="12">
        <f t="shared" si="35"/>
        <v>13.934620955003197</v>
      </c>
      <c r="AF117" s="12">
        <f t="shared" si="35"/>
        <v>14.098841972557979</v>
      </c>
      <c r="AG117" s="12">
        <f t="shared" si="35"/>
        <v>14.469045727685973</v>
      </c>
      <c r="AH117" s="12">
        <f t="shared" si="35"/>
        <v>14.647046949151225</v>
      </c>
      <c r="AI117" s="12">
        <f t="shared" si="35"/>
        <v>14.855208202926399</v>
      </c>
      <c r="AJ117" s="12">
        <f t="shared" si="35"/>
        <v>15.172252522114501</v>
      </c>
      <c r="AK117" s="12">
        <f t="shared" si="35"/>
        <v>15.285826451047358</v>
      </c>
      <c r="AL117" s="12">
        <f t="shared" si="35"/>
        <v>15.670225504861991</v>
      </c>
      <c r="AM117" s="12">
        <f t="shared" si="35"/>
        <v>15.965992884961192</v>
      </c>
      <c r="AN117" s="12">
        <f t="shared" si="35"/>
        <v>16.206104897061898</v>
      </c>
      <c r="AO117" s="12">
        <f t="shared" si="35"/>
        <v>16.370311124630533</v>
      </c>
    </row>
    <row r="118" spans="8:41" ht="15.75" customHeight="1" x14ac:dyDescent="0.25">
      <c r="I118" s="12" t="s">
        <v>841</v>
      </c>
      <c r="J118" s="12">
        <f t="shared" ref="J118:AO118" si="36">+J116*(100%+$M$87)</f>
        <v>7.5540357537510738</v>
      </c>
      <c r="K118" s="12">
        <f t="shared" si="36"/>
        <v>7.1345530913769002</v>
      </c>
      <c r="L118" s="12">
        <f t="shared" si="36"/>
        <v>7.8186630383632059</v>
      </c>
      <c r="M118" s="12">
        <f t="shared" si="36"/>
        <v>8.0076061674085715</v>
      </c>
      <c r="N118" s="12">
        <f t="shared" si="36"/>
        <v>8.1642278368612686</v>
      </c>
      <c r="O118" s="12">
        <f t="shared" si="36"/>
        <v>8.4593177789250227</v>
      </c>
      <c r="P118" s="12">
        <f t="shared" si="36"/>
        <v>8.668048342810911</v>
      </c>
      <c r="Q118" s="12">
        <f t="shared" si="36"/>
        <v>8.8876962139843165</v>
      </c>
      <c r="R118" s="12">
        <f t="shared" si="36"/>
        <v>9.0999521107953179</v>
      </c>
      <c r="S118" s="12">
        <f t="shared" si="36"/>
        <v>9.2016987025072687</v>
      </c>
      <c r="T118" s="12">
        <f t="shared" si="36"/>
        <v>9.4078575027258964</v>
      </c>
      <c r="U118" s="12">
        <f t="shared" si="36"/>
        <v>9.5784999432546165</v>
      </c>
      <c r="V118" s="12">
        <f t="shared" si="36"/>
        <v>9.8042090615425241</v>
      </c>
      <c r="W118" s="12">
        <f t="shared" si="36"/>
        <v>9.9187615701140768</v>
      </c>
      <c r="X118" s="12">
        <f t="shared" si="36"/>
        <v>10.282225328148286</v>
      </c>
      <c r="Y118" s="12">
        <f t="shared" si="36"/>
        <v>10.447710143233209</v>
      </c>
      <c r="Z118" s="12">
        <f t="shared" si="36"/>
        <v>10.65491166646739</v>
      </c>
      <c r="AA118" s="12">
        <f t="shared" si="36"/>
        <v>10.932067336587954</v>
      </c>
      <c r="AB118" s="12">
        <f t="shared" si="36"/>
        <v>10.983714484375447</v>
      </c>
      <c r="AC118" s="12">
        <f t="shared" si="36"/>
        <v>11.189675642528805</v>
      </c>
      <c r="AD118" s="12">
        <f t="shared" si="36"/>
        <v>11.384358313261776</v>
      </c>
      <c r="AE118" s="12">
        <f t="shared" si="36"/>
        <v>11.511723720613711</v>
      </c>
      <c r="AF118" s="12">
        <f t="shared" si="36"/>
        <v>11.647390631777874</v>
      </c>
      <c r="AG118" s="12">
        <f t="shared" si="36"/>
        <v>11.953224810054323</v>
      </c>
      <c r="AH118" s="12">
        <f t="shared" si="36"/>
        <v>12.100275877324583</v>
      </c>
      <c r="AI118" s="12">
        <f t="shared" si="36"/>
        <v>12.272242868786664</v>
      </c>
      <c r="AJ118" s="12">
        <f t="shared" si="36"/>
        <v>12.534160765331462</v>
      </c>
      <c r="AK118" s="12">
        <f t="shared" si="36"/>
        <v>12.627986904984743</v>
      </c>
      <c r="AL118" s="12">
        <f t="shared" si="36"/>
        <v>12.945548159091949</v>
      </c>
      <c r="AM118" s="12">
        <f t="shared" si="36"/>
        <v>13.189888667259792</v>
      </c>
      <c r="AN118" s="12">
        <f t="shared" si="36"/>
        <v>13.388250944513667</v>
      </c>
      <c r="AO118" s="12">
        <f t="shared" si="36"/>
        <v>13.52390563731646</v>
      </c>
    </row>
    <row r="119" spans="8:41" ht="15.75" customHeight="1" x14ac:dyDescent="0.25">
      <c r="I119" s="12" t="s">
        <v>832</v>
      </c>
      <c r="J119" s="12">
        <v>9.9389069659747609</v>
      </c>
      <c r="K119" s="12">
        <v>9.3869901772428523</v>
      </c>
      <c r="L119" s="12">
        <v>10.287079260646848</v>
      </c>
      <c r="M119" s="12">
        <v>10.535673289409495</v>
      </c>
      <c r="N119" s="12">
        <v>10.74174170797278</v>
      </c>
      <c r="O119" s="12">
        <v>11.129993971580372</v>
      </c>
      <c r="P119" s="12">
        <v>11.404622491095539</v>
      </c>
      <c r="Q119" s="12">
        <v>11.693615001593368</v>
      </c>
      <c r="R119" s="12">
        <v>11.97288183063062</v>
      </c>
      <c r="S119" s="12">
        <v>12.106750658115047</v>
      </c>
      <c r="T119" s="12">
        <v>12.377995487022886</v>
      </c>
      <c r="U119" s="12">
        <v>12.602511149398413</v>
      </c>
      <c r="V119" s="12">
        <v>12.89947849257279</v>
      </c>
      <c r="W119" s="12">
        <v>13.05019617018589</v>
      </c>
      <c r="X119" s="12">
        <v>13.528408425775462</v>
      </c>
      <c r="Y119" s="12">
        <v>13.746138157938017</v>
      </c>
      <c r="Z119" s="12">
        <v>14.018754906092827</v>
      </c>
      <c r="AA119" s="12">
        <v>14.383410900612422</v>
      </c>
      <c r="AB119" s="12">
        <v>14.451363477705129</v>
      </c>
      <c r="AC119" s="12">
        <v>14.722348267322275</v>
      </c>
      <c r="AD119" s="12">
        <v>14.97849385828558</v>
      </c>
      <c r="AE119" s="12">
        <v>15.146069572197943</v>
      </c>
      <c r="AF119" s="12">
        <v>15.324567642948036</v>
      </c>
      <c r="AG119" s="12">
        <v>15.726956186501802</v>
      </c>
      <c r="AH119" s="12">
        <v>15.920432485064548</v>
      </c>
      <c r="AI119" s="12">
        <v>16.14669086999627</v>
      </c>
      <c r="AJ119" s="12">
        <v>16.491298400506025</v>
      </c>
      <c r="AK119" s="12">
        <v>16.614746224078669</v>
      </c>
      <c r="AL119" s="12">
        <v>17.032564177747016</v>
      </c>
      <c r="AM119" s="12">
        <v>17.354044993811897</v>
      </c>
      <c r="AN119" s="12">
        <v>17.615031873336019</v>
      </c>
      <c r="AO119" s="12">
        <v>17.793513868287572</v>
      </c>
    </row>
    <row r="120" spans="8:41" ht="15.75" customHeight="1" x14ac:dyDescent="0.25">
      <c r="I120" s="12" t="s">
        <v>102</v>
      </c>
      <c r="J120" s="12">
        <v>22.631883642110068</v>
      </c>
      <c r="K120" s="12">
        <v>22.339540412044375</v>
      </c>
      <c r="L120" s="12">
        <v>22.078422999593137</v>
      </c>
      <c r="M120" s="12">
        <v>22.39579265822039</v>
      </c>
      <c r="N120" s="12">
        <v>22.558159280737229</v>
      </c>
      <c r="O120" s="12">
        <v>23.164899880511875</v>
      </c>
      <c r="P120" s="12">
        <v>23.275210249935512</v>
      </c>
      <c r="Q120" s="12">
        <v>23.971296511876403</v>
      </c>
      <c r="R120" s="12">
        <v>24.015638240959891</v>
      </c>
      <c r="S120" s="12">
        <v>24.740571573891199</v>
      </c>
      <c r="T120" s="12">
        <v>25.062088399499931</v>
      </c>
      <c r="U120" s="12">
        <v>25.42744343502223</v>
      </c>
      <c r="V120" s="12">
        <v>25.958460854900952</v>
      </c>
      <c r="W120" s="12">
        <v>26.224834702323204</v>
      </c>
      <c r="X120" s="12">
        <v>26.829697023012422</v>
      </c>
      <c r="Y120" s="12">
        <v>27.263719866788854</v>
      </c>
      <c r="Z120" s="12">
        <v>27.675778594046346</v>
      </c>
      <c r="AA120" s="12">
        <v>28.049205194444301</v>
      </c>
      <c r="AB120" s="12">
        <v>28.417233459014266</v>
      </c>
      <c r="AC120" s="12">
        <v>28.731185290548609</v>
      </c>
      <c r="AD120" s="12">
        <v>29.153445621352176</v>
      </c>
      <c r="AE120" s="12">
        <v>29.292522193535898</v>
      </c>
      <c r="AF120" s="12">
        <v>29.677418350298769</v>
      </c>
      <c r="AG120" s="12">
        <v>30.263903747100933</v>
      </c>
      <c r="AH120" s="12">
        <v>30.578589495970853</v>
      </c>
      <c r="AI120" s="12">
        <v>30.937873310956238</v>
      </c>
      <c r="AJ120" s="12">
        <v>31.585223494694176</v>
      </c>
      <c r="AK120" s="12">
        <v>31.665200648668247</v>
      </c>
      <c r="AL120" s="12">
        <v>32.309671618243542</v>
      </c>
      <c r="AM120" s="12">
        <v>32.833415474840166</v>
      </c>
      <c r="AN120" s="12">
        <v>33.211941351195492</v>
      </c>
      <c r="AO120" s="12">
        <v>33.352427777055048</v>
      </c>
    </row>
    <row r="121" spans="8:41" ht="15.75" customHeight="1" x14ac:dyDescent="0.25"/>
    <row r="122" spans="8:41" ht="15.75" customHeight="1" x14ac:dyDescent="0.25"/>
    <row r="123" spans="8:41" ht="15.75" customHeight="1" x14ac:dyDescent="0.25"/>
    <row r="124" spans="8:41" ht="15.75" customHeight="1" x14ac:dyDescent="0.25">
      <c r="I124" s="12" t="s">
        <v>842</v>
      </c>
    </row>
    <row r="125" spans="8:41" ht="15.75" customHeight="1" x14ac:dyDescent="0.25">
      <c r="J125" s="12">
        <v>2019</v>
      </c>
      <c r="K125" s="12">
        <v>2020</v>
      </c>
      <c r="L125" s="12">
        <v>2025</v>
      </c>
      <c r="M125" s="12">
        <v>2030</v>
      </c>
      <c r="N125" s="12">
        <v>2035</v>
      </c>
      <c r="O125" s="12">
        <v>2040</v>
      </c>
      <c r="P125" s="12">
        <v>2045</v>
      </c>
      <c r="Q125" s="12">
        <v>2050</v>
      </c>
    </row>
    <row r="126" spans="8:41" ht="15.75" customHeight="1" x14ac:dyDescent="0.25">
      <c r="H126" s="12" t="s">
        <v>8</v>
      </c>
      <c r="I126" s="12" t="s">
        <v>843</v>
      </c>
      <c r="J126" s="229">
        <f t="shared" ref="J126:K126" si="37">+J108*$R$3/1000000</f>
        <v>20.996445954041999</v>
      </c>
      <c r="K126" s="229">
        <f t="shared" si="37"/>
        <v>20.795929580790002</v>
      </c>
      <c r="L126" s="229">
        <f t="shared" ref="L126:L138" si="38">+P108*$R$3/1000000</f>
        <v>20.716882590807003</v>
      </c>
      <c r="M126" s="229">
        <f t="shared" ref="M126:M138" si="39">+U108*$R$3/1000000</f>
        <v>22.202066334591002</v>
      </c>
      <c r="N126" s="229">
        <f t="shared" ref="N126:N138" si="40">+Z108*$R$3/1000000</f>
        <v>23.568165402677998</v>
      </c>
      <c r="O126" s="229">
        <f t="shared" ref="O126:O138" si="41">+AE108*$R$3/1000000</f>
        <v>24.597135442035</v>
      </c>
      <c r="P126" s="229">
        <f t="shared" ref="P126:P138" si="42">+AJ108*$R$3/1000000</f>
        <v>25.886116327734001</v>
      </c>
      <c r="Q126" s="229">
        <f t="shared" ref="Q126:Q138" si="43">+AO108*$R$3/1000000</f>
        <v>27.153960894333</v>
      </c>
    </row>
    <row r="127" spans="8:41" ht="15.75" customHeight="1" x14ac:dyDescent="0.25">
      <c r="H127" s="12" t="s">
        <v>14</v>
      </c>
      <c r="I127" s="12" t="s">
        <v>63</v>
      </c>
      <c r="J127" s="229">
        <f t="shared" ref="J127:K127" si="44">+J109*$R$3/1000000</f>
        <v>20.905026160941002</v>
      </c>
      <c r="K127" s="229">
        <f t="shared" si="44"/>
        <v>20.219447377232999</v>
      </c>
      <c r="L127" s="229">
        <f t="shared" si="38"/>
        <v>20.630671999937999</v>
      </c>
      <c r="M127" s="229">
        <f t="shared" si="39"/>
        <v>21.930071290101001</v>
      </c>
      <c r="N127" s="229">
        <f t="shared" si="40"/>
        <v>23.082531458571001</v>
      </c>
      <c r="O127" s="229">
        <f t="shared" si="41"/>
        <v>23.875429665555</v>
      </c>
      <c r="P127" s="229">
        <f t="shared" si="42"/>
        <v>25.090517790116998</v>
      </c>
      <c r="Q127" s="229">
        <f t="shared" si="43"/>
        <v>25.880965890156002</v>
      </c>
    </row>
    <row r="128" spans="8:41" ht="15.75" customHeight="1" x14ac:dyDescent="0.25">
      <c r="H128" s="12" t="s">
        <v>18</v>
      </c>
      <c r="I128" s="12" t="s">
        <v>844</v>
      </c>
      <c r="J128" s="229">
        <f t="shared" ref="J128:K128" si="45">+J110*$R$3/1000000</f>
        <v>13.877034192216</v>
      </c>
      <c r="K128" s="229">
        <f t="shared" si="45"/>
        <v>13.695434350650002</v>
      </c>
      <c r="L128" s="229">
        <f t="shared" si="38"/>
        <v>14.458260219857999</v>
      </c>
      <c r="M128" s="229">
        <f t="shared" si="39"/>
        <v>15.795199697939999</v>
      </c>
      <c r="N128" s="229">
        <f t="shared" si="40"/>
        <v>17.191836481949998</v>
      </c>
      <c r="O128" s="229">
        <f t="shared" si="41"/>
        <v>18.196136740431001</v>
      </c>
      <c r="P128" s="229">
        <f t="shared" si="42"/>
        <v>19.62033319935</v>
      </c>
      <c r="Q128" s="229">
        <f t="shared" si="43"/>
        <v>20.718097692200999</v>
      </c>
    </row>
    <row r="129" spans="8:17" ht="15.75" customHeight="1" x14ac:dyDescent="0.25">
      <c r="H129" s="12" t="s">
        <v>22</v>
      </c>
      <c r="I129" s="12" t="s">
        <v>22</v>
      </c>
      <c r="J129" s="229">
        <f t="shared" ref="J129:K129" si="46">+J111*$R$3/1000000</f>
        <v>17.551047751146001</v>
      </c>
      <c r="K129" s="229">
        <f t="shared" si="46"/>
        <v>16.867144707893999</v>
      </c>
      <c r="L129" s="229">
        <f t="shared" si="38"/>
        <v>19.872932116751997</v>
      </c>
      <c r="M129" s="229">
        <f t="shared" si="39"/>
        <v>22.022557377326997</v>
      </c>
      <c r="N129" s="229">
        <f t="shared" si="40"/>
        <v>22.891725470484001</v>
      </c>
      <c r="O129" s="229">
        <f t="shared" si="41"/>
        <v>24.412499742618003</v>
      </c>
      <c r="P129" s="229">
        <f t="shared" si="42"/>
        <v>25.877700660591003</v>
      </c>
      <c r="Q129" s="229">
        <f t="shared" si="43"/>
        <v>27.425805235919999</v>
      </c>
    </row>
    <row r="130" spans="8:17" ht="15.75" customHeight="1" x14ac:dyDescent="0.25">
      <c r="H130" s="12" t="s">
        <v>26</v>
      </c>
      <c r="I130" s="12" t="s">
        <v>782</v>
      </c>
      <c r="J130" s="229">
        <f t="shared" ref="J130:K130" si="47">+J112*$R$3/1000000</f>
        <v>9.2415067298189992</v>
      </c>
      <c r="K130" s="229">
        <f t="shared" si="47"/>
        <v>9.6605963379900004</v>
      </c>
      <c r="L130" s="229">
        <f t="shared" si="38"/>
        <v>9.3615136314569991</v>
      </c>
      <c r="M130" s="229">
        <f t="shared" si="39"/>
        <v>10.777456499940001</v>
      </c>
      <c r="N130" s="229">
        <f t="shared" si="40"/>
        <v>12.03505800822</v>
      </c>
      <c r="O130" s="229">
        <f t="shared" si="41"/>
        <v>13.376972577735</v>
      </c>
      <c r="P130" s="229">
        <f t="shared" si="42"/>
        <v>14.299692331392</v>
      </c>
      <c r="Q130" s="229">
        <f t="shared" si="43"/>
        <v>15.089726235401999</v>
      </c>
    </row>
    <row r="131" spans="8:17" ht="15.75" customHeight="1" x14ac:dyDescent="0.25">
      <c r="H131" s="12" t="s">
        <v>30</v>
      </c>
      <c r="I131" s="12" t="s">
        <v>784</v>
      </c>
      <c r="J131" s="229">
        <f t="shared" ref="J131:K131" si="48">+J113*$R$3/1000000</f>
        <v>15.484369752577541</v>
      </c>
      <c r="K131" s="229">
        <f t="shared" si="48"/>
        <v>15.076841521470868</v>
      </c>
      <c r="L131" s="229">
        <f t="shared" si="38"/>
        <v>16.842423718223472</v>
      </c>
      <c r="M131" s="229">
        <f t="shared" si="39"/>
        <v>19.600166238545455</v>
      </c>
      <c r="N131" s="229">
        <f t="shared" si="40"/>
        <v>19.747825616593868</v>
      </c>
      <c r="O131" s="229">
        <f t="shared" si="41"/>
        <v>20.304548193105546</v>
      </c>
      <c r="P131" s="229">
        <f t="shared" si="42"/>
        <v>21.409220503499576</v>
      </c>
      <c r="Q131" s="229">
        <f t="shared" si="43"/>
        <v>24.151142776321418</v>
      </c>
    </row>
    <row r="132" spans="8:17" ht="15.75" customHeight="1" x14ac:dyDescent="0.25">
      <c r="H132" s="12" t="s">
        <v>32</v>
      </c>
      <c r="I132" s="12" t="s">
        <v>74</v>
      </c>
      <c r="J132" s="229">
        <f t="shared" ref="J132:K132" si="49">+J114*$R$3/1000000</f>
        <v>27.015813128159731</v>
      </c>
      <c r="K132" s="229">
        <f t="shared" si="49"/>
        <v>26.129831538723028</v>
      </c>
      <c r="L132" s="229">
        <f t="shared" si="38"/>
        <v>26.661261993541277</v>
      </c>
      <c r="M132" s="229">
        <f t="shared" si="39"/>
        <v>28.340491100056148</v>
      </c>
      <c r="N132" s="229">
        <f t="shared" si="40"/>
        <v>29.829829037705093</v>
      </c>
      <c r="O132" s="229">
        <f t="shared" si="41"/>
        <v>30.854500790068418</v>
      </c>
      <c r="P132" s="229">
        <f t="shared" si="42"/>
        <v>32.424773577803386</v>
      </c>
      <c r="Q132" s="229">
        <f t="shared" si="43"/>
        <v>33.446279027916688</v>
      </c>
    </row>
    <row r="133" spans="8:17" ht="15.75" customHeight="1" x14ac:dyDescent="0.25">
      <c r="H133" s="12" t="s">
        <v>7</v>
      </c>
      <c r="I133" s="12" t="s">
        <v>845</v>
      </c>
      <c r="J133" s="229">
        <f t="shared" ref="J133:K133" si="50">+J115*$R$3/1000000</f>
        <v>4.769127007632</v>
      </c>
      <c r="K133" s="229">
        <f t="shared" si="50"/>
        <v>4.5122894526059998</v>
      </c>
      <c r="L133" s="229">
        <f t="shared" si="38"/>
        <v>4.9274484636779992</v>
      </c>
      <c r="M133" s="229">
        <f t="shared" si="39"/>
        <v>5.3827086642029993</v>
      </c>
      <c r="N133" s="229">
        <f t="shared" si="40"/>
        <v>5.4401245746119997</v>
      </c>
      <c r="O133" s="229">
        <f t="shared" si="41"/>
        <v>5.4800854871490001</v>
      </c>
      <c r="P133" s="229">
        <f t="shared" si="42"/>
        <v>5.5431115263809998</v>
      </c>
      <c r="Q133" s="229">
        <f t="shared" si="43"/>
        <v>5.7037579775280003</v>
      </c>
    </row>
    <row r="134" spans="8:17" ht="15.75" customHeight="1" x14ac:dyDescent="0.25">
      <c r="H134" s="12" t="s">
        <v>13</v>
      </c>
      <c r="I134" s="12" t="s">
        <v>13</v>
      </c>
      <c r="J134" s="229">
        <f t="shared" ref="J134:K134" si="51">+J116*$R$3/1000000</f>
        <v>9.4202649837693002</v>
      </c>
      <c r="K134" s="229">
        <f t="shared" si="51"/>
        <v>8.8971488688237894</v>
      </c>
      <c r="L134" s="229">
        <f t="shared" si="38"/>
        <v>10.809495075642701</v>
      </c>
      <c r="M134" s="229">
        <f t="shared" si="39"/>
        <v>11.944874310089356</v>
      </c>
      <c r="N134" s="229">
        <f t="shared" si="40"/>
        <v>13.287214218828185</v>
      </c>
      <c r="O134" s="229">
        <f t="shared" si="41"/>
        <v>14.355702223711937</v>
      </c>
      <c r="P134" s="229">
        <f t="shared" si="42"/>
        <v>15.630732976072419</v>
      </c>
      <c r="Q134" s="229">
        <f t="shared" si="43"/>
        <v>16.864994934098721</v>
      </c>
    </row>
    <row r="135" spans="8:17" ht="15.75" customHeight="1" x14ac:dyDescent="0.25">
      <c r="H135" s="12" t="s">
        <v>17</v>
      </c>
      <c r="I135" s="12" t="s">
        <v>17</v>
      </c>
      <c r="J135" s="229">
        <f t="shared" ref="J135:K135" si="52">+J117*$R$3/1000000</f>
        <v>8.6667911578505592</v>
      </c>
      <c r="K135" s="229">
        <f t="shared" si="52"/>
        <v>8.1855161483523844</v>
      </c>
      <c r="L135" s="229">
        <f t="shared" si="38"/>
        <v>9.9449045758078007</v>
      </c>
      <c r="M135" s="229">
        <f t="shared" si="39"/>
        <v>10.989471233631489</v>
      </c>
      <c r="N135" s="229">
        <f t="shared" si="40"/>
        <v>12.224444949544161</v>
      </c>
      <c r="O135" s="229">
        <f t="shared" si="41"/>
        <v>13.207470629708267</v>
      </c>
      <c r="P135" s="229">
        <f t="shared" si="42"/>
        <v>14.380518868753001</v>
      </c>
      <c r="Q135" s="229">
        <f t="shared" si="43"/>
        <v>15.516059179213938</v>
      </c>
    </row>
    <row r="136" spans="8:17" ht="15.75" customHeight="1" x14ac:dyDescent="0.25">
      <c r="H136" s="12" t="s">
        <v>841</v>
      </c>
      <c r="I136" s="12" t="s">
        <v>841</v>
      </c>
      <c r="J136" s="229">
        <f t="shared" ref="J136:K136" si="53">+J118*$R$3/1000000</f>
        <v>7.1598435060130816</v>
      </c>
      <c r="K136" s="229">
        <f t="shared" si="53"/>
        <v>6.7622507074095797</v>
      </c>
      <c r="L136" s="229">
        <f t="shared" si="38"/>
        <v>8.215723576138009</v>
      </c>
      <c r="M136" s="229">
        <f t="shared" si="39"/>
        <v>9.0786650807157603</v>
      </c>
      <c r="N136" s="229">
        <f t="shared" si="40"/>
        <v>10.098906410976124</v>
      </c>
      <c r="O136" s="229">
        <f t="shared" si="41"/>
        <v>10.911007441700926</v>
      </c>
      <c r="P136" s="229">
        <f t="shared" si="42"/>
        <v>11.88009065411417</v>
      </c>
      <c r="Q136" s="229">
        <f t="shared" si="43"/>
        <v>12.818187669444375</v>
      </c>
    </row>
    <row r="137" spans="8:17" ht="15.75" customHeight="1" x14ac:dyDescent="0.25">
      <c r="H137" s="12" t="s">
        <v>832</v>
      </c>
      <c r="I137" s="12" t="s">
        <v>832</v>
      </c>
      <c r="J137" s="229">
        <f t="shared" ref="J137:K137" si="54">+J119*$R$3/1000000</f>
        <v>9.4202649837693002</v>
      </c>
      <c r="K137" s="229">
        <f t="shared" si="54"/>
        <v>8.8971488688237894</v>
      </c>
      <c r="L137" s="229">
        <f t="shared" si="38"/>
        <v>10.809495075642701</v>
      </c>
      <c r="M137" s="229">
        <f t="shared" si="39"/>
        <v>11.944874310089356</v>
      </c>
      <c r="N137" s="229">
        <f t="shared" si="40"/>
        <v>13.287214218828185</v>
      </c>
      <c r="O137" s="229">
        <f t="shared" si="41"/>
        <v>14.355702223711937</v>
      </c>
      <c r="P137" s="229">
        <f t="shared" si="42"/>
        <v>15.630732976072419</v>
      </c>
      <c r="Q137" s="229">
        <f t="shared" si="43"/>
        <v>16.864994934098721</v>
      </c>
    </row>
    <row r="138" spans="8:17" ht="15.75" customHeight="1" x14ac:dyDescent="0.25">
      <c r="H138" s="12" t="s">
        <v>102</v>
      </c>
      <c r="I138" s="12" t="s">
        <v>846</v>
      </c>
      <c r="J138" s="229">
        <f t="shared" ref="J138:K138" si="55">+J120*$R$3/1000000</f>
        <v>21.450884058013838</v>
      </c>
      <c r="K138" s="229">
        <f t="shared" si="55"/>
        <v>21.173796174722664</v>
      </c>
      <c r="L138" s="229">
        <f t="shared" si="38"/>
        <v>22.060639953463127</v>
      </c>
      <c r="M138" s="229">
        <f t="shared" si="39"/>
        <v>24.100563154252466</v>
      </c>
      <c r="N138" s="229">
        <f t="shared" si="40"/>
        <v>26.231573439673227</v>
      </c>
      <c r="O138" s="229">
        <f t="shared" si="41"/>
        <v>27.763950507910614</v>
      </c>
      <c r="P138" s="229">
        <f t="shared" si="42"/>
        <v>29.937011777070548</v>
      </c>
      <c r="Q138" s="229">
        <f t="shared" si="43"/>
        <v>31.611998038364984</v>
      </c>
    </row>
    <row r="139" spans="8:17" ht="15.75" customHeight="1" x14ac:dyDescent="0.25"/>
    <row r="140" spans="8:17" ht="15.75" customHeight="1" x14ac:dyDescent="0.25"/>
    <row r="141" spans="8:17" ht="15.75" customHeight="1" x14ac:dyDescent="0.25"/>
    <row r="142" spans="8:17" ht="15.75" customHeight="1" x14ac:dyDescent="0.25"/>
    <row r="143" spans="8:17" ht="15.75" customHeight="1" x14ac:dyDescent="0.25">
      <c r="I143" s="12" t="s">
        <v>847</v>
      </c>
      <c r="J143" s="231">
        <v>2019</v>
      </c>
      <c r="K143" s="231">
        <v>2020</v>
      </c>
      <c r="L143" s="231">
        <v>2025</v>
      </c>
      <c r="M143" s="231">
        <v>2030</v>
      </c>
      <c r="N143" s="231">
        <v>2035</v>
      </c>
      <c r="O143" s="231">
        <v>2040</v>
      </c>
      <c r="P143" s="231">
        <v>2045</v>
      </c>
      <c r="Q143" s="231">
        <v>2050</v>
      </c>
    </row>
    <row r="144" spans="8:17" ht="15.75" customHeight="1" x14ac:dyDescent="0.25">
      <c r="I144" s="12" t="s">
        <v>74</v>
      </c>
      <c r="J144" s="12">
        <v>27.015813128159731</v>
      </c>
      <c r="K144" s="12">
        <v>26.062049484430577</v>
      </c>
      <c r="L144" s="12">
        <v>27.26293166627044</v>
      </c>
      <c r="M144" s="12">
        <v>28.990379051104217</v>
      </c>
      <c r="N144" s="12">
        <v>31.697009911247882</v>
      </c>
      <c r="O144" s="12">
        <v>32.967623003898666</v>
      </c>
      <c r="P144" s="12">
        <v>34.607787018684213</v>
      </c>
      <c r="Q144" s="12">
        <v>35.963817996706439</v>
      </c>
    </row>
    <row r="145" spans="9:17" ht="15.75" customHeight="1" x14ac:dyDescent="0.25">
      <c r="I145" s="12" t="s">
        <v>846</v>
      </c>
      <c r="J145" s="12">
        <v>21.475872844615932</v>
      </c>
      <c r="K145" s="12">
        <v>21.173796174722664</v>
      </c>
      <c r="L145" s="12">
        <v>23.09908472316074</v>
      </c>
      <c r="M145" s="12">
        <v>25.352291121728861</v>
      </c>
      <c r="N145" s="12">
        <v>28.770631310279356</v>
      </c>
      <c r="O145" s="12">
        <v>30.877675811857468</v>
      </c>
      <c r="P145" s="12">
        <v>33.171074715211802</v>
      </c>
      <c r="Q145" s="12">
        <v>35.177965790480719</v>
      </c>
    </row>
    <row r="146" spans="9:17" ht="15.75" customHeight="1" x14ac:dyDescent="0.25">
      <c r="I146" s="12" t="s">
        <v>843</v>
      </c>
      <c r="J146" s="12">
        <v>20.996450693126999</v>
      </c>
      <c r="K146" s="12">
        <v>20.789779196276999</v>
      </c>
      <c r="L146" s="12">
        <v>21.49552278666</v>
      </c>
      <c r="M146" s="12">
        <v>22.787761319388</v>
      </c>
      <c r="N146" s="12">
        <v>24.782312344958999</v>
      </c>
      <c r="O146" s="12">
        <v>26.081950485006001</v>
      </c>
      <c r="P146" s="12">
        <v>27.657616630877996</v>
      </c>
      <c r="Q146" s="12">
        <v>28.857208895307</v>
      </c>
    </row>
    <row r="147" spans="9:17" ht="15.75" customHeight="1" x14ac:dyDescent="0.25">
      <c r="I147" s="12" t="s">
        <v>63</v>
      </c>
      <c r="J147" s="12">
        <v>20.905028056574999</v>
      </c>
      <c r="K147" s="12">
        <v>20.166998975720997</v>
      </c>
      <c r="L147" s="12">
        <v>21.096250136325001</v>
      </c>
      <c r="M147" s="12">
        <v>22.432961190509999</v>
      </c>
      <c r="N147" s="12">
        <v>24.527371371749997</v>
      </c>
      <c r="O147" s="12">
        <v>25.510580806347001</v>
      </c>
      <c r="P147" s="12">
        <v>26.779751368928999</v>
      </c>
      <c r="Q147" s="12">
        <v>27.829057769838002</v>
      </c>
    </row>
    <row r="148" spans="9:17" ht="15.75" customHeight="1" x14ac:dyDescent="0.25">
      <c r="I148" s="12" t="s">
        <v>22</v>
      </c>
      <c r="J148" s="12">
        <v>17.550825014150998</v>
      </c>
      <c r="K148" s="12">
        <v>17.327211288426</v>
      </c>
      <c r="L148" s="12">
        <v>21.000397403115002</v>
      </c>
      <c r="M148" s="12">
        <v>23.265791875521</v>
      </c>
      <c r="N148" s="12">
        <v>25.362927030636001</v>
      </c>
      <c r="O148" s="12">
        <v>27.015707567627999</v>
      </c>
      <c r="P148" s="12">
        <v>29.097066308778</v>
      </c>
      <c r="Q148" s="12">
        <v>30.992470937063995</v>
      </c>
    </row>
    <row r="149" spans="9:17" ht="15.75" customHeight="1" x14ac:dyDescent="0.25">
      <c r="I149" s="12" t="s">
        <v>784</v>
      </c>
      <c r="J149" s="12">
        <v>15.484369752577541</v>
      </c>
      <c r="K149" s="12">
        <v>15.168782704888827</v>
      </c>
      <c r="L149" s="12">
        <v>16.949109551577816</v>
      </c>
      <c r="M149" s="12">
        <v>19.89820760097551</v>
      </c>
      <c r="N149" s="12">
        <v>20.433037285408389</v>
      </c>
      <c r="O149" s="12">
        <v>21.046576062396845</v>
      </c>
      <c r="P149" s="12">
        <v>22.996499995778219</v>
      </c>
      <c r="Q149" s="12">
        <v>24.2190062601092</v>
      </c>
    </row>
    <row r="150" spans="9:17" ht="15.75" customHeight="1" x14ac:dyDescent="0.25">
      <c r="I150" s="12" t="s">
        <v>844</v>
      </c>
      <c r="J150" s="12">
        <v>13.877034192216</v>
      </c>
      <c r="K150" s="12">
        <v>13.679057020707001</v>
      </c>
      <c r="L150" s="12">
        <v>14.925902701670999</v>
      </c>
      <c r="M150" s="12">
        <v>16.381853873541001</v>
      </c>
      <c r="N150" s="12">
        <v>18.590677888301997</v>
      </c>
      <c r="O150" s="12">
        <v>19.952183835207002</v>
      </c>
      <c r="P150" s="12">
        <v>21.434106140693999</v>
      </c>
      <c r="Q150" s="12">
        <v>22.730896090656</v>
      </c>
    </row>
    <row r="151" spans="9:17" ht="15.75" customHeight="1" x14ac:dyDescent="0.25">
      <c r="I151" s="12" t="s">
        <v>13</v>
      </c>
      <c r="J151" s="12">
        <v>9.4202649837692984</v>
      </c>
      <c r="K151" s="12">
        <v>9.6527165147854426</v>
      </c>
      <c r="L151" s="12">
        <v>11.578601139308462</v>
      </c>
      <c r="M151" s="12">
        <v>12.911789354957682</v>
      </c>
      <c r="N151" s="12">
        <v>14.757523117529285</v>
      </c>
      <c r="O151" s="12">
        <v>16.087232795682176</v>
      </c>
      <c r="P151" s="12">
        <v>17.631300754150111</v>
      </c>
      <c r="Q151" s="12">
        <v>18.826932611437442</v>
      </c>
    </row>
    <row r="152" spans="9:17" ht="15.75" customHeight="1" x14ac:dyDescent="0.25">
      <c r="I152" s="12" t="s">
        <v>832</v>
      </c>
      <c r="J152" s="12">
        <v>9.4202649837692984</v>
      </c>
      <c r="K152" s="12">
        <v>9.6527165147854426</v>
      </c>
      <c r="L152" s="12">
        <v>11.578601139308462</v>
      </c>
      <c r="M152" s="12">
        <v>12.911789354957682</v>
      </c>
      <c r="N152" s="12">
        <v>14.757523117529285</v>
      </c>
      <c r="O152" s="12">
        <v>16.087232795682176</v>
      </c>
      <c r="P152" s="12">
        <v>17.631300754150111</v>
      </c>
      <c r="Q152" s="12">
        <v>18.826932611437442</v>
      </c>
    </row>
    <row r="153" spans="9:17" ht="15.75" customHeight="1" x14ac:dyDescent="0.25">
      <c r="I153" s="12" t="s">
        <v>782</v>
      </c>
      <c r="J153" s="12">
        <v>9.2360008608660014</v>
      </c>
      <c r="K153" s="12">
        <v>9.6932486336400014</v>
      </c>
      <c r="L153" s="12">
        <v>9.5472696505679995</v>
      </c>
      <c r="M153" s="12">
        <v>10.673080048449</v>
      </c>
      <c r="N153" s="12">
        <v>12.218909862978</v>
      </c>
      <c r="O153" s="12">
        <v>13.22060646816</v>
      </c>
      <c r="P153" s="12">
        <v>14.059067186150999</v>
      </c>
      <c r="Q153" s="12">
        <v>15.210941603714998</v>
      </c>
    </row>
    <row r="154" spans="9:17" ht="15.75" customHeight="1" x14ac:dyDescent="0.25">
      <c r="I154" s="12" t="s">
        <v>17</v>
      </c>
      <c r="J154" s="12">
        <v>8.6667911578505574</v>
      </c>
      <c r="K154" s="12">
        <v>8.8806502029103971</v>
      </c>
      <c r="L154" s="12">
        <v>10.652494186451701</v>
      </c>
      <c r="M154" s="12">
        <v>11.87904820155075</v>
      </c>
      <c r="N154" s="12">
        <v>13.577152138198308</v>
      </c>
      <c r="O154" s="12">
        <v>14.800505844381702</v>
      </c>
      <c r="P154" s="12">
        <v>16.22107252192496</v>
      </c>
      <c r="Q154" s="12">
        <v>17.321072535367904</v>
      </c>
    </row>
    <row r="155" spans="9:17" ht="15.75" customHeight="1" x14ac:dyDescent="0.25">
      <c r="I155" s="12" t="s">
        <v>841</v>
      </c>
      <c r="J155" s="12">
        <v>7.1598435060130807</v>
      </c>
      <c r="K155" s="12">
        <v>7.3365175791603097</v>
      </c>
      <c r="L155" s="12">
        <v>8.8002802807381819</v>
      </c>
      <c r="M155" s="12">
        <v>9.8135658947368913</v>
      </c>
      <c r="N155" s="12">
        <v>11.216410179536366</v>
      </c>
      <c r="O155" s="12">
        <v>12.227051941780758</v>
      </c>
      <c r="P155" s="12">
        <v>13.400616057474668</v>
      </c>
      <c r="Q155" s="12">
        <v>14.309352383228823</v>
      </c>
    </row>
    <row r="156" spans="9:17" ht="15.75" customHeight="1" x14ac:dyDescent="0.25">
      <c r="I156" s="12" t="s">
        <v>845</v>
      </c>
      <c r="J156" s="12">
        <v>4.7688341321789993</v>
      </c>
      <c r="K156" s="12">
        <v>4.6568448145439998</v>
      </c>
      <c r="L156" s="12">
        <v>5.7706406841329994</v>
      </c>
      <c r="M156" s="12">
        <v>6.7599028780919994</v>
      </c>
      <c r="N156" s="12">
        <v>7.3262282746769998</v>
      </c>
      <c r="O156" s="12">
        <v>7.6825591280100003</v>
      </c>
      <c r="P156" s="12">
        <v>8.0943780319740011</v>
      </c>
      <c r="Q156" s="12">
        <v>8.6837619205349998</v>
      </c>
    </row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spans="9:17" ht="15.75" customHeight="1" x14ac:dyDescent="0.25"/>
    <row r="178" spans="9:17" ht="15.75" customHeight="1" x14ac:dyDescent="0.25">
      <c r="I178" s="12" t="s">
        <v>848</v>
      </c>
    </row>
    <row r="179" spans="9:17" ht="15.75" customHeight="1" x14ac:dyDescent="0.25">
      <c r="I179" s="12" t="s">
        <v>847</v>
      </c>
      <c r="J179" s="12">
        <v>2019</v>
      </c>
      <c r="K179" s="12">
        <v>2020</v>
      </c>
      <c r="L179" s="12">
        <v>2025</v>
      </c>
      <c r="M179" s="12">
        <v>2030</v>
      </c>
      <c r="N179" s="12">
        <v>2035</v>
      </c>
      <c r="O179" s="12">
        <v>2040</v>
      </c>
      <c r="P179" s="12">
        <v>2045</v>
      </c>
      <c r="Q179" s="12">
        <v>2050</v>
      </c>
    </row>
    <row r="180" spans="9:17" ht="15.75" customHeight="1" x14ac:dyDescent="0.25">
      <c r="I180" s="12" t="s">
        <v>74</v>
      </c>
      <c r="J180" s="12">
        <v>27.015813128159731</v>
      </c>
      <c r="K180" s="12">
        <v>31.322836701288676</v>
      </c>
      <c r="L180" s="12">
        <v>39.015640552433432</v>
      </c>
      <c r="M180" s="12">
        <v>42.266280355693034</v>
      </c>
      <c r="N180" s="12">
        <v>45.088618066974036</v>
      </c>
      <c r="O180" s="12">
        <v>47.363336148644329</v>
      </c>
      <c r="P180" s="12">
        <v>49.233692323046512</v>
      </c>
      <c r="Q180" s="12">
        <v>50.210386940852374</v>
      </c>
    </row>
    <row r="181" spans="9:17" ht="15.75" customHeight="1" x14ac:dyDescent="0.25">
      <c r="I181" s="12" t="s">
        <v>846</v>
      </c>
      <c r="J181" s="12">
        <v>21.450884058013838</v>
      </c>
      <c r="K181" s="12">
        <v>21.173796174722664</v>
      </c>
      <c r="L181" s="12">
        <v>37.186692773166044</v>
      </c>
      <c r="M181" s="12">
        <v>41.229377773012715</v>
      </c>
      <c r="N181" s="12">
        <v>44.916747362229778</v>
      </c>
      <c r="O181" s="12">
        <v>47.699295534749872</v>
      </c>
      <c r="P181" s="12">
        <v>49.876800958156473</v>
      </c>
      <c r="Q181" s="12">
        <v>51.271656543925765</v>
      </c>
    </row>
    <row r="182" spans="9:17" ht="15.75" customHeight="1" x14ac:dyDescent="0.25">
      <c r="I182" s="12" t="s">
        <v>843</v>
      </c>
      <c r="J182" s="12">
        <v>20.996427945518999</v>
      </c>
      <c r="K182" s="12">
        <v>25.491360025404003</v>
      </c>
      <c r="L182" s="12">
        <v>30.547421569079997</v>
      </c>
      <c r="M182" s="12">
        <v>33.024909051576003</v>
      </c>
      <c r="N182" s="12">
        <v>35.898836159393994</v>
      </c>
      <c r="O182" s="12">
        <v>37.688749703397008</v>
      </c>
      <c r="P182" s="12">
        <v>38.537161552070998</v>
      </c>
      <c r="Q182" s="12">
        <v>39.804000484833004</v>
      </c>
    </row>
    <row r="183" spans="9:17" ht="15.75" customHeight="1" x14ac:dyDescent="0.25">
      <c r="I183" s="12" t="s">
        <v>63</v>
      </c>
      <c r="J183" s="12">
        <v>20.905026160941002</v>
      </c>
      <c r="K183" s="12">
        <v>24.237831286772998</v>
      </c>
      <c r="L183" s="12">
        <v>30.190576998933</v>
      </c>
      <c r="M183" s="12">
        <v>32.705944935650997</v>
      </c>
      <c r="N183" s="12">
        <v>34.889889701978994</v>
      </c>
      <c r="O183" s="12">
        <v>36.650082548313001</v>
      </c>
      <c r="P183" s="12">
        <v>38.097377307522002</v>
      </c>
      <c r="Q183" s="12">
        <v>38.853150470433008</v>
      </c>
    </row>
    <row r="184" spans="9:17" ht="15.75" customHeight="1" x14ac:dyDescent="0.25">
      <c r="I184" s="12" t="s">
        <v>22</v>
      </c>
      <c r="J184" s="12">
        <v>17.551047751146001</v>
      </c>
      <c r="K184" s="12">
        <v>20.045582670203999</v>
      </c>
      <c r="L184" s="12">
        <v>30.990463460658003</v>
      </c>
      <c r="M184" s="12">
        <v>37.844807772446998</v>
      </c>
      <c r="N184" s="12">
        <v>40.179621309749997</v>
      </c>
      <c r="O184" s="12">
        <v>41.761107999819004</v>
      </c>
      <c r="P184" s="12">
        <v>43.302257494001999</v>
      </c>
      <c r="Q184" s="12">
        <v>43.799493666006001</v>
      </c>
    </row>
    <row r="185" spans="9:17" ht="15.75" customHeight="1" x14ac:dyDescent="0.25">
      <c r="I185" s="12" t="s">
        <v>784</v>
      </c>
      <c r="J185" s="12">
        <v>15.484369752577541</v>
      </c>
      <c r="K185" s="12">
        <v>15.267547210351818</v>
      </c>
      <c r="L185" s="12">
        <v>16.076228516171685</v>
      </c>
      <c r="M185" s="12">
        <v>18.475113595146638</v>
      </c>
      <c r="N185" s="12">
        <v>25.499449139045872</v>
      </c>
      <c r="O185" s="12">
        <v>28.021512547352661</v>
      </c>
      <c r="P185" s="12">
        <v>25.226404215831689</v>
      </c>
      <c r="Q185" s="12">
        <v>26.973992561674077</v>
      </c>
    </row>
    <row r="186" spans="9:17" ht="15.75" customHeight="1" x14ac:dyDescent="0.25">
      <c r="I186" s="12" t="s">
        <v>844</v>
      </c>
      <c r="J186" s="12">
        <v>13.877034192216</v>
      </c>
      <c r="K186" s="12">
        <v>17.954588421432</v>
      </c>
      <c r="L186" s="12">
        <v>24.371681055696005</v>
      </c>
      <c r="M186" s="12">
        <v>27.021204906228</v>
      </c>
      <c r="N186" s="12">
        <v>29.437859598029998</v>
      </c>
      <c r="O186" s="12">
        <v>31.261505949063</v>
      </c>
      <c r="P186" s="12">
        <v>32.688615049622996</v>
      </c>
      <c r="Q186" s="12">
        <v>33.602785493940004</v>
      </c>
    </row>
    <row r="187" spans="9:17" ht="15.75" customHeight="1" x14ac:dyDescent="0.25">
      <c r="I187" s="12" t="s">
        <v>13</v>
      </c>
      <c r="J187" s="12">
        <v>9.4202649837693002</v>
      </c>
      <c r="K187" s="12">
        <v>8.8971488688237894</v>
      </c>
      <c r="L187" s="12">
        <v>10.809495075642701</v>
      </c>
      <c r="M187" s="12">
        <v>11.944874310089356</v>
      </c>
      <c r="N187" s="12">
        <v>13.287214218828185</v>
      </c>
      <c r="O187" s="12">
        <v>14.355702223711937</v>
      </c>
      <c r="P187" s="12">
        <v>15.630732976072419</v>
      </c>
      <c r="Q187" s="12">
        <v>16.864994934098721</v>
      </c>
    </row>
    <row r="188" spans="9:17" ht="15.75" customHeight="1" x14ac:dyDescent="0.25">
      <c r="I188" s="12" t="s">
        <v>832</v>
      </c>
      <c r="J188" s="12">
        <v>9.4202649837692984</v>
      </c>
      <c r="K188" s="12">
        <v>13.936113077570406</v>
      </c>
      <c r="L188" s="12">
        <v>18.754767902286247</v>
      </c>
      <c r="M188" s="12">
        <v>22.369962611540721</v>
      </c>
      <c r="N188" s="12">
        <v>25.612524998362172</v>
      </c>
      <c r="O188" s="12">
        <v>27.580685197432587</v>
      </c>
      <c r="P188" s="12">
        <v>29.099592320712304</v>
      </c>
      <c r="Q188" s="12">
        <v>30.008644929154396</v>
      </c>
    </row>
    <row r="189" spans="9:17" ht="15.75" customHeight="1" x14ac:dyDescent="0.25">
      <c r="I189" s="12" t="s">
        <v>782</v>
      </c>
      <c r="J189" s="12">
        <v>9.3223337201280021</v>
      </c>
      <c r="K189" s="12">
        <v>13.72703456943</v>
      </c>
      <c r="L189" s="12">
        <v>19.950516625104001</v>
      </c>
      <c r="M189" s="12">
        <v>22.011837567057004</v>
      </c>
      <c r="N189" s="12">
        <v>24.103288663623001</v>
      </c>
      <c r="O189" s="12">
        <v>25.621477290980998</v>
      </c>
      <c r="P189" s="12">
        <v>26.186885200710002</v>
      </c>
      <c r="Q189" s="12">
        <v>26.538456117069</v>
      </c>
    </row>
    <row r="190" spans="9:17" ht="15.75" customHeight="1" x14ac:dyDescent="0.25">
      <c r="I190" s="12" t="s">
        <v>17</v>
      </c>
      <c r="J190" s="12">
        <v>8.6667911578505592</v>
      </c>
      <c r="K190" s="12">
        <v>8.1855161483523844</v>
      </c>
      <c r="L190" s="12">
        <v>9.9449045758078007</v>
      </c>
      <c r="M190" s="12">
        <v>10.989471233631489</v>
      </c>
      <c r="N190" s="12">
        <v>12.224444949544161</v>
      </c>
      <c r="O190" s="12">
        <v>13.207470629708267</v>
      </c>
      <c r="P190" s="12">
        <v>14.380518868753001</v>
      </c>
      <c r="Q190" s="12">
        <v>15.516059179213938</v>
      </c>
    </row>
    <row r="191" spans="9:17" ht="15.75" customHeight="1" x14ac:dyDescent="0.25">
      <c r="I191" s="12" t="s">
        <v>841</v>
      </c>
      <c r="J191" s="12">
        <v>7.1598435060130816</v>
      </c>
      <c r="K191" s="12">
        <v>6.7622507074095797</v>
      </c>
      <c r="L191" s="12">
        <v>8.215723576138009</v>
      </c>
      <c r="M191" s="12">
        <v>9.0786650807157603</v>
      </c>
      <c r="N191" s="12">
        <v>10.098906410976124</v>
      </c>
      <c r="O191" s="12">
        <v>10.911007441700926</v>
      </c>
      <c r="P191" s="12">
        <v>11.88009065411417</v>
      </c>
      <c r="Q191" s="12">
        <v>12.818187669444375</v>
      </c>
    </row>
    <row r="192" spans="9:17" ht="15.75" customHeight="1" x14ac:dyDescent="0.25">
      <c r="I192" s="12" t="s">
        <v>845</v>
      </c>
      <c r="J192" s="12">
        <v>4.7686256124390001</v>
      </c>
      <c r="K192" s="12">
        <v>4.4696661221159992</v>
      </c>
      <c r="L192" s="12">
        <v>4.7636988596730001</v>
      </c>
      <c r="M192" s="12">
        <v>5.3431827996689991</v>
      </c>
      <c r="N192" s="12">
        <v>5.6996757297089999</v>
      </c>
      <c r="O192" s="12">
        <v>5.8174002880109992</v>
      </c>
      <c r="P192" s="12">
        <v>6.0810886643129995</v>
      </c>
      <c r="Q192" s="12">
        <v>6.2797274120880004</v>
      </c>
    </row>
    <row r="193" spans="9:17" ht="15.75" customHeight="1" x14ac:dyDescent="0.25"/>
    <row r="194" spans="9:17" ht="15.75" customHeight="1" x14ac:dyDescent="0.25"/>
    <row r="195" spans="9:17" ht="15.75" customHeight="1" x14ac:dyDescent="0.25"/>
    <row r="196" spans="9:17" ht="15.75" customHeight="1" x14ac:dyDescent="0.25"/>
    <row r="197" spans="9:17" ht="15.75" customHeight="1" x14ac:dyDescent="0.25">
      <c r="I197" s="12" t="s">
        <v>849</v>
      </c>
    </row>
    <row r="198" spans="9:17" ht="15.75" customHeight="1" x14ac:dyDescent="0.25">
      <c r="I198" s="12" t="s">
        <v>847</v>
      </c>
      <c r="J198" s="12">
        <v>2019</v>
      </c>
      <c r="K198" s="12">
        <v>2020</v>
      </c>
      <c r="L198" s="12">
        <v>2025</v>
      </c>
      <c r="M198" s="12">
        <v>2030</v>
      </c>
      <c r="N198" s="12">
        <v>2035</v>
      </c>
      <c r="O198" s="12">
        <v>2040</v>
      </c>
      <c r="P198" s="12">
        <v>2045</v>
      </c>
      <c r="Q198" s="12">
        <v>2050</v>
      </c>
    </row>
    <row r="199" spans="9:17" ht="15.75" customHeight="1" x14ac:dyDescent="0.25">
      <c r="I199" s="12" t="s">
        <v>74</v>
      </c>
      <c r="J199" s="12">
        <v>27.015813128159731</v>
      </c>
      <c r="K199" s="12">
        <v>20.762217418713881</v>
      </c>
      <c r="L199" s="12">
        <v>20.285771846776306</v>
      </c>
      <c r="M199" s="12">
        <v>21.032357372857387</v>
      </c>
      <c r="N199" s="12">
        <v>21.1954408429634</v>
      </c>
      <c r="O199" s="12">
        <v>21.496194086339983</v>
      </c>
      <c r="P199" s="12">
        <v>21.624810811928342</v>
      </c>
      <c r="Q199" s="12">
        <v>21.746284069233294</v>
      </c>
    </row>
    <row r="200" spans="9:17" ht="15.75" customHeight="1" x14ac:dyDescent="0.25">
      <c r="I200" s="12" t="s">
        <v>846</v>
      </c>
      <c r="J200" s="12">
        <v>21.450884058013838</v>
      </c>
      <c r="K200" s="12">
        <v>21.173796174722664</v>
      </c>
      <c r="L200" s="12">
        <v>15.995593051497483</v>
      </c>
      <c r="M200" s="12">
        <v>16.640750940798355</v>
      </c>
      <c r="N200" s="12">
        <v>16.949502984384424</v>
      </c>
      <c r="O200" s="12">
        <v>17.366044830737749</v>
      </c>
      <c r="P200" s="12">
        <v>17.587039160074951</v>
      </c>
      <c r="Q200" s="12">
        <v>17.585917982489683</v>
      </c>
    </row>
    <row r="201" spans="9:17" ht="15.75" customHeight="1" x14ac:dyDescent="0.25">
      <c r="I201" s="12" t="s">
        <v>843</v>
      </c>
      <c r="J201" s="12">
        <v>20.996496188342999</v>
      </c>
      <c r="K201" s="12">
        <v>16.800970020588</v>
      </c>
      <c r="L201" s="12">
        <v>15.861653043444001</v>
      </c>
      <c r="M201" s="12">
        <v>16.501408666469999</v>
      </c>
      <c r="N201" s="12">
        <v>16.807575357260998</v>
      </c>
      <c r="O201" s="12">
        <v>17.220629266776005</v>
      </c>
      <c r="P201" s="12">
        <v>17.439773087529002</v>
      </c>
      <c r="Q201" s="12">
        <v>17.438661298188002</v>
      </c>
    </row>
    <row r="202" spans="9:17" ht="15.75" customHeight="1" x14ac:dyDescent="0.25">
      <c r="I202" s="12" t="s">
        <v>63</v>
      </c>
      <c r="J202" s="12">
        <v>20.905036586927999</v>
      </c>
      <c r="K202" s="12">
        <v>16.065957841245002</v>
      </c>
      <c r="L202" s="12">
        <v>15.697280723669998</v>
      </c>
      <c r="M202" s="12">
        <v>16.27499414151</v>
      </c>
      <c r="N202" s="12">
        <v>16.401189340340999</v>
      </c>
      <c r="O202" s="12">
        <v>16.633914430887</v>
      </c>
      <c r="P202" s="12">
        <v>16.733439007154999</v>
      </c>
      <c r="Q202" s="12">
        <v>16.827435914678997</v>
      </c>
    </row>
    <row r="203" spans="9:17" ht="15.75" customHeight="1" x14ac:dyDescent="0.25">
      <c r="I203" s="12" t="s">
        <v>22</v>
      </c>
      <c r="J203" s="12">
        <v>17.551159593552001</v>
      </c>
      <c r="K203" s="12">
        <v>14.072073131025002</v>
      </c>
      <c r="L203" s="12">
        <v>12.941376736509</v>
      </c>
      <c r="M203" s="12">
        <v>13.627454071959001</v>
      </c>
      <c r="N203" s="12">
        <v>13.724267891606999</v>
      </c>
      <c r="O203" s="12">
        <v>13.898379031056001</v>
      </c>
      <c r="P203" s="12">
        <v>14.022830246607001</v>
      </c>
      <c r="Q203" s="12">
        <v>14.158405990287001</v>
      </c>
    </row>
    <row r="204" spans="9:17" ht="15.75" customHeight="1" x14ac:dyDescent="0.25">
      <c r="I204" s="12" t="s">
        <v>784</v>
      </c>
      <c r="J204" s="12">
        <v>15.484369752577541</v>
      </c>
      <c r="K204" s="12">
        <v>14.985124420878694</v>
      </c>
      <c r="L204" s="12">
        <v>16.817830628094004</v>
      </c>
      <c r="M204" s="12">
        <v>19.685127241940332</v>
      </c>
      <c r="N204" s="12">
        <v>20.70291143663777</v>
      </c>
      <c r="O204" s="12">
        <v>22.056181233953279</v>
      </c>
      <c r="P204" s="12">
        <v>22.660588635791161</v>
      </c>
      <c r="Q204" s="12">
        <v>22.956590844506614</v>
      </c>
    </row>
    <row r="205" spans="9:17" ht="15.75" customHeight="1" x14ac:dyDescent="0.25">
      <c r="I205" s="12" t="s">
        <v>844</v>
      </c>
      <c r="J205" s="12">
        <v>13.877034192216</v>
      </c>
      <c r="K205" s="12">
        <v>9.1943784251280007</v>
      </c>
      <c r="L205" s="12">
        <v>9.1138357799190004</v>
      </c>
      <c r="M205" s="12">
        <v>9.6202240728750006</v>
      </c>
      <c r="N205" s="12">
        <v>9.9838720734479978</v>
      </c>
      <c r="O205" s="12">
        <v>10.420767371781</v>
      </c>
      <c r="P205" s="12">
        <v>10.711293186438001</v>
      </c>
      <c r="Q205" s="12">
        <v>10.917375141114</v>
      </c>
    </row>
    <row r="206" spans="9:17" ht="15.75" customHeight="1" x14ac:dyDescent="0.25">
      <c r="I206" s="12" t="s">
        <v>13</v>
      </c>
      <c r="J206" s="12">
        <v>9.4202649837693002</v>
      </c>
      <c r="K206" s="12">
        <v>8.8971488688237894</v>
      </c>
      <c r="L206" s="12">
        <v>10.809495075642701</v>
      </c>
      <c r="M206" s="12">
        <v>11.944874310089356</v>
      </c>
      <c r="N206" s="12">
        <v>13.287214218828185</v>
      </c>
      <c r="O206" s="12">
        <v>14.355702223711937</v>
      </c>
      <c r="P206" s="12">
        <v>15.630732976072419</v>
      </c>
      <c r="Q206" s="12">
        <v>16.864994934098721</v>
      </c>
    </row>
    <row r="207" spans="9:17" ht="15.75" customHeight="1" x14ac:dyDescent="0.25">
      <c r="I207" s="12" t="s">
        <v>832</v>
      </c>
      <c r="J207" s="12">
        <v>9.4202649837692984</v>
      </c>
      <c r="K207" s="12">
        <v>5.5410245813461438</v>
      </c>
      <c r="L207" s="12">
        <v>5.8260146701732038</v>
      </c>
      <c r="M207" s="12">
        <v>6.2035295029981778</v>
      </c>
      <c r="N207" s="12">
        <v>6.5878743248971627</v>
      </c>
      <c r="O207" s="12">
        <v>6.9782551418962697</v>
      </c>
      <c r="P207" s="12">
        <v>7.3046487848961918</v>
      </c>
      <c r="Q207" s="12">
        <v>7.4251670907905236</v>
      </c>
    </row>
    <row r="208" spans="9:17" ht="15.75" customHeight="1" x14ac:dyDescent="0.25">
      <c r="I208" s="12" t="s">
        <v>782</v>
      </c>
      <c r="J208" s="12">
        <v>9.1459288635389999</v>
      </c>
      <c r="K208" s="12">
        <v>6.5706295100940002</v>
      </c>
      <c r="L208" s="12">
        <v>7.048325486826001</v>
      </c>
      <c r="M208" s="12">
        <v>7.4524272647759995</v>
      </c>
      <c r="N208" s="12">
        <v>7.4661573418380005</v>
      </c>
      <c r="O208" s="12">
        <v>7.3779165269550004</v>
      </c>
      <c r="P208" s="12">
        <v>7.0998848359920004</v>
      </c>
      <c r="Q208" s="12">
        <v>6.9238704800070003</v>
      </c>
    </row>
    <row r="209" spans="8:17" ht="15.75" customHeight="1" x14ac:dyDescent="0.25">
      <c r="I209" s="12" t="s">
        <v>17</v>
      </c>
      <c r="J209" s="12">
        <v>8.6667911578505592</v>
      </c>
      <c r="K209" s="12">
        <v>8.1855161483523844</v>
      </c>
      <c r="L209" s="12">
        <v>9.9449045758078007</v>
      </c>
      <c r="M209" s="12">
        <v>10.989471233631489</v>
      </c>
      <c r="N209" s="12">
        <v>12.224444949544161</v>
      </c>
      <c r="O209" s="12">
        <v>13.207470629708267</v>
      </c>
      <c r="P209" s="12">
        <v>14.380518868753001</v>
      </c>
      <c r="Q209" s="12">
        <v>15.516059179213938</v>
      </c>
    </row>
    <row r="210" spans="8:17" ht="15.75" customHeight="1" x14ac:dyDescent="0.25">
      <c r="I210" s="12" t="s">
        <v>841</v>
      </c>
      <c r="J210" s="12">
        <v>7.1598435060130816</v>
      </c>
      <c r="K210" s="12">
        <v>6.7622507074095797</v>
      </c>
      <c r="L210" s="12">
        <v>8.215723576138009</v>
      </c>
      <c r="M210" s="12">
        <v>9.0786650807157603</v>
      </c>
      <c r="N210" s="12">
        <v>10.098906410976124</v>
      </c>
      <c r="O210" s="12">
        <v>10.911007441700926</v>
      </c>
      <c r="P210" s="12">
        <v>11.88009065411417</v>
      </c>
      <c r="Q210" s="12">
        <v>12.818187669444375</v>
      </c>
    </row>
    <row r="211" spans="8:17" ht="15.75" customHeight="1" x14ac:dyDescent="0.25">
      <c r="I211" s="12" t="s">
        <v>845</v>
      </c>
      <c r="J211" s="12">
        <v>4.7689696700100006</v>
      </c>
      <c r="K211" s="12">
        <v>4.5224329901400004</v>
      </c>
      <c r="L211" s="12">
        <v>4.9892669840520005</v>
      </c>
      <c r="M211" s="12">
        <v>5.3724049455960001</v>
      </c>
      <c r="N211" s="12">
        <v>5.4102105222750003</v>
      </c>
      <c r="O211" s="12">
        <v>5.5797465490649998</v>
      </c>
      <c r="P211" s="12">
        <v>5.6580807806640001</v>
      </c>
      <c r="Q211" s="12">
        <v>5.7504237475230005</v>
      </c>
    </row>
    <row r="212" spans="8:17" ht="15.75" customHeight="1" x14ac:dyDescent="0.25"/>
    <row r="213" spans="8:17" ht="15.75" customHeight="1" x14ac:dyDescent="0.25"/>
    <row r="214" spans="8:17" ht="15.75" customHeight="1" x14ac:dyDescent="0.25"/>
    <row r="215" spans="8:17" ht="15.75" customHeight="1" x14ac:dyDescent="0.25">
      <c r="I215" s="12" t="s">
        <v>850</v>
      </c>
    </row>
    <row r="216" spans="8:17" ht="15.75" customHeight="1" x14ac:dyDescent="0.25">
      <c r="I216" s="14"/>
      <c r="J216" s="14">
        <v>2019</v>
      </c>
      <c r="K216" s="14">
        <v>2020</v>
      </c>
      <c r="L216" s="14">
        <v>2025</v>
      </c>
      <c r="M216" s="14">
        <v>2030</v>
      </c>
      <c r="N216" s="14">
        <v>2035</v>
      </c>
      <c r="O216" s="14">
        <v>2040</v>
      </c>
      <c r="P216" s="14">
        <v>2045</v>
      </c>
      <c r="Q216" s="14">
        <v>2050</v>
      </c>
    </row>
    <row r="217" spans="8:17" ht="15.75" customHeight="1" x14ac:dyDescent="0.25">
      <c r="H217" s="12" t="s">
        <v>74</v>
      </c>
      <c r="I217" s="14" t="s">
        <v>32</v>
      </c>
      <c r="J217" s="14">
        <v>27.015813128159731</v>
      </c>
      <c r="K217" s="14">
        <v>25.474061558177858</v>
      </c>
      <c r="L217" s="14">
        <v>25.351065720485089</v>
      </c>
      <c r="M217" s="14">
        <v>26.450334818933815</v>
      </c>
      <c r="N217" s="14">
        <v>27.615453205181815</v>
      </c>
      <c r="O217" s="14">
        <v>28.895174584628517</v>
      </c>
      <c r="P217" s="14">
        <v>29.877035725796304</v>
      </c>
      <c r="Q217" s="14">
        <v>30.294950876544668</v>
      </c>
    </row>
    <row r="218" spans="8:17" ht="15.75" customHeight="1" x14ac:dyDescent="0.25">
      <c r="H218" s="12" t="s">
        <v>846</v>
      </c>
      <c r="I218" s="14" t="s">
        <v>102</v>
      </c>
      <c r="J218" s="14">
        <v>22.236027134154664</v>
      </c>
      <c r="K218" s="14">
        <v>21.173796174722664</v>
      </c>
      <c r="L218" s="14">
        <v>20.369778820328239</v>
      </c>
      <c r="M218" s="14">
        <v>21.667421243565386</v>
      </c>
      <c r="N218" s="14">
        <v>23.39959869387344</v>
      </c>
      <c r="O218" s="14">
        <v>25.242091824603278</v>
      </c>
      <c r="P218" s="14">
        <v>26.865369418442533</v>
      </c>
      <c r="Q218" s="14">
        <v>27.834179136082643</v>
      </c>
    </row>
    <row r="219" spans="8:17" ht="15.75" customHeight="1" x14ac:dyDescent="0.25">
      <c r="H219" s="12" t="s">
        <v>60</v>
      </c>
      <c r="I219" s="14" t="s">
        <v>8</v>
      </c>
      <c r="J219" s="14">
        <v>20.996442162773999</v>
      </c>
      <c r="K219" s="14">
        <v>20.268611592839996</v>
      </c>
      <c r="L219" s="14">
        <v>19.15508774673</v>
      </c>
      <c r="M219" s="14">
        <v>20.227572064557002</v>
      </c>
      <c r="N219" s="14">
        <v>21.021596278137004</v>
      </c>
      <c r="O219" s="14">
        <v>22.294317363200999</v>
      </c>
      <c r="P219" s="14">
        <v>23.439072727278003</v>
      </c>
      <c r="Q219" s="14">
        <v>23.937589400048996</v>
      </c>
    </row>
    <row r="220" spans="8:17" ht="15.75" customHeight="1" x14ac:dyDescent="0.25">
      <c r="H220" s="12" t="s">
        <v>74</v>
      </c>
      <c r="I220" s="14" t="s">
        <v>14</v>
      </c>
      <c r="J220" s="14">
        <v>20.905026160941002</v>
      </c>
      <c r="K220" s="14">
        <v>19.712007955223999</v>
      </c>
      <c r="L220" s="14">
        <v>19.616832911168999</v>
      </c>
      <c r="M220" s="14">
        <v>20.467455069087002</v>
      </c>
      <c r="N220" s="14">
        <v>21.369031868925003</v>
      </c>
      <c r="O220" s="14">
        <v>22.359289270733999</v>
      </c>
      <c r="P220" s="14">
        <v>23.119060325751001</v>
      </c>
      <c r="Q220" s="14">
        <v>23.442446007980998</v>
      </c>
    </row>
    <row r="221" spans="8:17" ht="15.75" customHeight="1" x14ac:dyDescent="0.25">
      <c r="H221" s="12" t="s">
        <v>22</v>
      </c>
      <c r="I221" s="14" t="s">
        <v>22</v>
      </c>
      <c r="J221" s="14">
        <v>17.551115993970004</v>
      </c>
      <c r="K221" s="14">
        <v>16.846269986286</v>
      </c>
      <c r="L221" s="14">
        <v>18.477481999626001</v>
      </c>
      <c r="M221" s="14">
        <v>20.564194959009001</v>
      </c>
      <c r="N221" s="14">
        <v>21.505640733134999</v>
      </c>
      <c r="O221" s="14">
        <v>22.988122250652001</v>
      </c>
      <c r="P221" s="14">
        <v>24.341681699829</v>
      </c>
      <c r="Q221" s="14">
        <v>25.08799564908</v>
      </c>
    </row>
    <row r="222" spans="8:17" ht="15.75" customHeight="1" x14ac:dyDescent="0.25">
      <c r="H222" s="12" t="s">
        <v>784</v>
      </c>
      <c r="I222" s="14" t="s">
        <v>30</v>
      </c>
      <c r="J222" s="14">
        <v>15.484369752577541</v>
      </c>
      <c r="K222" s="14">
        <v>15.095843745097101</v>
      </c>
      <c r="L222" s="14">
        <v>16.606094766013509</v>
      </c>
      <c r="M222" s="14">
        <v>19.195360613772024</v>
      </c>
      <c r="N222" s="14">
        <v>19.493995795690402</v>
      </c>
      <c r="O222" s="14">
        <v>20.098201522985082</v>
      </c>
      <c r="P222" s="14">
        <v>22.242595736720517</v>
      </c>
      <c r="Q222" s="14">
        <v>22.85054364720574</v>
      </c>
    </row>
    <row r="223" spans="8:17" ht="15.75" customHeight="1" x14ac:dyDescent="0.25">
      <c r="H223" s="12" t="s">
        <v>779</v>
      </c>
      <c r="I223" s="14" t="s">
        <v>18</v>
      </c>
      <c r="J223" s="14">
        <v>13.877034192216</v>
      </c>
      <c r="K223" s="14">
        <v>13.180861657898999</v>
      </c>
      <c r="L223" s="14">
        <v>13.350091539797999</v>
      </c>
      <c r="M223" s="14">
        <v>14.200549725374998</v>
      </c>
      <c r="N223" s="14">
        <v>15.335796589308</v>
      </c>
      <c r="O223" s="14">
        <v>16.543342934001</v>
      </c>
      <c r="P223" s="14">
        <v>17.607218230017001</v>
      </c>
      <c r="Q223" s="14">
        <v>18.242163681768002</v>
      </c>
    </row>
    <row r="224" spans="8:17" ht="15.75" customHeight="1" x14ac:dyDescent="0.25">
      <c r="H224" s="12" t="s">
        <v>13</v>
      </c>
      <c r="I224" s="14" t="s">
        <v>13</v>
      </c>
      <c r="J224" s="14">
        <v>9.4202649837692984</v>
      </c>
      <c r="K224" s="14">
        <v>9.0952086730910686</v>
      </c>
      <c r="L224" s="14">
        <v>9.6563405564494822</v>
      </c>
      <c r="M224" s="14">
        <v>10.345060172014255</v>
      </c>
      <c r="N224" s="14">
        <v>11.440741884468556</v>
      </c>
      <c r="O224" s="14">
        <v>12.52013047891119</v>
      </c>
      <c r="P224" s="14">
        <v>13.606968920228624</v>
      </c>
      <c r="Q224" s="14">
        <v>14.133951193094239</v>
      </c>
    </row>
    <row r="225" spans="8:17" ht="15.75" customHeight="1" x14ac:dyDescent="0.25">
      <c r="H225" s="12" t="s">
        <v>832</v>
      </c>
      <c r="I225" s="14" t="s">
        <v>832</v>
      </c>
      <c r="J225" s="14">
        <v>9.4202649837692984</v>
      </c>
      <c r="K225" s="14">
        <v>9.0952086730910686</v>
      </c>
      <c r="L225" s="14">
        <v>9.6563405564494822</v>
      </c>
      <c r="M225" s="14">
        <v>10.345060172014255</v>
      </c>
      <c r="N225" s="14">
        <v>11.440741884468556</v>
      </c>
      <c r="O225" s="14">
        <v>12.52013047891119</v>
      </c>
      <c r="P225" s="14">
        <v>13.606968920228624</v>
      </c>
      <c r="Q225" s="14">
        <v>14.133951193094239</v>
      </c>
    </row>
    <row r="226" spans="8:17" ht="15.75" customHeight="1" x14ac:dyDescent="0.25">
      <c r="H226" s="12" t="s">
        <v>782</v>
      </c>
      <c r="I226" s="14" t="s">
        <v>26</v>
      </c>
      <c r="J226" s="14">
        <v>9.2394916708770012</v>
      </c>
      <c r="K226" s="14">
        <v>9.3714922488330004</v>
      </c>
      <c r="L226" s="14">
        <v>8.7294125785230001</v>
      </c>
      <c r="M226" s="14">
        <v>10.011694293666002</v>
      </c>
      <c r="N226" s="14">
        <v>10.855830539853001</v>
      </c>
      <c r="O226" s="14">
        <v>12.037304334510001</v>
      </c>
      <c r="P226" s="14">
        <v>12.836904555501</v>
      </c>
      <c r="Q226" s="14">
        <v>13.911046605260999</v>
      </c>
    </row>
    <row r="227" spans="8:17" ht="15.75" customHeight="1" x14ac:dyDescent="0.25">
      <c r="H227" s="12" t="s">
        <v>17</v>
      </c>
      <c r="I227" s="14" t="s">
        <v>17</v>
      </c>
      <c r="J227" s="14">
        <v>8.6667911578505574</v>
      </c>
      <c r="K227" s="14">
        <v>8.3677342667712189</v>
      </c>
      <c r="L227" s="14">
        <v>8.8839843779366507</v>
      </c>
      <c r="M227" s="14">
        <v>9.5176171987436362</v>
      </c>
      <c r="N227" s="14">
        <v>10.525661515297232</v>
      </c>
      <c r="O227" s="14">
        <v>11.518715908386824</v>
      </c>
      <c r="P227" s="14">
        <v>12.518624277148344</v>
      </c>
      <c r="Q227" s="14">
        <v>13.003456212416074</v>
      </c>
    </row>
    <row r="228" spans="8:17" ht="15.75" customHeight="1" x14ac:dyDescent="0.25">
      <c r="H228" s="12" t="s">
        <v>841</v>
      </c>
      <c r="I228" s="14" t="s">
        <v>841</v>
      </c>
      <c r="J228" s="14">
        <v>7.1598435060130807</v>
      </c>
      <c r="K228" s="14">
        <v>6.9127854541315239</v>
      </c>
      <c r="L228" s="14">
        <v>7.3392720209109932</v>
      </c>
      <c r="M228" s="14">
        <v>7.862731252202404</v>
      </c>
      <c r="N228" s="14">
        <v>8.6955007769545887</v>
      </c>
      <c r="O228" s="14">
        <v>9.5158867673380989</v>
      </c>
      <c r="P228" s="14">
        <v>10.341934990987788</v>
      </c>
      <c r="Q228" s="14">
        <v>10.742466251059749</v>
      </c>
    </row>
    <row r="229" spans="8:17" ht="15.75" customHeight="1" x14ac:dyDescent="0.25">
      <c r="H229" s="12" t="s">
        <v>845</v>
      </c>
      <c r="I229" s="14" t="s">
        <v>7</v>
      </c>
      <c r="J229" s="14">
        <v>4.7685943344780002</v>
      </c>
      <c r="K229" s="14">
        <v>4.5008085452850004</v>
      </c>
      <c r="L229" s="14">
        <v>4.4508415286790006</v>
      </c>
      <c r="M229" s="14">
        <v>4.6175426348219997</v>
      </c>
      <c r="N229" s="14">
        <v>4.6119590448749994</v>
      </c>
      <c r="O229" s="14">
        <v>4.5693793139669996</v>
      </c>
      <c r="P229" s="14">
        <v>4.4781746753250005</v>
      </c>
      <c r="Q229" s="14">
        <v>4.4311487348699998</v>
      </c>
    </row>
    <row r="230" spans="8:17" ht="15.75" customHeight="1" x14ac:dyDescent="0.25"/>
    <row r="231" spans="8:17" ht="15.75" customHeight="1" x14ac:dyDescent="0.25"/>
    <row r="232" spans="8:17" ht="15.75" customHeight="1" x14ac:dyDescent="0.25">
      <c r="I232" s="14" t="s">
        <v>851</v>
      </c>
    </row>
    <row r="233" spans="8:17" ht="15.75" customHeight="1" x14ac:dyDescent="0.25">
      <c r="I233" s="14" t="s">
        <v>847</v>
      </c>
      <c r="J233" s="12">
        <v>2019</v>
      </c>
      <c r="K233" s="12">
        <v>2020</v>
      </c>
      <c r="L233" s="12">
        <v>2025</v>
      </c>
      <c r="M233" s="12">
        <v>2030</v>
      </c>
      <c r="N233" s="12">
        <v>2035</v>
      </c>
      <c r="O233" s="12">
        <v>2040</v>
      </c>
      <c r="P233" s="12">
        <v>2045</v>
      </c>
      <c r="Q233" s="12">
        <v>2050</v>
      </c>
    </row>
    <row r="234" spans="8:17" ht="15.75" customHeight="1" x14ac:dyDescent="0.25">
      <c r="H234" s="12" t="s">
        <v>74</v>
      </c>
      <c r="I234" s="12" t="s">
        <v>32</v>
      </c>
      <c r="J234" s="12">
        <v>27.015813128159731</v>
      </c>
      <c r="K234" s="12">
        <v>26.062049484430577</v>
      </c>
      <c r="L234" s="12">
        <v>27.26293166627044</v>
      </c>
      <c r="M234" s="12">
        <v>28.990379051104217</v>
      </c>
      <c r="N234" s="12">
        <v>31.697009911247882</v>
      </c>
      <c r="O234" s="12">
        <v>32.967623003898666</v>
      </c>
      <c r="P234" s="12">
        <v>34.607787018684213</v>
      </c>
      <c r="Q234" s="12">
        <v>35.963817996706439</v>
      </c>
    </row>
    <row r="235" spans="8:17" ht="15.75" customHeight="1" x14ac:dyDescent="0.25">
      <c r="H235" s="12" t="s">
        <v>846</v>
      </c>
      <c r="I235" s="12" t="s">
        <v>102</v>
      </c>
      <c r="J235" s="232">
        <v>21.475872844615932</v>
      </c>
      <c r="K235" s="232">
        <v>21.173796174722664</v>
      </c>
      <c r="L235" s="232">
        <v>23.09908472316074</v>
      </c>
      <c r="M235" s="232">
        <v>25.352291121728861</v>
      </c>
      <c r="N235" s="232">
        <v>28.770631310279356</v>
      </c>
      <c r="O235" s="232">
        <v>30.877675811857468</v>
      </c>
      <c r="P235" s="232">
        <v>33.171074715211802</v>
      </c>
      <c r="Q235" s="232">
        <v>35.177965790480719</v>
      </c>
    </row>
    <row r="236" spans="8:17" ht="15.75" customHeight="1" x14ac:dyDescent="0.25">
      <c r="H236" s="12" t="s">
        <v>60</v>
      </c>
      <c r="I236" s="12" t="s">
        <v>8</v>
      </c>
      <c r="J236" s="12">
        <v>20.996450693126999</v>
      </c>
      <c r="K236" s="12">
        <v>20.789779196276999</v>
      </c>
      <c r="L236" s="12">
        <v>21.49552278666</v>
      </c>
      <c r="M236" s="12">
        <v>22.787761319388</v>
      </c>
      <c r="N236" s="12">
        <v>24.782312344958999</v>
      </c>
      <c r="O236" s="12">
        <v>26.081950485006001</v>
      </c>
      <c r="P236" s="12">
        <v>27.657616630877996</v>
      </c>
      <c r="Q236" s="12">
        <v>28.857208895307</v>
      </c>
    </row>
    <row r="237" spans="8:17" ht="15.75" customHeight="1" x14ac:dyDescent="0.25">
      <c r="H237" s="12" t="s">
        <v>74</v>
      </c>
      <c r="I237" s="12" t="s">
        <v>14</v>
      </c>
      <c r="J237" s="12">
        <v>20.905028056574999</v>
      </c>
      <c r="K237" s="12">
        <v>20.166998975720997</v>
      </c>
      <c r="L237" s="12">
        <v>21.096250136325001</v>
      </c>
      <c r="M237" s="12">
        <v>22.432961190509999</v>
      </c>
      <c r="N237" s="12">
        <v>24.527371371749997</v>
      </c>
      <c r="O237" s="12">
        <v>25.510580806347001</v>
      </c>
      <c r="P237" s="12">
        <v>26.779751368928999</v>
      </c>
      <c r="Q237" s="12">
        <v>27.829057769838002</v>
      </c>
    </row>
    <row r="238" spans="8:17" ht="15.75" customHeight="1" x14ac:dyDescent="0.25">
      <c r="H238" s="12" t="s">
        <v>22</v>
      </c>
      <c r="I238" s="12" t="s">
        <v>22</v>
      </c>
      <c r="J238" s="12">
        <v>17.550825014150998</v>
      </c>
      <c r="K238" s="12">
        <v>17.327211288426</v>
      </c>
      <c r="L238" s="12">
        <v>21.000397403115002</v>
      </c>
      <c r="M238" s="12">
        <v>23.265791875521</v>
      </c>
      <c r="N238" s="12">
        <v>25.362927030636001</v>
      </c>
      <c r="O238" s="12">
        <v>27.015707567627999</v>
      </c>
      <c r="P238" s="12">
        <v>29.097066308778</v>
      </c>
      <c r="Q238" s="12">
        <v>30.992470937063995</v>
      </c>
    </row>
    <row r="239" spans="8:17" ht="15.75" customHeight="1" x14ac:dyDescent="0.25">
      <c r="H239" s="12" t="s">
        <v>784</v>
      </c>
      <c r="I239" s="12" t="s">
        <v>30</v>
      </c>
      <c r="J239" s="12">
        <v>15.484369752577541</v>
      </c>
      <c r="K239" s="12">
        <v>15.168782704888827</v>
      </c>
      <c r="L239" s="12">
        <v>16.949109551577816</v>
      </c>
      <c r="M239" s="12">
        <v>19.89820760097551</v>
      </c>
      <c r="N239" s="12">
        <v>20.433037285408389</v>
      </c>
      <c r="O239" s="12">
        <v>21.046576062396845</v>
      </c>
      <c r="P239" s="12">
        <v>22.996499995778219</v>
      </c>
      <c r="Q239" s="12">
        <v>24.2190062601092</v>
      </c>
    </row>
    <row r="240" spans="8:17" ht="15.75" customHeight="1" x14ac:dyDescent="0.25">
      <c r="H240" s="12" t="s">
        <v>779</v>
      </c>
      <c r="I240" s="12" t="s">
        <v>18</v>
      </c>
      <c r="J240" s="12">
        <v>13.877034192216</v>
      </c>
      <c r="K240" s="12">
        <v>13.679057020707001</v>
      </c>
      <c r="L240" s="12">
        <v>14.925902701670999</v>
      </c>
      <c r="M240" s="12">
        <v>16.381853873541001</v>
      </c>
      <c r="N240" s="12">
        <v>18.590677888301997</v>
      </c>
      <c r="O240" s="12">
        <v>19.952183835207002</v>
      </c>
      <c r="P240" s="12">
        <v>21.434106140693999</v>
      </c>
      <c r="Q240" s="12">
        <v>22.730896090656</v>
      </c>
    </row>
    <row r="241" spans="8:17" ht="15.75" customHeight="1" x14ac:dyDescent="0.25">
      <c r="H241" s="12" t="s">
        <v>13</v>
      </c>
      <c r="I241" s="12" t="s">
        <v>13</v>
      </c>
      <c r="J241" s="12">
        <v>9.4202649837692984</v>
      </c>
      <c r="K241" s="12">
        <v>9.6527165147854426</v>
      </c>
      <c r="L241" s="12">
        <v>11.578601139308462</v>
      </c>
      <c r="M241" s="12">
        <v>12.911789354957682</v>
      </c>
      <c r="N241" s="12">
        <v>14.757523117529285</v>
      </c>
      <c r="O241" s="12">
        <v>16.087232795682176</v>
      </c>
      <c r="P241" s="12">
        <v>17.631300754150111</v>
      </c>
      <c r="Q241" s="12">
        <v>18.826932611437442</v>
      </c>
    </row>
    <row r="242" spans="8:17" ht="15.75" customHeight="1" x14ac:dyDescent="0.25">
      <c r="H242" s="12" t="s">
        <v>832</v>
      </c>
      <c r="I242" s="12" t="s">
        <v>832</v>
      </c>
      <c r="J242" s="12">
        <v>9.4202649837692984</v>
      </c>
      <c r="K242" s="12">
        <v>9.6527165147854426</v>
      </c>
      <c r="L242" s="12">
        <v>11.578601139308462</v>
      </c>
      <c r="M242" s="12">
        <v>12.911789354957682</v>
      </c>
      <c r="N242" s="12">
        <v>14.757523117529285</v>
      </c>
      <c r="O242" s="12">
        <v>16.087232795682176</v>
      </c>
      <c r="P242" s="12">
        <v>17.631300754150111</v>
      </c>
      <c r="Q242" s="12">
        <v>18.826932611437442</v>
      </c>
    </row>
    <row r="243" spans="8:17" ht="15.75" customHeight="1" x14ac:dyDescent="0.25">
      <c r="H243" s="12" t="s">
        <v>782</v>
      </c>
      <c r="I243" s="12" t="s">
        <v>26</v>
      </c>
      <c r="J243" s="12">
        <v>9.2360008608660014</v>
      </c>
      <c r="K243" s="12">
        <v>9.6932486336400014</v>
      </c>
      <c r="L243" s="12">
        <v>9.5472696505679995</v>
      </c>
      <c r="M243" s="12">
        <v>10.673080048449</v>
      </c>
      <c r="N243" s="12">
        <v>12.218909862978</v>
      </c>
      <c r="O243" s="12">
        <v>13.22060646816</v>
      </c>
      <c r="P243" s="12">
        <v>14.059067186150999</v>
      </c>
      <c r="Q243" s="12">
        <v>15.210941603714998</v>
      </c>
    </row>
    <row r="244" spans="8:17" ht="15.75" customHeight="1" x14ac:dyDescent="0.25">
      <c r="H244" s="12" t="s">
        <v>17</v>
      </c>
      <c r="I244" s="12" t="s">
        <v>17</v>
      </c>
      <c r="J244" s="12">
        <v>8.6667911578505574</v>
      </c>
      <c r="K244" s="12">
        <v>8.8806502029103971</v>
      </c>
      <c r="L244" s="12">
        <v>10.652494186451701</v>
      </c>
      <c r="M244" s="12">
        <v>11.87904820155075</v>
      </c>
      <c r="N244" s="12">
        <v>13.577152138198308</v>
      </c>
      <c r="O244" s="12">
        <v>14.800505844381702</v>
      </c>
      <c r="P244" s="12">
        <v>16.22107252192496</v>
      </c>
      <c r="Q244" s="12">
        <v>17.321072535367904</v>
      </c>
    </row>
    <row r="245" spans="8:17" ht="15.75" customHeight="1" x14ac:dyDescent="0.25">
      <c r="H245" s="12" t="s">
        <v>841</v>
      </c>
      <c r="I245" s="12" t="s">
        <v>841</v>
      </c>
      <c r="J245" s="12">
        <v>7.1598435060130807</v>
      </c>
      <c r="K245" s="12">
        <v>7.3365175791603097</v>
      </c>
      <c r="L245" s="12">
        <v>8.8002802807381819</v>
      </c>
      <c r="M245" s="12">
        <v>9.8135658947368913</v>
      </c>
      <c r="N245" s="12">
        <v>11.216410179536366</v>
      </c>
      <c r="O245" s="12">
        <v>12.227051941780758</v>
      </c>
      <c r="P245" s="12">
        <v>13.400616057474668</v>
      </c>
      <c r="Q245" s="12">
        <v>14.309352383228823</v>
      </c>
    </row>
    <row r="246" spans="8:17" ht="15.75" customHeight="1" x14ac:dyDescent="0.25">
      <c r="H246" s="12" t="s">
        <v>845</v>
      </c>
      <c r="I246" s="12" t="s">
        <v>7</v>
      </c>
      <c r="J246" s="12">
        <v>4.7688341321789993</v>
      </c>
      <c r="K246" s="12">
        <v>4.6568448145439998</v>
      </c>
      <c r="L246" s="12">
        <v>5.7706406841329994</v>
      </c>
      <c r="M246" s="12">
        <v>6.7599028780919994</v>
      </c>
      <c r="N246" s="12">
        <v>7.3262282746769998</v>
      </c>
      <c r="O246" s="12">
        <v>7.6825591280100003</v>
      </c>
      <c r="P246" s="12">
        <v>8.0943780319740011</v>
      </c>
      <c r="Q246" s="12">
        <v>8.6837619205349998</v>
      </c>
    </row>
    <row r="247" spans="8:17" ht="15.75" customHeight="1" x14ac:dyDescent="0.25"/>
    <row r="248" spans="8:17" ht="15.75" customHeight="1" x14ac:dyDescent="0.25"/>
    <row r="249" spans="8:17" ht="15.75" customHeight="1" x14ac:dyDescent="0.25">
      <c r="J249" s="12">
        <v>21.475872844615932</v>
      </c>
      <c r="K249" s="12">
        <v>21.173796174722664</v>
      </c>
      <c r="L249" s="12">
        <v>23.09908472316074</v>
      </c>
      <c r="M249" s="12">
        <v>25.352291121728861</v>
      </c>
      <c r="N249" s="12">
        <v>28.770631310279356</v>
      </c>
      <c r="O249" s="12">
        <v>30.877675811857468</v>
      </c>
      <c r="P249" s="12">
        <v>33.171074715211802</v>
      </c>
      <c r="Q249" s="12">
        <v>35.177965790480719</v>
      </c>
    </row>
    <row r="250" spans="8:17" ht="15.75" customHeight="1" x14ac:dyDescent="0.25"/>
    <row r="251" spans="8:17" ht="15.75" customHeight="1" x14ac:dyDescent="0.25"/>
    <row r="252" spans="8:17" ht="15.75" customHeight="1" x14ac:dyDescent="0.25"/>
    <row r="253" spans="8:17" ht="15.75" customHeight="1" x14ac:dyDescent="0.25"/>
    <row r="254" spans="8:17" ht="15.75" customHeight="1" x14ac:dyDescent="0.25"/>
    <row r="255" spans="8:17" ht="15.75" customHeight="1" x14ac:dyDescent="0.25"/>
    <row r="256" spans="8:1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</sheetData>
  <autoFilter ref="I233:Q233" xr:uid="{00000000-0009-0000-0000-000003000000}">
    <sortState xmlns:xlrd2="http://schemas.microsoft.com/office/spreadsheetml/2017/richdata2" ref="I233:Q233">
      <sortCondition descending="1" ref="J233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zoomScale="115" zoomScaleNormal="115" workbookViewId="0">
      <selection activeCell="D74" sqref="D74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804</v>
      </c>
      <c r="I4" s="233"/>
      <c r="J4" s="233"/>
      <c r="K4" s="233"/>
      <c r="L4" s="233"/>
      <c r="M4" s="20"/>
      <c r="O4" s="236" t="s">
        <v>270</v>
      </c>
      <c r="P4" s="20"/>
      <c r="Q4" s="20"/>
      <c r="R4" s="20"/>
      <c r="S4" s="20"/>
    </row>
    <row r="5" spans="1:26" x14ac:dyDescent="0.25">
      <c r="B5" s="237" t="s">
        <v>852</v>
      </c>
      <c r="C5" s="237" t="s">
        <v>43</v>
      </c>
      <c r="D5" s="237" t="s">
        <v>853</v>
      </c>
      <c r="E5" s="237">
        <v>2019</v>
      </c>
      <c r="H5" s="238" t="s">
        <v>272</v>
      </c>
      <c r="I5" s="238" t="s">
        <v>805</v>
      </c>
      <c r="J5" s="238" t="s">
        <v>806</v>
      </c>
      <c r="K5" s="239" t="s">
        <v>854</v>
      </c>
      <c r="L5" s="240"/>
      <c r="M5" s="20"/>
      <c r="O5" s="241" t="s">
        <v>271</v>
      </c>
      <c r="P5" s="241" t="s">
        <v>272</v>
      </c>
      <c r="Q5" s="241" t="s">
        <v>273</v>
      </c>
      <c r="R5" s="241" t="s">
        <v>274</v>
      </c>
      <c r="S5" s="241" t="s">
        <v>275</v>
      </c>
    </row>
    <row r="6" spans="1:26" ht="20.25" customHeight="1" x14ac:dyDescent="0.25">
      <c r="B6" s="242" t="s">
        <v>287</v>
      </c>
      <c r="C6" s="242" t="s">
        <v>855</v>
      </c>
      <c r="D6" s="242" t="s">
        <v>856</v>
      </c>
      <c r="E6" s="242" t="s">
        <v>857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289</v>
      </c>
      <c r="P6" s="20" t="str">
        <f t="shared" ref="P6:P11" si="2">+H6</f>
        <v>FTE-DKER</v>
      </c>
      <c r="Q6" s="20" t="s">
        <v>858</v>
      </c>
      <c r="R6" s="20" t="s">
        <v>59</v>
      </c>
      <c r="S6" s="20" t="s">
        <v>288</v>
      </c>
    </row>
    <row r="7" spans="1:26" x14ac:dyDescent="0.25">
      <c r="B7" s="246" t="s">
        <v>859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860</v>
      </c>
      <c r="R7" s="20" t="s">
        <v>59</v>
      </c>
      <c r="S7" s="20" t="s">
        <v>288</v>
      </c>
    </row>
    <row r="8" spans="1:26" x14ac:dyDescent="0.25">
      <c r="B8" s="244" t="s">
        <v>861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862</v>
      </c>
      <c r="R8" s="20" t="s">
        <v>59</v>
      </c>
      <c r="S8" s="20" t="s">
        <v>288</v>
      </c>
    </row>
    <row r="9" spans="1:26" x14ac:dyDescent="0.25">
      <c r="B9" s="244" t="s">
        <v>861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863</v>
      </c>
      <c r="R9" s="20" t="s">
        <v>59</v>
      </c>
      <c r="S9" s="20" t="s">
        <v>288</v>
      </c>
    </row>
    <row r="10" spans="1:26" x14ac:dyDescent="0.25">
      <c r="B10" s="244" t="s">
        <v>861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864</v>
      </c>
      <c r="R10" s="20" t="s">
        <v>59</v>
      </c>
      <c r="S10" s="20" t="s">
        <v>288</v>
      </c>
    </row>
    <row r="11" spans="1:26" x14ac:dyDescent="0.25">
      <c r="B11" s="244" t="s">
        <v>861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865</v>
      </c>
      <c r="R11" s="20" t="s">
        <v>59</v>
      </c>
      <c r="S11" s="20" t="s">
        <v>288</v>
      </c>
    </row>
    <row r="12" spans="1:26" x14ac:dyDescent="0.25">
      <c r="B12" s="244" t="s">
        <v>861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861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861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272</v>
      </c>
      <c r="I15" s="238" t="s">
        <v>805</v>
      </c>
      <c r="J15" s="238" t="s">
        <v>806</v>
      </c>
      <c r="K15" s="239" t="s">
        <v>867</v>
      </c>
      <c r="L15" s="239" t="s">
        <v>854</v>
      </c>
      <c r="M15" s="20"/>
      <c r="O15" s="241" t="s">
        <v>271</v>
      </c>
      <c r="P15" s="241" t="s">
        <v>272</v>
      </c>
      <c r="Q15" s="241" t="s">
        <v>273</v>
      </c>
      <c r="R15" s="241" t="s">
        <v>274</v>
      </c>
      <c r="S15" s="241" t="s">
        <v>275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289</v>
      </c>
      <c r="P16" s="257" t="s">
        <v>868</v>
      </c>
      <c r="Q16" s="257" t="s">
        <v>869</v>
      </c>
      <c r="R16" s="257" t="s">
        <v>59</v>
      </c>
      <c r="S16" s="257" t="s">
        <v>288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870</v>
      </c>
      <c r="Q17" s="257" t="s">
        <v>871</v>
      </c>
      <c r="R17" s="257" t="s">
        <v>59</v>
      </c>
      <c r="S17" s="257" t="s">
        <v>288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861</v>
      </c>
      <c r="C19" s="12" t="s">
        <v>872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861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861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861</v>
      </c>
      <c r="C22" s="12" t="s">
        <v>67</v>
      </c>
      <c r="D22" s="12" t="s">
        <v>59</v>
      </c>
      <c r="E22" s="12">
        <v>25.486199999999997</v>
      </c>
      <c r="H22" s="235" t="s">
        <v>804</v>
      </c>
      <c r="I22" s="233"/>
      <c r="J22" s="233"/>
      <c r="K22" s="233"/>
      <c r="L22" s="20"/>
      <c r="M22" s="20"/>
      <c r="O22" s="236" t="s">
        <v>270</v>
      </c>
      <c r="P22" s="20"/>
      <c r="Q22" s="20"/>
      <c r="R22" s="20"/>
      <c r="S22" s="20"/>
    </row>
    <row r="23" spans="1:26" ht="15.75" customHeight="1" x14ac:dyDescent="0.25">
      <c r="B23" s="12" t="s">
        <v>861</v>
      </c>
      <c r="C23" s="12" t="s">
        <v>70</v>
      </c>
      <c r="D23" s="12" t="s">
        <v>59</v>
      </c>
      <c r="E23" s="12">
        <v>1.1855</v>
      </c>
      <c r="H23" s="238" t="s">
        <v>272</v>
      </c>
      <c r="I23" s="238" t="s">
        <v>805</v>
      </c>
      <c r="J23" s="238" t="s">
        <v>806</v>
      </c>
      <c r="K23" s="239" t="s">
        <v>854</v>
      </c>
      <c r="L23" s="20"/>
      <c r="M23" s="20"/>
      <c r="O23" s="241" t="s">
        <v>271</v>
      </c>
      <c r="P23" s="241" t="s">
        <v>272</v>
      </c>
      <c r="Q23" s="241" t="s">
        <v>273</v>
      </c>
      <c r="R23" s="241" t="s">
        <v>274</v>
      </c>
      <c r="S23" s="241" t="s">
        <v>275</v>
      </c>
    </row>
    <row r="24" spans="1:26" ht="15.75" customHeight="1" x14ac:dyDescent="0.25">
      <c r="B24" s="12" t="s">
        <v>861</v>
      </c>
      <c r="C24" s="12" t="s">
        <v>866</v>
      </c>
      <c r="D24" s="12" t="s">
        <v>59</v>
      </c>
      <c r="E24" s="12">
        <v>238.81580000000002</v>
      </c>
      <c r="H24" s="20" t="s">
        <v>873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289</v>
      </c>
      <c r="P24" s="20" t="str">
        <f t="shared" ref="P24:P27" si="4">+H24</f>
        <v>FTE-DGSL</v>
      </c>
      <c r="Q24" s="20" t="s">
        <v>874</v>
      </c>
      <c r="R24" s="20" t="s">
        <v>59</v>
      </c>
      <c r="S24" s="20" t="s">
        <v>288</v>
      </c>
    </row>
    <row r="25" spans="1:26" ht="15.75" customHeight="1" x14ac:dyDescent="0.25">
      <c r="B25" s="12" t="s">
        <v>861</v>
      </c>
      <c r="C25" s="12" t="s">
        <v>75</v>
      </c>
      <c r="D25" s="12" t="s">
        <v>59</v>
      </c>
      <c r="E25" s="12">
        <v>7.3300000000000004E-2</v>
      </c>
      <c r="H25" s="20" t="s">
        <v>875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876</v>
      </c>
      <c r="R25" s="20" t="s">
        <v>59</v>
      </c>
      <c r="S25" s="20" t="s">
        <v>288</v>
      </c>
    </row>
    <row r="26" spans="1:26" ht="15.75" customHeight="1" x14ac:dyDescent="0.25">
      <c r="H26" s="20" t="s">
        <v>877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878</v>
      </c>
      <c r="R26" s="20" t="s">
        <v>59</v>
      </c>
      <c r="S26" s="20" t="s">
        <v>288</v>
      </c>
    </row>
    <row r="27" spans="1:26" ht="15.75" customHeight="1" x14ac:dyDescent="0.25">
      <c r="H27" s="20" t="s">
        <v>879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880</v>
      </c>
      <c r="R27" s="20" t="s">
        <v>59</v>
      </c>
      <c r="S27" s="20" t="s">
        <v>288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270</v>
      </c>
      <c r="I56" s="20"/>
      <c r="J56" s="20"/>
      <c r="K56" s="20"/>
      <c r="L56" s="20"/>
    </row>
    <row r="57" spans="8:12" ht="15.75" customHeight="1" x14ac:dyDescent="0.25">
      <c r="H57" s="241" t="s">
        <v>271</v>
      </c>
      <c r="I57" s="241" t="s">
        <v>272</v>
      </c>
      <c r="J57" s="241" t="s">
        <v>273</v>
      </c>
      <c r="K57" s="241" t="s">
        <v>274</v>
      </c>
      <c r="L57" s="241" t="s">
        <v>275</v>
      </c>
    </row>
    <row r="58" spans="8:12" ht="15.75" customHeight="1" x14ac:dyDescent="0.25">
      <c r="H58" s="12" t="s">
        <v>881</v>
      </c>
      <c r="I58" s="12" t="str">
        <f>+H67</f>
        <v>FTD-AGR</v>
      </c>
      <c r="J58" s="12" t="s">
        <v>882</v>
      </c>
      <c r="K58" s="12" t="s">
        <v>59</v>
      </c>
      <c r="L58" s="12" t="s">
        <v>333</v>
      </c>
    </row>
    <row r="59" spans="8:12" ht="15.75" customHeight="1" x14ac:dyDescent="0.25">
      <c r="I59" s="12" t="str">
        <f>+H72</f>
        <v>FTD-TER</v>
      </c>
      <c r="J59" s="12" t="s">
        <v>883</v>
      </c>
      <c r="K59" s="12" t="s">
        <v>59</v>
      </c>
      <c r="L59" s="12" t="s">
        <v>333</v>
      </c>
    </row>
    <row r="60" spans="8:12" ht="15.75" customHeight="1" x14ac:dyDescent="0.25">
      <c r="I60" s="12" t="str">
        <f>+H74</f>
        <v>FTD-RSD</v>
      </c>
      <c r="J60" s="12" t="s">
        <v>884</v>
      </c>
      <c r="K60" s="12" t="s">
        <v>59</v>
      </c>
      <c r="L60" s="12" t="s">
        <v>333</v>
      </c>
    </row>
    <row r="61" spans="8:12" ht="15.75" customHeight="1" x14ac:dyDescent="0.25">
      <c r="I61" s="12" t="str">
        <f>+H76</f>
        <v>FTD-IND</v>
      </c>
      <c r="J61" s="12" t="s">
        <v>885</v>
      </c>
      <c r="K61" s="12" t="s">
        <v>59</v>
      </c>
      <c r="L61" s="12" t="s">
        <v>333</v>
      </c>
    </row>
    <row r="62" spans="8:12" ht="15.75" customHeight="1" x14ac:dyDescent="0.25">
      <c r="I62" s="12" t="str">
        <f>+H86</f>
        <v>FTD-TRA</v>
      </c>
      <c r="J62" s="12" t="s">
        <v>886</v>
      </c>
      <c r="K62" s="12" t="s">
        <v>59</v>
      </c>
      <c r="L62" s="12" t="s">
        <v>333</v>
      </c>
    </row>
    <row r="63" spans="8:12" ht="15.75" customHeight="1" x14ac:dyDescent="0.25"/>
    <row r="64" spans="8:12" ht="15.75" customHeight="1" x14ac:dyDescent="0.25"/>
    <row r="65" spans="4:20" ht="15.75" customHeight="1" x14ac:dyDescent="0.25">
      <c r="H65" s="235" t="s">
        <v>804</v>
      </c>
    </row>
    <row r="66" spans="4:20" ht="15.75" customHeight="1" x14ac:dyDescent="0.25">
      <c r="H66" s="238" t="s">
        <v>272</v>
      </c>
      <c r="I66" s="238" t="s">
        <v>805</v>
      </c>
      <c r="J66" s="238" t="s">
        <v>806</v>
      </c>
      <c r="K66" s="209" t="s">
        <v>46</v>
      </c>
      <c r="L66" s="239" t="s">
        <v>854</v>
      </c>
      <c r="M66" s="238" t="s">
        <v>887</v>
      </c>
      <c r="N66" s="238" t="s">
        <v>888</v>
      </c>
      <c r="O66" s="238" t="s">
        <v>889</v>
      </c>
      <c r="P66" s="238" t="s">
        <v>890</v>
      </c>
      <c r="Q66" s="238" t="s">
        <v>891</v>
      </c>
      <c r="R66" s="238" t="s">
        <v>892</v>
      </c>
      <c r="S66" s="238" t="s">
        <v>893</v>
      </c>
      <c r="T66" s="238" t="s">
        <v>894</v>
      </c>
    </row>
    <row r="67" spans="4:20" ht="15.75" customHeight="1" x14ac:dyDescent="0.25">
      <c r="H67" s="12" t="s">
        <v>895</v>
      </c>
      <c r="I67" s="261" t="s">
        <v>64</v>
      </c>
      <c r="J67" s="262" t="s">
        <v>896</v>
      </c>
      <c r="K67" s="263" t="s">
        <v>897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25">
      <c r="I68" s="261" t="s">
        <v>119</v>
      </c>
      <c r="J68" s="262"/>
      <c r="K68" s="263" t="s">
        <v>897</v>
      </c>
      <c r="L68" s="264">
        <v>1</v>
      </c>
      <c r="M68" s="265">
        <f t="shared" ref="M68:T68" si="5">+M67*$E$74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4:20" ht="15.75" customHeight="1" x14ac:dyDescent="0.25">
      <c r="I69" s="261" t="s">
        <v>872</v>
      </c>
      <c r="J69" s="262"/>
      <c r="K69" s="263" t="s">
        <v>897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25">
      <c r="I70" s="261" t="s">
        <v>123</v>
      </c>
      <c r="J70" s="262"/>
      <c r="K70" s="263" t="s">
        <v>897</v>
      </c>
      <c r="L70" s="264">
        <v>1</v>
      </c>
      <c r="M70" s="265">
        <f t="shared" ref="M70:T70" si="6">+M69*$E$73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4:20" ht="15.75" customHeight="1" x14ac:dyDescent="0.25">
      <c r="I71" s="12" t="s">
        <v>866</v>
      </c>
      <c r="J71" s="13"/>
      <c r="K71" s="14" t="s">
        <v>898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25">
      <c r="H72" s="12" t="s">
        <v>899</v>
      </c>
      <c r="I72" s="12" t="s">
        <v>866</v>
      </c>
      <c r="J72" s="13" t="s">
        <v>92</v>
      </c>
      <c r="K72" s="14" t="s">
        <v>898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25">
      <c r="D73" s="808" t="s">
        <v>900</v>
      </c>
      <c r="E73" s="266">
        <f>+'Bases de Cálculo'!C22</f>
        <v>5.7621225008503835E-2</v>
      </c>
      <c r="I73" s="12" t="s">
        <v>67</v>
      </c>
      <c r="J73" s="13"/>
      <c r="K73" s="14" t="s">
        <v>898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25">
      <c r="D74" s="809" t="s">
        <v>1566</v>
      </c>
      <c r="E74" s="266">
        <f>+'Bases de Cálculo'!D22</f>
        <v>9.3659149944684009E-2</v>
      </c>
      <c r="H74" s="12" t="s">
        <v>901</v>
      </c>
      <c r="I74" s="12" t="s">
        <v>866</v>
      </c>
      <c r="J74" s="13" t="s">
        <v>99</v>
      </c>
      <c r="K74" s="14" t="s">
        <v>898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25">
      <c r="I75" s="12" t="s">
        <v>67</v>
      </c>
      <c r="J75" s="13"/>
      <c r="K75" s="14" t="s">
        <v>898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25">
      <c r="H76" s="12" t="s">
        <v>902</v>
      </c>
      <c r="I76" s="261" t="s">
        <v>64</v>
      </c>
      <c r="J76" s="262" t="s">
        <v>104</v>
      </c>
      <c r="K76" s="263" t="s">
        <v>897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25">
      <c r="I77" s="261" t="s">
        <v>119</v>
      </c>
      <c r="J77" s="262"/>
      <c r="K77" s="263" t="s">
        <v>897</v>
      </c>
      <c r="L77" s="264">
        <v>1</v>
      </c>
      <c r="M77" s="265">
        <f t="shared" ref="M77:T77" si="7">+M76*$E$74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4:20" ht="15.75" customHeight="1" x14ac:dyDescent="0.25">
      <c r="I78" s="261" t="s">
        <v>872</v>
      </c>
      <c r="J78" s="262"/>
      <c r="K78" s="263" t="s">
        <v>897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25">
      <c r="I79" s="261" t="s">
        <v>123</v>
      </c>
      <c r="J79" s="262"/>
      <c r="K79" s="263" t="s">
        <v>897</v>
      </c>
      <c r="L79" s="264">
        <v>1</v>
      </c>
      <c r="M79" s="265">
        <f t="shared" ref="M79:T79" si="8">+M78*$E$73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4:20" ht="15.75" customHeight="1" x14ac:dyDescent="0.25">
      <c r="I80" s="12" t="s">
        <v>866</v>
      </c>
      <c r="J80" s="13"/>
      <c r="K80" s="14" t="s">
        <v>898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898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898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898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898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898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903</v>
      </c>
      <c r="I86" s="261" t="s">
        <v>64</v>
      </c>
      <c r="J86" s="262" t="s">
        <v>109</v>
      </c>
      <c r="K86" s="263" t="s">
        <v>897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897</v>
      </c>
      <c r="L87" s="264">
        <v>1</v>
      </c>
      <c r="M87" s="265">
        <f t="shared" ref="M87:T87" si="9">+M86*$E$74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872</v>
      </c>
      <c r="J88" s="262"/>
      <c r="K88" s="263" t="s">
        <v>897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897</v>
      </c>
      <c r="L89" s="264">
        <v>1</v>
      </c>
      <c r="M89" s="265">
        <f t="shared" ref="M89:T89" si="10">+M88*$E$73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866</v>
      </c>
      <c r="J90" s="13"/>
      <c r="K90" s="14" t="s">
        <v>898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898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898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898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898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898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804</v>
      </c>
      <c r="J98" s="268"/>
      <c r="K98" s="269"/>
    </row>
    <row r="99" spans="8:18" ht="15.75" customHeight="1" x14ac:dyDescent="0.25">
      <c r="H99" s="270" t="s">
        <v>852</v>
      </c>
      <c r="I99" s="270" t="s">
        <v>43</v>
      </c>
      <c r="J99" s="270" t="s">
        <v>853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861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861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861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861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861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topLeftCell="A13" workbookViewId="0">
      <selection activeCell="B40" sqref="B40:F43"/>
    </sheetView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478</v>
      </c>
    </row>
    <row r="2" spans="2:8" x14ac:dyDescent="0.25">
      <c r="G2" s="276" t="s">
        <v>480</v>
      </c>
    </row>
    <row r="3" spans="2:8" x14ac:dyDescent="0.25">
      <c r="G3" s="277" t="s">
        <v>486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872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866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904</v>
      </c>
      <c r="G16" s="222">
        <v>0.16600000000000001</v>
      </c>
      <c r="H16" s="12" t="s">
        <v>905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904</v>
      </c>
      <c r="G17" s="280">
        <f>+(G16/1000000)</f>
        <v>1.66E-7</v>
      </c>
      <c r="H17" s="12" t="s">
        <v>906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904</v>
      </c>
      <c r="G18" s="12">
        <f>+G17*(1000000)</f>
        <v>0.16600000000000001</v>
      </c>
      <c r="H18" s="12" t="s">
        <v>907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904</v>
      </c>
      <c r="G19" s="281">
        <f>+G18/0.0036</f>
        <v>46.111111111111114</v>
      </c>
      <c r="H19" s="281" t="s">
        <v>908</v>
      </c>
    </row>
    <row r="21" spans="2:15" ht="15.75" customHeight="1" x14ac:dyDescent="0.3">
      <c r="B21" s="282" t="s">
        <v>909</v>
      </c>
    </row>
    <row r="22" spans="2:15" ht="15.75" customHeight="1" x14ac:dyDescent="0.25"/>
    <row r="23" spans="2:15" ht="15.75" customHeight="1" x14ac:dyDescent="0.25">
      <c r="B23" s="283" t="s">
        <v>910</v>
      </c>
    </row>
    <row r="24" spans="2:15" ht="15.75" customHeight="1" x14ac:dyDescent="0.25">
      <c r="B24" s="284" t="s">
        <v>43</v>
      </c>
      <c r="C24" s="285" t="s">
        <v>872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866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859</v>
      </c>
      <c r="C25" s="212" t="s">
        <v>480</v>
      </c>
      <c r="D25" s="212" t="s">
        <v>480</v>
      </c>
      <c r="E25" s="212" t="s">
        <v>480</v>
      </c>
      <c r="F25" s="212" t="s">
        <v>480</v>
      </c>
      <c r="G25" s="212" t="s">
        <v>480</v>
      </c>
      <c r="H25" s="212" t="s">
        <v>480</v>
      </c>
      <c r="I25" s="212" t="s">
        <v>480</v>
      </c>
      <c r="J25" s="212" t="s">
        <v>480</v>
      </c>
      <c r="K25" s="212" t="s">
        <v>480</v>
      </c>
      <c r="L25" s="212" t="s">
        <v>480</v>
      </c>
      <c r="M25" s="212" t="s">
        <v>480</v>
      </c>
      <c r="N25" s="212" t="s">
        <v>480</v>
      </c>
      <c r="O25" s="212" t="s">
        <v>480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911</v>
      </c>
    </row>
    <row r="32" spans="2:1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50" workbookViewId="0">
      <selection activeCell="B55" sqref="B55"/>
    </sheetView>
  </sheetViews>
  <sheetFormatPr baseColWidth="10" defaultColWidth="14.42578125" defaultRowHeight="15" customHeight="1" x14ac:dyDescent="0.25"/>
  <cols>
    <col min="1" max="1" width="10.7109375" customWidth="1"/>
    <col min="2" max="2" width="16.85546875" customWidth="1"/>
    <col min="3" max="3" width="25.28515625" customWidth="1"/>
    <col min="4" max="4" width="14.140625" customWidth="1"/>
    <col min="5" max="5" width="13.7109375" customWidth="1"/>
    <col min="6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915</v>
      </c>
    </row>
    <row r="4" spans="2:10" x14ac:dyDescent="0.25">
      <c r="B4" s="70"/>
      <c r="C4" s="70"/>
      <c r="J4" s="12" t="s">
        <v>916</v>
      </c>
    </row>
    <row r="5" spans="2:10" x14ac:dyDescent="0.25">
      <c r="B5" s="289"/>
      <c r="C5" s="202"/>
      <c r="D5" s="949" t="s">
        <v>917</v>
      </c>
      <c r="E5" s="922"/>
      <c r="F5" s="922"/>
    </row>
    <row r="6" spans="2:10" x14ac:dyDescent="0.25">
      <c r="B6" s="289"/>
      <c r="C6" s="290"/>
      <c r="D6" s="290" t="s">
        <v>918</v>
      </c>
      <c r="E6" s="290" t="s">
        <v>919</v>
      </c>
      <c r="F6" s="290" t="s">
        <v>920</v>
      </c>
    </row>
    <row r="7" spans="2:10" x14ac:dyDescent="0.25">
      <c r="B7" s="950" t="s">
        <v>921</v>
      </c>
      <c r="C7" s="290" t="s">
        <v>922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922"/>
      <c r="C8" s="290" t="s">
        <v>923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920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924</v>
      </c>
      <c r="C10" s="290" t="s">
        <v>925</v>
      </c>
      <c r="E10" s="292">
        <v>0.6</v>
      </c>
      <c r="F10" s="293"/>
    </row>
    <row r="11" spans="2:10" x14ac:dyDescent="0.25">
      <c r="B11" s="70"/>
      <c r="C11" s="290" t="s">
        <v>926</v>
      </c>
      <c r="D11" s="294"/>
      <c r="E11" s="292">
        <v>0.25</v>
      </c>
      <c r="F11" s="293"/>
    </row>
    <row r="12" spans="2:10" x14ac:dyDescent="0.25">
      <c r="B12" s="70"/>
      <c r="C12" s="290" t="s">
        <v>927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918</v>
      </c>
      <c r="E14" s="214" t="s">
        <v>919</v>
      </c>
      <c r="F14" s="214" t="s">
        <v>920</v>
      </c>
    </row>
    <row r="15" spans="2:10" x14ac:dyDescent="0.25">
      <c r="B15" s="70" t="s">
        <v>921</v>
      </c>
      <c r="C15" s="214" t="s">
        <v>928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929</v>
      </c>
      <c r="C16" s="14" t="s">
        <v>930</v>
      </c>
      <c r="D16" s="295">
        <v>0.7</v>
      </c>
      <c r="E16" s="295">
        <f>45000/150000</f>
        <v>0.3</v>
      </c>
    </row>
    <row r="17" spans="2:8" x14ac:dyDescent="0.25">
      <c r="B17" s="70"/>
    </row>
    <row r="18" spans="2:8" x14ac:dyDescent="0.25">
      <c r="B18" s="70"/>
    </row>
    <row r="19" spans="2:8" x14ac:dyDescent="0.25">
      <c r="B19" s="70"/>
    </row>
    <row r="20" spans="2:8" x14ac:dyDescent="0.25">
      <c r="B20" s="70"/>
      <c r="C20" s="14"/>
      <c r="D20" s="14" t="s">
        <v>918</v>
      </c>
      <c r="E20" s="12" t="s">
        <v>919</v>
      </c>
    </row>
    <row r="21" spans="2:8" ht="15.75" customHeight="1" x14ac:dyDescent="0.25">
      <c r="B21" s="70"/>
      <c r="C21" s="14" t="s">
        <v>931</v>
      </c>
      <c r="D21" s="14">
        <v>250</v>
      </c>
      <c r="E21" s="14">
        <v>150</v>
      </c>
    </row>
    <row r="22" spans="2:8" ht="15.75" customHeight="1" x14ac:dyDescent="0.25">
      <c r="B22" s="70"/>
    </row>
    <row r="23" spans="2:8" ht="15.75" customHeight="1" x14ac:dyDescent="0.25">
      <c r="B23" s="70"/>
    </row>
    <row r="24" spans="2:8" ht="15.75" customHeight="1" x14ac:dyDescent="0.25">
      <c r="B24" s="70"/>
      <c r="D24" s="14" t="s">
        <v>918</v>
      </c>
      <c r="E24" s="12" t="s">
        <v>919</v>
      </c>
    </row>
    <row r="25" spans="2:8" ht="15.75" customHeight="1" x14ac:dyDescent="0.25">
      <c r="B25" s="70" t="s">
        <v>932</v>
      </c>
      <c r="C25" s="12" t="s">
        <v>933</v>
      </c>
      <c r="D25" s="266">
        <v>0.83</v>
      </c>
      <c r="E25" s="266">
        <v>0.93700000000000006</v>
      </c>
    </row>
    <row r="26" spans="2:8" ht="15.75" customHeight="1" x14ac:dyDescent="0.25">
      <c r="B26" s="70" t="s">
        <v>924</v>
      </c>
      <c r="D26" s="293">
        <v>220000</v>
      </c>
      <c r="E26" s="293">
        <v>150000</v>
      </c>
    </row>
    <row r="27" spans="2:8" ht="15.75" customHeight="1" x14ac:dyDescent="0.25">
      <c r="B27" s="70"/>
    </row>
    <row r="28" spans="2:8" ht="15.75" customHeight="1" x14ac:dyDescent="0.25">
      <c r="B28" s="70"/>
      <c r="D28" s="14" t="s">
        <v>918</v>
      </c>
      <c r="E28" s="12" t="s">
        <v>919</v>
      </c>
    </row>
    <row r="29" spans="2:8" ht="15.75" customHeight="1" x14ac:dyDescent="0.25">
      <c r="B29" s="70" t="s">
        <v>932</v>
      </c>
      <c r="C29" s="12" t="s">
        <v>934</v>
      </c>
      <c r="D29" s="228">
        <v>0.61</v>
      </c>
      <c r="E29" s="228">
        <v>0.97</v>
      </c>
    </row>
    <row r="30" spans="2:8" ht="15.75" customHeight="1" x14ac:dyDescent="0.25">
      <c r="B30" s="816"/>
      <c r="C30" s="817"/>
      <c r="D30" s="227" t="s">
        <v>918</v>
      </c>
      <c r="E30" s="817" t="s">
        <v>919</v>
      </c>
    </row>
    <row r="31" spans="2:8" ht="15.75" customHeight="1" x14ac:dyDescent="0.25">
      <c r="B31" s="816" t="s">
        <v>935</v>
      </c>
      <c r="C31" s="817" t="s">
        <v>936</v>
      </c>
      <c r="D31" s="817">
        <v>180000</v>
      </c>
      <c r="E31" s="817">
        <v>130000</v>
      </c>
      <c r="G31">
        <f>+D31/D32</f>
        <v>0.81081081081081086</v>
      </c>
      <c r="H31">
        <f>+E31/E32</f>
        <v>0.78787878787878785</v>
      </c>
    </row>
    <row r="32" spans="2:8" ht="15.75" customHeight="1" x14ac:dyDescent="0.25">
      <c r="B32" s="816"/>
      <c r="C32" s="817" t="s">
        <v>937</v>
      </c>
      <c r="D32" s="817">
        <v>222000</v>
      </c>
      <c r="E32" s="817">
        <v>165000</v>
      </c>
    </row>
    <row r="33" spans="2:9" ht="15.75" customHeight="1" x14ac:dyDescent="0.25">
      <c r="B33" s="816"/>
      <c r="C33" s="817" t="s">
        <v>938</v>
      </c>
      <c r="D33" s="818">
        <f t="shared" ref="D33:E33" si="3">+D31/D32</f>
        <v>0.81081081081081086</v>
      </c>
      <c r="E33" s="818">
        <f t="shared" si="3"/>
        <v>0.78787878787878785</v>
      </c>
    </row>
    <row r="34" spans="2:9" ht="15.75" customHeight="1" x14ac:dyDescent="0.25">
      <c r="B34" s="70" t="s">
        <v>932</v>
      </c>
      <c r="C34" s="12" t="s">
        <v>936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937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938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918</v>
      </c>
      <c r="E39" s="12" t="s">
        <v>919</v>
      </c>
    </row>
    <row r="40" spans="2:9" ht="15.75" customHeight="1" x14ac:dyDescent="0.25">
      <c r="B40" s="70"/>
      <c r="C40" s="12" t="s">
        <v>939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940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951" t="s">
        <v>929</v>
      </c>
      <c r="C45" s="12" t="s">
        <v>941</v>
      </c>
    </row>
    <row r="46" spans="2:9" ht="15.75" customHeight="1" x14ac:dyDescent="0.25">
      <c r="B46" s="922"/>
      <c r="D46" s="14" t="s">
        <v>918</v>
      </c>
      <c r="E46" s="12" t="s">
        <v>919</v>
      </c>
      <c r="F46" s="12" t="s">
        <v>942</v>
      </c>
    </row>
    <row r="47" spans="2:9" ht="15.75" customHeight="1" x14ac:dyDescent="0.25">
      <c r="B47" s="922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922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922"/>
      <c r="C49" s="12" t="s">
        <v>943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922"/>
      <c r="C50" s="12" t="s">
        <v>944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>+SUM(D47:D50)</f>
        <v>209000</v>
      </c>
      <c r="E51" s="293">
        <f>+SUM(E47:E50)</f>
        <v>124800</v>
      </c>
      <c r="F51" s="293"/>
      <c r="H51" s="293"/>
    </row>
    <row r="52" spans="2:15" ht="15.75" customHeight="1" x14ac:dyDescent="0.25">
      <c r="B52" s="297"/>
      <c r="C52" s="12" t="s">
        <v>945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919</v>
      </c>
      <c r="H54" s="293"/>
    </row>
    <row r="55" spans="2:15" ht="15.75" customHeight="1" x14ac:dyDescent="0.25">
      <c r="B55" s="70" t="s">
        <v>946</v>
      </c>
      <c r="C55" s="12" t="s">
        <v>60</v>
      </c>
      <c r="D55" s="293">
        <v>56700</v>
      </c>
      <c r="E55" s="298">
        <v>29000</v>
      </c>
      <c r="F55" s="293"/>
      <c r="G55">
        <f>+D55/180000</f>
        <v>0.315</v>
      </c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943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944</v>
      </c>
      <c r="D58" s="293">
        <f>+D31-D59</f>
        <v>42300</v>
      </c>
      <c r="E58" s="298"/>
      <c r="F58" s="293"/>
      <c r="H58" s="293"/>
    </row>
    <row r="59" spans="2:15" ht="15.75" customHeight="1" x14ac:dyDescent="0.25">
      <c r="B59" s="70"/>
      <c r="D59" s="293">
        <f>+D55+D57+D56</f>
        <v>137700</v>
      </c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929</v>
      </c>
      <c r="C62" s="301" t="s">
        <v>947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918</v>
      </c>
      <c r="E63" s="12" t="s">
        <v>919</v>
      </c>
      <c r="G63" s="305"/>
    </row>
    <row r="64" spans="2:15" ht="15.75" customHeight="1" x14ac:dyDescent="0.25">
      <c r="B64" s="304"/>
      <c r="C64" s="12" t="s">
        <v>948</v>
      </c>
      <c r="D64" s="11">
        <v>0.29599999999999999</v>
      </c>
      <c r="E64" s="228">
        <v>0.34799999999999998</v>
      </c>
      <c r="G64" s="305">
        <f t="shared" ref="G64:G67" si="5">+D64*$G$62</f>
        <v>62012</v>
      </c>
      <c r="K64" s="12" t="s">
        <v>8</v>
      </c>
      <c r="L64" s="228">
        <v>0.34799999999999998</v>
      </c>
      <c r="M64" s="12">
        <f t="shared" ref="M64:M67" si="6">+$M$68*L64</f>
        <v>0.34799999999999998</v>
      </c>
      <c r="N64" s="12" t="s">
        <v>949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5"/>
        <v>64316.5</v>
      </c>
      <c r="I65" s="12" t="s">
        <v>950</v>
      </c>
      <c r="K65" s="12" t="s">
        <v>14</v>
      </c>
      <c r="L65" s="228">
        <v>0.51300000000000001</v>
      </c>
      <c r="M65" s="12">
        <f t="shared" si="6"/>
        <v>0.51300000000000001</v>
      </c>
      <c r="N65" s="12" t="s">
        <v>949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943</v>
      </c>
      <c r="D66" s="11">
        <v>0.10100000000000001</v>
      </c>
      <c r="E66" s="228">
        <v>4.7E-2</v>
      </c>
      <c r="G66" s="305">
        <f t="shared" si="5"/>
        <v>21159.5</v>
      </c>
      <c r="I66" s="306" t="s">
        <v>8</v>
      </c>
      <c r="J66" s="307">
        <v>0.28962955526553558</v>
      </c>
      <c r="K66" s="12" t="s">
        <v>951</v>
      </c>
      <c r="L66" s="228">
        <v>4.7E-2</v>
      </c>
      <c r="M66" s="12">
        <f t="shared" si="6"/>
        <v>4.7E-2</v>
      </c>
      <c r="N66" s="12" t="s">
        <v>949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944</v>
      </c>
      <c r="D67" s="11">
        <v>0.29599999999999999</v>
      </c>
      <c r="E67" s="228">
        <v>9.1999999999999998E-2</v>
      </c>
      <c r="G67" s="305">
        <f t="shared" si="5"/>
        <v>62012</v>
      </c>
      <c r="I67" s="306" t="s">
        <v>14</v>
      </c>
      <c r="J67" s="307">
        <v>0.25690191747816488</v>
      </c>
      <c r="K67" s="12" t="s">
        <v>944</v>
      </c>
      <c r="L67" s="228">
        <v>9.1999999999999998E-2</v>
      </c>
      <c r="M67" s="12">
        <f t="shared" si="6"/>
        <v>9.1999999999999998E-2</v>
      </c>
      <c r="N67" s="12" t="s">
        <v>949</v>
      </c>
    </row>
    <row r="68" spans="2:17" ht="15.75" customHeight="1" x14ac:dyDescent="0.25">
      <c r="B68" s="304"/>
      <c r="D68" s="11">
        <f t="shared" ref="D68:E68" si="7">+SUM(D64:D67)</f>
        <v>1</v>
      </c>
      <c r="E68" s="228">
        <f t="shared" si="7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949</v>
      </c>
      <c r="O68" s="12">
        <f>+M68*'4.1 Ref_Cart'!E8</f>
        <v>6.0871741676095334</v>
      </c>
    </row>
    <row r="69" spans="2:17" ht="15.75" customHeight="1" x14ac:dyDescent="0.25">
      <c r="B69" s="308" t="s">
        <v>946</v>
      </c>
      <c r="D69" s="14" t="s">
        <v>918</v>
      </c>
      <c r="E69" s="12" t="s">
        <v>919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948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943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944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8">+SUM(D70:D73)</f>
        <v>0.97900000000000009</v>
      </c>
      <c r="E74" s="228">
        <f t="shared" si="8"/>
        <v>1.0370000000000001</v>
      </c>
      <c r="G74" s="305"/>
    </row>
    <row r="75" spans="2:17" ht="15.75" customHeight="1" x14ac:dyDescent="0.25">
      <c r="B75" s="308" t="s">
        <v>952</v>
      </c>
      <c r="D75" s="14" t="s">
        <v>918</v>
      </c>
      <c r="E75" s="12" t="s">
        <v>919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823">
        <f>+D76*$D$31</f>
        <v>58320</v>
      </c>
    </row>
    <row r="77" spans="2:17" ht="15.75" customHeight="1" x14ac:dyDescent="0.25">
      <c r="B77" s="304"/>
      <c r="C77" s="12" t="s">
        <v>63</v>
      </c>
      <c r="D77" s="266">
        <v>0.32900000000000001</v>
      </c>
      <c r="G77" s="823">
        <f t="shared" ref="G77:G79" si="9">+D77*$D$31</f>
        <v>59220</v>
      </c>
    </row>
    <row r="78" spans="2:17" ht="15.75" customHeight="1" x14ac:dyDescent="0.25">
      <c r="B78" s="304"/>
      <c r="C78" s="12" t="s">
        <v>943</v>
      </c>
      <c r="D78" s="266">
        <v>9.9000000000000005E-2</v>
      </c>
      <c r="G78" s="823">
        <f t="shared" si="9"/>
        <v>17820</v>
      </c>
    </row>
    <row r="79" spans="2:17" ht="15.75" customHeight="1" x14ac:dyDescent="0.25">
      <c r="B79" s="304"/>
      <c r="C79" s="12" t="s">
        <v>953</v>
      </c>
      <c r="D79" s="266">
        <v>0.248</v>
      </c>
      <c r="G79" s="823">
        <f t="shared" si="9"/>
        <v>44640</v>
      </c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10" ht="15.75" customHeight="1" x14ac:dyDescent="0.25">
      <c r="B81" s="70" t="s">
        <v>952</v>
      </c>
      <c r="C81" s="306" t="s">
        <v>954</v>
      </c>
      <c r="D81" s="14" t="s">
        <v>918</v>
      </c>
      <c r="E81" s="12" t="s">
        <v>919</v>
      </c>
      <c r="I81" s="821" t="s">
        <v>918</v>
      </c>
      <c r="J81" s="821" t="s">
        <v>919</v>
      </c>
    </row>
    <row r="82" spans="2:10" ht="15.75" customHeight="1" x14ac:dyDescent="0.25">
      <c r="B82" s="70"/>
      <c r="C82" s="817" t="s">
        <v>60</v>
      </c>
      <c r="D82" s="819">
        <v>0.24</v>
      </c>
      <c r="E82" s="819">
        <v>0.19</v>
      </c>
      <c r="I82" s="822">
        <f>+D82*$D$31</f>
        <v>43200</v>
      </c>
      <c r="J82" s="822">
        <f>+E82*$E$31</f>
        <v>24700</v>
      </c>
    </row>
    <row r="83" spans="2:10" ht="15.75" customHeight="1" x14ac:dyDescent="0.25">
      <c r="B83" s="70"/>
      <c r="C83" s="817" t="s">
        <v>63</v>
      </c>
      <c r="D83" s="819">
        <v>0.28999999999999998</v>
      </c>
      <c r="E83" s="819">
        <v>0.52</v>
      </c>
      <c r="I83" s="822">
        <f t="shared" ref="I83:I85" si="10">+D83*$D$31</f>
        <v>52200</v>
      </c>
      <c r="J83" s="822">
        <f t="shared" ref="J83:J85" si="11">+E83*$E$31</f>
        <v>67600</v>
      </c>
    </row>
    <row r="84" spans="2:10" ht="15.75" customHeight="1" x14ac:dyDescent="0.25">
      <c r="B84" s="70"/>
      <c r="C84" s="817" t="s">
        <v>943</v>
      </c>
      <c r="D84" s="819">
        <v>0.09</v>
      </c>
      <c r="E84" s="819">
        <v>7.0000000000000007E-2</v>
      </c>
      <c r="I84" s="822">
        <f t="shared" si="10"/>
        <v>16200</v>
      </c>
      <c r="J84" s="822">
        <f t="shared" si="11"/>
        <v>9100</v>
      </c>
    </row>
    <row r="85" spans="2:10" ht="15.75" customHeight="1" x14ac:dyDescent="0.25">
      <c r="B85" s="70"/>
      <c r="C85" s="817" t="s">
        <v>22</v>
      </c>
      <c r="D85" s="819">
        <v>0.01</v>
      </c>
      <c r="E85" s="819">
        <v>0.01</v>
      </c>
      <c r="I85" s="822">
        <f t="shared" si="10"/>
        <v>1800</v>
      </c>
      <c r="J85" s="822">
        <f t="shared" si="11"/>
        <v>1300</v>
      </c>
    </row>
    <row r="86" spans="2:10" ht="15.75" customHeight="1" x14ac:dyDescent="0.25">
      <c r="B86" s="70"/>
      <c r="D86" s="266">
        <f t="shared" ref="D86:E86" si="12">+SUM(D82:D85)</f>
        <v>0.63</v>
      </c>
      <c r="E86" s="228">
        <f t="shared" si="12"/>
        <v>0.79</v>
      </c>
    </row>
    <row r="87" spans="2:10" ht="15.75" customHeight="1" x14ac:dyDescent="0.25">
      <c r="B87" s="70"/>
    </row>
    <row r="88" spans="2:10" ht="15.75" customHeight="1" x14ac:dyDescent="0.25">
      <c r="B88" s="70"/>
    </row>
    <row r="89" spans="2:10" ht="15.75" customHeight="1" x14ac:dyDescent="0.25">
      <c r="B89" s="70"/>
    </row>
    <row r="90" spans="2:10" ht="15.75" customHeight="1" x14ac:dyDescent="0.25">
      <c r="B90" s="70" t="s">
        <v>929</v>
      </c>
    </row>
    <row r="91" spans="2:10" ht="15.75" customHeight="1" x14ac:dyDescent="0.25">
      <c r="B91" s="70"/>
      <c r="C91" s="214"/>
      <c r="D91" s="214" t="s">
        <v>955</v>
      </c>
      <c r="E91" s="214"/>
    </row>
    <row r="92" spans="2:10" ht="15.75" customHeight="1" x14ac:dyDescent="0.25">
      <c r="B92" s="70"/>
      <c r="C92" s="214" t="s">
        <v>956</v>
      </c>
      <c r="D92" s="313" t="s">
        <v>957</v>
      </c>
      <c r="E92" s="214" t="s">
        <v>958</v>
      </c>
    </row>
    <row r="93" spans="2:10" ht="15.75" customHeight="1" x14ac:dyDescent="0.25">
      <c r="B93" s="70"/>
      <c r="C93" s="214" t="s">
        <v>959</v>
      </c>
      <c r="D93" s="313">
        <v>0.307</v>
      </c>
      <c r="E93" s="313">
        <v>0.43</v>
      </c>
    </row>
    <row r="94" spans="2:10" ht="15.75" customHeight="1" x14ac:dyDescent="0.25">
      <c r="B94" s="70"/>
      <c r="C94" s="214" t="s">
        <v>960</v>
      </c>
      <c r="D94" s="313">
        <v>0.29599999999999999</v>
      </c>
      <c r="E94" s="313">
        <v>0.33600000000000002</v>
      </c>
    </row>
    <row r="95" spans="2:10" ht="15.75" customHeight="1" x14ac:dyDescent="0.25">
      <c r="B95" s="70"/>
      <c r="C95" s="214" t="s">
        <v>961</v>
      </c>
      <c r="D95" s="313">
        <v>0.10100000000000001</v>
      </c>
      <c r="E95" s="313">
        <v>0.114</v>
      </c>
    </row>
    <row r="96" spans="2:10" ht="15.75" customHeight="1" x14ac:dyDescent="0.25">
      <c r="B96" s="70"/>
      <c r="C96" s="214" t="s">
        <v>944</v>
      </c>
      <c r="D96" s="314">
        <v>0.29599999999999999</v>
      </c>
      <c r="E96" s="314">
        <v>0.12</v>
      </c>
    </row>
    <row r="97" spans="2:5" ht="15.75" customHeight="1" x14ac:dyDescent="0.25">
      <c r="B97" s="70"/>
      <c r="E97" s="820"/>
    </row>
    <row r="98" spans="2:5" ht="15.75" customHeight="1" x14ac:dyDescent="0.25">
      <c r="B98" s="70"/>
    </row>
    <row r="99" spans="2:5" ht="15.75" customHeight="1" x14ac:dyDescent="0.25">
      <c r="B99" s="70"/>
    </row>
    <row r="100" spans="2:5" ht="15.75" customHeight="1" x14ac:dyDescent="0.25">
      <c r="B100" s="70" t="s">
        <v>952</v>
      </c>
      <c r="C100" s="70"/>
      <c r="D100" s="12" t="s">
        <v>962</v>
      </c>
    </row>
    <row r="101" spans="2:5" ht="15.75" customHeight="1" x14ac:dyDescent="0.25">
      <c r="B101" s="70"/>
      <c r="C101" s="12" t="s">
        <v>948</v>
      </c>
      <c r="D101" s="266">
        <v>0.60299999999999998</v>
      </c>
    </row>
    <row r="102" spans="2:5" ht="15.75" customHeight="1" x14ac:dyDescent="0.25">
      <c r="B102" s="70"/>
      <c r="C102" s="12" t="s">
        <v>63</v>
      </c>
      <c r="D102" s="266">
        <v>0.57799999999999996</v>
      </c>
    </row>
    <row r="103" spans="2:5" ht="15.75" customHeight="1" x14ac:dyDescent="0.25">
      <c r="B103" s="70"/>
      <c r="C103" s="12" t="s">
        <v>943</v>
      </c>
      <c r="D103" s="228">
        <v>0.64</v>
      </c>
    </row>
    <row r="104" spans="2:5" ht="15.75" customHeight="1" x14ac:dyDescent="0.25">
      <c r="B104" s="70"/>
      <c r="C104" s="12" t="s">
        <v>963</v>
      </c>
      <c r="D104" s="228">
        <v>0.7</v>
      </c>
    </row>
    <row r="105" spans="2:5" ht="15.75" customHeight="1" x14ac:dyDescent="0.25">
      <c r="B105" s="70"/>
    </row>
    <row r="106" spans="2:5" ht="15.75" customHeight="1" x14ac:dyDescent="0.25">
      <c r="B106" s="70"/>
    </row>
    <row r="107" spans="2:5" ht="15.75" customHeight="1" x14ac:dyDescent="0.25">
      <c r="B107" s="70"/>
    </row>
    <row r="108" spans="2:5" ht="15.75" customHeight="1" x14ac:dyDescent="0.25">
      <c r="B108" s="70"/>
    </row>
    <row r="109" spans="2:5" ht="15.75" customHeight="1" x14ac:dyDescent="0.25">
      <c r="B109" s="70"/>
    </row>
    <row r="110" spans="2:5" ht="15.75" customHeight="1" x14ac:dyDescent="0.25">
      <c r="B110" s="70"/>
    </row>
    <row r="111" spans="2:5" ht="15.75" customHeight="1" x14ac:dyDescent="0.25">
      <c r="B111" s="70"/>
    </row>
    <row r="112" spans="2:5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0F96-ADC7-4BBD-975B-8878E3C84253}">
  <dimension ref="A1:X218"/>
  <sheetViews>
    <sheetView showGridLines="0" topLeftCell="A41" zoomScale="115" zoomScaleNormal="115" workbookViewId="0">
      <selection activeCell="E37" sqref="E37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7" t="s">
        <v>1611</v>
      </c>
      <c r="B1" s="857"/>
      <c r="C1" s="12" t="s">
        <v>964</v>
      </c>
      <c r="D1" s="12">
        <v>119.96</v>
      </c>
      <c r="E1" s="12" t="s">
        <v>698</v>
      </c>
    </row>
    <row r="2" spans="1:24" x14ac:dyDescent="0.25">
      <c r="A2" s="862">
        <f>41868000000/(1000000000000000)</f>
        <v>4.1868E-5</v>
      </c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3" spans="1:24" x14ac:dyDescent="0.25">
      <c r="A3" s="857" t="s">
        <v>1612</v>
      </c>
      <c r="J3" s="828" t="s">
        <v>1576</v>
      </c>
      <c r="K3">
        <v>8.33</v>
      </c>
      <c r="L3" s="821" t="s">
        <v>1577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21" t="s">
        <v>1578</v>
      </c>
      <c r="M4" s="821" t="s">
        <v>1579</v>
      </c>
      <c r="O4" s="14" t="s">
        <v>509</v>
      </c>
      <c r="P4" s="821" t="s">
        <v>1580</v>
      </c>
    </row>
    <row r="5" spans="1:24" ht="75" x14ac:dyDescent="0.25">
      <c r="C5" s="14"/>
      <c r="D5" s="14" t="str">
        <f>'Bases de Cálculo'!G4</f>
        <v>kt/PJ</v>
      </c>
      <c r="E5" s="825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1575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6" t="s">
        <v>1574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7" t="str">
        <f>'5. Data'!J70</f>
        <v>Cupiagua (Cupiagua + Liria + Sur)</v>
      </c>
      <c r="K6" s="431">
        <f>'5. Data'!K70</f>
        <v>48</v>
      </c>
      <c r="L6" s="827">
        <f>141.5/(K6+131.5)</f>
        <v>0.78830083565459608</v>
      </c>
      <c r="M6" s="829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9">
        <f>+(1/C7)*1000/365</f>
        <v>2.7137894079321097</v>
      </c>
      <c r="F7" s="821" t="s">
        <v>1594</v>
      </c>
      <c r="G7" s="222"/>
      <c r="J7" s="837" t="str">
        <f>'5. Data'!J71</f>
        <v>Cusiana (Cusiana + Norte)</v>
      </c>
      <c r="K7" s="431">
        <f>'5. Data'!K71</f>
        <v>52</v>
      </c>
      <c r="L7" s="827">
        <f t="shared" ref="L7:L22" si="1">141.5/(K7+131.5)</f>
        <v>0.77111716621253401</v>
      </c>
      <c r="M7" s="829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953"/>
      <c r="U7" s="952" t="s">
        <v>1574</v>
      </c>
      <c r="V7" s="952"/>
      <c r="W7" s="830"/>
      <c r="X7" s="830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9">
        <f t="shared" ref="E8:E17" si="3">+(1/C8)*1000/365</f>
        <v>0.45008175418663371</v>
      </c>
      <c r="F8" s="821" t="s">
        <v>1595</v>
      </c>
      <c r="G8" s="222"/>
      <c r="J8" s="837" t="str">
        <f>'5. Data'!J72</f>
        <v>Pauto Sur (Sur + Recetor)</v>
      </c>
      <c r="K8" s="431">
        <f>'5. Data'!K72</f>
        <v>46</v>
      </c>
      <c r="L8" s="827">
        <f t="shared" si="1"/>
        <v>0.79718309859154934</v>
      </c>
      <c r="M8" s="829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21"/>
      <c r="T8" s="954"/>
      <c r="U8" s="831" t="s">
        <v>1581</v>
      </c>
      <c r="V8" s="831" t="s">
        <v>577</v>
      </c>
      <c r="W8" s="832" t="s">
        <v>689</v>
      </c>
      <c r="X8" s="831" t="s">
        <v>1582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9">
        <f t="shared" si="3"/>
        <v>0.45008175418663371</v>
      </c>
      <c r="F9" s="821" t="s">
        <v>1595</v>
      </c>
      <c r="G9" s="222"/>
      <c r="J9" s="837" t="str">
        <f>'5. Data'!J73</f>
        <v>Floreña (Floreña + Mirador)</v>
      </c>
      <c r="K9" s="431">
        <f>'5. Data'!K73</f>
        <v>45.5</v>
      </c>
      <c r="L9" s="827">
        <f t="shared" si="1"/>
        <v>0.79943502824858759</v>
      </c>
      <c r="M9" s="829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4" t="s">
        <v>1585</v>
      </c>
      <c r="T9" s="831" t="s">
        <v>1120</v>
      </c>
      <c r="U9" s="833">
        <f>+O6+O7+O8+O9+O15</f>
        <v>50394.967671232887</v>
      </c>
      <c r="V9" s="833">
        <f>+P6+P7+P8+P9+P15</f>
        <v>14036925.491415592</v>
      </c>
      <c r="W9" s="830">
        <f>+V9/U9</f>
        <v>278.5382378452905</v>
      </c>
      <c r="X9" s="834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9">
        <f t="shared" si="3"/>
        <v>0.45008175418663371</v>
      </c>
      <c r="F10" s="821" t="s">
        <v>1595</v>
      </c>
      <c r="G10" s="222"/>
      <c r="J10" s="837" t="str">
        <f>'5. Data'!J74</f>
        <v>Rubiales</v>
      </c>
      <c r="K10" s="431">
        <f>'5. Data'!K74</f>
        <v>12.850000000000001</v>
      </c>
      <c r="L10" s="827">
        <f t="shared" si="1"/>
        <v>0.98025632144094221</v>
      </c>
      <c r="M10" s="829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4" t="s">
        <v>1584</v>
      </c>
      <c r="T10" s="831" t="s">
        <v>1119</v>
      </c>
      <c r="U10" s="833">
        <f>+O16+O18+O19+O20+O21+O22</f>
        <v>85083.722575342501</v>
      </c>
      <c r="V10" s="833">
        <f>+P16+P18+P19+P20+P21+P22</f>
        <v>27428038.695017595</v>
      </c>
      <c r="W10" s="830">
        <f t="shared" ref="W10:W11" si="5">+V10/U10</f>
        <v>322.36528756402009</v>
      </c>
      <c r="X10" s="834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9">
        <f t="shared" si="3"/>
        <v>0.51393323412466374</v>
      </c>
      <c r="F11" s="821" t="s">
        <v>1595</v>
      </c>
      <c r="G11" s="222"/>
      <c r="J11" s="837" t="str">
        <f>'5. Data'!J75</f>
        <v>Castilla (c, e, n, n)</v>
      </c>
      <c r="K11" s="431">
        <f>'5. Data'!K75</f>
        <v>13.7</v>
      </c>
      <c r="L11" s="827">
        <f t="shared" si="1"/>
        <v>0.97451790633608826</v>
      </c>
      <c r="M11" s="829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4" t="s">
        <v>1583</v>
      </c>
      <c r="T11" s="831" t="s">
        <v>1118</v>
      </c>
      <c r="U11" s="833">
        <f>+O10+O11+O12+O13+O14</f>
        <v>326153.27038356167</v>
      </c>
      <c r="V11" s="833">
        <f>+P10+P11+P12+P13+P14</f>
        <v>111749377.46739072</v>
      </c>
      <c r="W11" s="830">
        <f t="shared" si="5"/>
        <v>342.62841312604837</v>
      </c>
      <c r="X11" s="834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9">
        <f t="shared" si="3"/>
        <v>0.48312441779760712</v>
      </c>
      <c r="F12" s="821" t="s">
        <v>1595</v>
      </c>
      <c r="G12" s="222"/>
      <c r="J12" s="837" t="str">
        <f>'5. Data'!J76</f>
        <v>Chichimene</v>
      </c>
      <c r="K12" s="431">
        <f>'5. Data'!K76</f>
        <v>13.5</v>
      </c>
      <c r="L12" s="827">
        <f t="shared" si="1"/>
        <v>0.97586206896551719</v>
      </c>
      <c r="M12" s="829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9">
        <f t="shared" si="3"/>
        <v>0.58146123623339163</v>
      </c>
      <c r="F13" s="821" t="s">
        <v>1595</v>
      </c>
      <c r="G13" s="222"/>
      <c r="J13" s="837" t="str">
        <f>'5. Data'!J77</f>
        <v>Akacias</v>
      </c>
      <c r="K13" s="431">
        <f>'5. Data'!K77</f>
        <v>8</v>
      </c>
      <c r="L13" s="827">
        <f t="shared" si="1"/>
        <v>1.0143369175627239</v>
      </c>
      <c r="M13" s="829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9">
        <f t="shared" si="3"/>
        <v>0.67543055511774464</v>
      </c>
      <c r="F14" s="821" t="s">
        <v>1595</v>
      </c>
      <c r="G14" s="222"/>
      <c r="J14" s="837" t="str">
        <f>'5. Data'!J78</f>
        <v>Apiay</v>
      </c>
      <c r="K14" s="431">
        <f>'5. Data'!K78</f>
        <v>13.5</v>
      </c>
      <c r="L14" s="827">
        <f t="shared" si="1"/>
        <v>0.97586206896551719</v>
      </c>
      <c r="M14" s="829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9">
        <f t="shared" si="3"/>
        <v>0.50170591923532903</v>
      </c>
      <c r="F15" s="821" t="s">
        <v>1595</v>
      </c>
      <c r="G15" s="222"/>
      <c r="J15" s="837" t="str">
        <f>'5. Data'!J79</f>
        <v>Orito</v>
      </c>
      <c r="K15" s="431">
        <f>'5. Data'!K79</f>
        <v>35</v>
      </c>
      <c r="L15" s="827">
        <f t="shared" si="1"/>
        <v>0.8498498498498499</v>
      </c>
      <c r="M15" s="829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9">
        <f t="shared" si="3"/>
        <v>0.57538937954927816</v>
      </c>
      <c r="F16" s="821" t="s">
        <v>1595</v>
      </c>
      <c r="G16" s="222"/>
      <c r="J16" s="837" t="str">
        <f>'5. Data'!J80</f>
        <v>Casabe</v>
      </c>
      <c r="K16" s="431">
        <f>'5. Data'!K80</f>
        <v>21</v>
      </c>
      <c r="L16" s="827">
        <f t="shared" si="1"/>
        <v>0.9278688524590164</v>
      </c>
      <c r="M16" s="829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9">
        <f t="shared" si="3"/>
        <v>2.7334361451242213</v>
      </c>
      <c r="F17" s="821" t="s">
        <v>1595</v>
      </c>
      <c r="G17" s="222"/>
      <c r="J17" s="837" t="str">
        <f>'5. Data'!J81</f>
        <v>Area Teca-Corcona</v>
      </c>
      <c r="K17" s="431">
        <f>'5. Data'!K81</f>
        <v>12.5</v>
      </c>
      <c r="L17" s="827">
        <f t="shared" si="1"/>
        <v>0.98263888888888884</v>
      </c>
      <c r="M17" s="829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1606</v>
      </c>
      <c r="J18" s="837" t="str">
        <f>'5. Data'!J82</f>
        <v>Yarigui-Cantagallo</v>
      </c>
      <c r="K18" s="431">
        <f>'5. Data'!K82</f>
        <v>21</v>
      </c>
      <c r="L18" s="827">
        <f t="shared" si="1"/>
        <v>0.9278688524590164</v>
      </c>
      <c r="M18" s="829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7" t="str">
        <f>'5. Data'!J83</f>
        <v>La Cira</v>
      </c>
      <c r="K19" s="431">
        <f>'5. Data'!K83</f>
        <v>22.5</v>
      </c>
      <c r="L19" s="827">
        <f t="shared" si="1"/>
        <v>0.91883116883116878</v>
      </c>
      <c r="M19" s="829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7" t="s">
        <v>964</v>
      </c>
      <c r="C20">
        <v>120.1</v>
      </c>
      <c r="D20" s="857" t="s">
        <v>698</v>
      </c>
      <c r="J20" s="837" t="str">
        <f>'5. Data'!J84</f>
        <v>Dina</v>
      </c>
      <c r="K20" s="431">
        <f>'5. Data'!K84</f>
        <v>23</v>
      </c>
      <c r="L20" s="827">
        <f t="shared" si="1"/>
        <v>0.91585760517799353</v>
      </c>
      <c r="M20" s="829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7" t="s">
        <v>964</v>
      </c>
      <c r="C21">
        <f>+C20/1000</f>
        <v>0.1201</v>
      </c>
      <c r="D21" s="857" t="s">
        <v>1625</v>
      </c>
      <c r="J21" s="837" t="str">
        <f>'5. Data'!J85</f>
        <v>San Francisco</v>
      </c>
      <c r="K21" s="431">
        <f>'5. Data'!K85</f>
        <v>25.5</v>
      </c>
      <c r="L21" s="827">
        <f t="shared" si="1"/>
        <v>0.90127388535031849</v>
      </c>
      <c r="M21" s="829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7" t="str">
        <f>'5. Data'!J86</f>
        <v>Tello</v>
      </c>
      <c r="K22" s="431">
        <f>'5. Data'!K86</f>
        <v>21</v>
      </c>
      <c r="L22" s="827">
        <f t="shared" si="1"/>
        <v>0.9278688524590164</v>
      </c>
      <c r="M22" s="829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5" t="s">
        <v>1586</v>
      </c>
      <c r="S29" s="835"/>
    </row>
    <row r="30" spans="1:19" x14ac:dyDescent="0.25">
      <c r="C30" s="869"/>
    </row>
    <row r="31" spans="1:19" x14ac:dyDescent="0.25">
      <c r="C31" s="856" t="s">
        <v>935</v>
      </c>
      <c r="D31" s="821" t="s">
        <v>1587</v>
      </c>
      <c r="E31">
        <v>20</v>
      </c>
      <c r="F31" s="821" t="s">
        <v>1582</v>
      </c>
    </row>
    <row r="32" spans="1:19" x14ac:dyDescent="0.25">
      <c r="C32" s="856" t="s">
        <v>921</v>
      </c>
      <c r="D32" s="821" t="s">
        <v>1588</v>
      </c>
      <c r="E32" s="836">
        <v>0.3</v>
      </c>
    </row>
    <row r="33" spans="3:10" x14ac:dyDescent="0.25">
      <c r="C33" s="869"/>
      <c r="G33" s="841"/>
      <c r="H33" s="841" t="s">
        <v>1581</v>
      </c>
      <c r="I33" s="841" t="s">
        <v>1578</v>
      </c>
      <c r="J33" s="841" t="s">
        <v>577</v>
      </c>
    </row>
    <row r="34" spans="3:10" x14ac:dyDescent="0.25">
      <c r="C34" s="869"/>
      <c r="D34" s="852" t="s">
        <v>1591</v>
      </c>
      <c r="G34" s="841" t="s">
        <v>1582</v>
      </c>
      <c r="H34" s="841" t="s">
        <v>1589</v>
      </c>
      <c r="I34" s="841" t="s">
        <v>689</v>
      </c>
      <c r="J34" s="841" t="s">
        <v>1590</v>
      </c>
    </row>
    <row r="35" spans="3:10" x14ac:dyDescent="0.25">
      <c r="C35" s="869"/>
      <c r="D35" s="821" t="s">
        <v>831</v>
      </c>
      <c r="E35" s="836">
        <v>0.3</v>
      </c>
      <c r="G35" s="842">
        <f>+X9</f>
        <v>46.232114566966032</v>
      </c>
      <c r="H35" s="841">
        <v>30</v>
      </c>
      <c r="I35" s="843">
        <f>+(141.5/(G35+131.5))*$K$4</f>
        <v>278.5382378452905</v>
      </c>
      <c r="J35" s="845">
        <f>+I35*H35</f>
        <v>8356.1471353587149</v>
      </c>
    </row>
    <row r="36" spans="3:10" x14ac:dyDescent="0.25">
      <c r="C36" s="869"/>
      <c r="D36" s="821" t="s">
        <v>833</v>
      </c>
      <c r="E36" s="844">
        <f>+H36/100</f>
        <v>0</v>
      </c>
      <c r="G36" s="842">
        <f>+X10</f>
        <v>22.068612719099065</v>
      </c>
      <c r="H36" s="842">
        <v>0</v>
      </c>
      <c r="I36" s="843">
        <f>+(141.5/(G36+131.5))*$K$4</f>
        <v>322.36528756402009</v>
      </c>
      <c r="J36" s="845">
        <f>+I36*H36</f>
        <v>0</v>
      </c>
    </row>
    <row r="37" spans="3:10" x14ac:dyDescent="0.25">
      <c r="C37" s="869"/>
      <c r="D37" s="821" t="s">
        <v>835</v>
      </c>
      <c r="E37" s="844">
        <f>+H37/100</f>
        <v>0.70983175746414107</v>
      </c>
      <c r="G37" s="842">
        <f>+X11</f>
        <v>12.986528564073609</v>
      </c>
      <c r="H37" s="842">
        <v>70.983175746414105</v>
      </c>
      <c r="I37" s="843">
        <f t="shared" ref="I37" si="6">+(141.5/(G37+131.5))*$K$4</f>
        <v>342.62841312604837</v>
      </c>
      <c r="J37" s="845">
        <f>+I37*H37</f>
        <v>24320.852864641271</v>
      </c>
    </row>
    <row r="38" spans="3:10" x14ac:dyDescent="0.25">
      <c r="C38" s="869"/>
      <c r="E38" s="838">
        <f>+SUM(E35:E37)</f>
        <v>1.0098317574641411</v>
      </c>
      <c r="G38" s="841">
        <f>+(141.5/(I38/K4)-131.5)</f>
        <v>20</v>
      </c>
      <c r="H38" s="842">
        <f>+SUM(H35:H37)</f>
        <v>100.9831757464141</v>
      </c>
      <c r="I38" s="843">
        <f>+(141.5/(G39+131.5))*$K$4</f>
        <v>326.7669306930693</v>
      </c>
      <c r="J38" s="846">
        <f>+SUM(J35:J37)</f>
        <v>32676.999999999985</v>
      </c>
    </row>
    <row r="39" spans="3:10" x14ac:dyDescent="0.25">
      <c r="C39" s="869"/>
      <c r="G39" s="847">
        <f>+E31</f>
        <v>20</v>
      </c>
      <c r="H39" s="847"/>
      <c r="I39" s="847"/>
      <c r="J39" s="848">
        <f>+I38*H38</f>
        <v>32997.962390294531</v>
      </c>
    </row>
    <row r="41" spans="3:10" x14ac:dyDescent="0.25">
      <c r="C41" s="856" t="s">
        <v>924</v>
      </c>
      <c r="D41" s="852" t="s">
        <v>1592</v>
      </c>
      <c r="G41" s="841"/>
      <c r="H41" s="841" t="s">
        <v>1581</v>
      </c>
      <c r="I41" s="841" t="s">
        <v>1578</v>
      </c>
      <c r="J41" s="841" t="s">
        <v>577</v>
      </c>
    </row>
    <row r="42" spans="3:10" x14ac:dyDescent="0.25">
      <c r="D42" s="821" t="s">
        <v>831</v>
      </c>
      <c r="E42" s="836">
        <v>0.15</v>
      </c>
      <c r="G42" s="841" t="s">
        <v>1582</v>
      </c>
      <c r="H42" s="841" t="s">
        <v>1589</v>
      </c>
      <c r="I42" s="841" t="s">
        <v>689</v>
      </c>
      <c r="J42" s="841" t="s">
        <v>1590</v>
      </c>
    </row>
    <row r="43" spans="3:10" x14ac:dyDescent="0.25">
      <c r="D43" s="821" t="s">
        <v>833</v>
      </c>
      <c r="E43" s="844">
        <v>0.25</v>
      </c>
      <c r="G43" s="842">
        <f>+G35</f>
        <v>46.232114566966032</v>
      </c>
      <c r="H43" s="841">
        <v>30</v>
      </c>
      <c r="I43" s="843">
        <f>+(141.5/(G43+131.5))*$K$4</f>
        <v>278.5382378452905</v>
      </c>
      <c r="J43" s="845">
        <f>+I43*H43</f>
        <v>8356.1471353587149</v>
      </c>
    </row>
    <row r="44" spans="3:10" x14ac:dyDescent="0.25">
      <c r="D44" s="821" t="s">
        <v>835</v>
      </c>
      <c r="E44" s="844">
        <v>0.6</v>
      </c>
      <c r="G44" s="842">
        <f>+G36</f>
        <v>22.068612719099065</v>
      </c>
      <c r="H44" s="842">
        <v>0</v>
      </c>
      <c r="I44" s="843">
        <f>+(141.5/(G44+131.5))*$K$4</f>
        <v>322.36528756402009</v>
      </c>
      <c r="J44" s="845">
        <f>+I44*H44</f>
        <v>0</v>
      </c>
    </row>
    <row r="45" spans="3:10" x14ac:dyDescent="0.25">
      <c r="E45" s="838">
        <f>+SUM(E42:E44)</f>
        <v>1</v>
      </c>
      <c r="G45" s="842">
        <f>+G37</f>
        <v>12.986528564073609</v>
      </c>
      <c r="H45" s="842">
        <v>70</v>
      </c>
      <c r="I45" s="843">
        <f t="shared" ref="I45" si="7">+(141.5/(G45+131.5))*$K$4</f>
        <v>342.62841312604837</v>
      </c>
      <c r="J45" s="845">
        <f>+I45*H45</f>
        <v>23983.988918823386</v>
      </c>
    </row>
    <row r="46" spans="3:10" x14ac:dyDescent="0.25">
      <c r="G46" s="841">
        <f>+(141.5/(I46/K4)-131.5)</f>
        <v>20</v>
      </c>
      <c r="H46" s="842">
        <f>+SUM(H43:H45)</f>
        <v>100</v>
      </c>
      <c r="I46" s="843">
        <f>+(141.5/(G47+131.5))*$K$4</f>
        <v>326.7669306930693</v>
      </c>
      <c r="J46" s="846">
        <f>+SUM(J43:J45)</f>
        <v>32340.136054182101</v>
      </c>
    </row>
    <row r="47" spans="3:10" x14ac:dyDescent="0.25">
      <c r="G47" s="847">
        <f>+E31</f>
        <v>20</v>
      </c>
      <c r="H47" s="847"/>
      <c r="I47" s="847"/>
      <c r="J47" s="848">
        <f>+I46*H46</f>
        <v>32676.69306930693</v>
      </c>
    </row>
    <row r="49" spans="3:6" x14ac:dyDescent="0.25">
      <c r="D49" s="851" t="s">
        <v>536</v>
      </c>
    </row>
    <row r="50" spans="3:6" x14ac:dyDescent="0.25">
      <c r="D50" s="821" t="s">
        <v>1599</v>
      </c>
      <c r="E50">
        <f>+General_SEC_SGC!F20+General_SEC_SGC!F21+General_SEC_SGC!F22+General_SEC_SGC!F23+General_SEC_SGC!F24+General_SEC_SGC!F25+General_SEC_SGC!F26</f>
        <v>2.7603</v>
      </c>
      <c r="F50" s="821" t="s">
        <v>480</v>
      </c>
    </row>
    <row r="51" spans="3:6" x14ac:dyDescent="0.25">
      <c r="D51" s="840" t="s">
        <v>1593</v>
      </c>
      <c r="E51" s="850">
        <f>+E50*($C$8/1000)</f>
        <v>1.6802426854852597E-2</v>
      </c>
      <c r="F51" s="840" t="s">
        <v>1596</v>
      </c>
    </row>
    <row r="52" spans="3:6" x14ac:dyDescent="0.25">
      <c r="D52" s="840" t="s">
        <v>1593</v>
      </c>
      <c r="E52" s="850">
        <f>+E51*1000</f>
        <v>16.802426854852598</v>
      </c>
      <c r="F52" s="840" t="s">
        <v>1597</v>
      </c>
    </row>
    <row r="53" spans="3:6" x14ac:dyDescent="0.25">
      <c r="D53" s="840" t="s">
        <v>1593</v>
      </c>
      <c r="E53" s="850">
        <f>+E52</f>
        <v>16.802426854852598</v>
      </c>
      <c r="F53" s="840" t="s">
        <v>1598</v>
      </c>
    </row>
    <row r="56" spans="3:6" ht="18.75" x14ac:dyDescent="0.3">
      <c r="D56" s="835" t="s">
        <v>1600</v>
      </c>
    </row>
    <row r="58" spans="3:6" x14ac:dyDescent="0.25">
      <c r="D58" s="851" t="s">
        <v>1639</v>
      </c>
    </row>
    <row r="59" spans="3:6" x14ac:dyDescent="0.25">
      <c r="C59" s="70" t="s">
        <v>1605</v>
      </c>
      <c r="D59" s="18" t="s">
        <v>1030</v>
      </c>
      <c r="E59" s="12">
        <v>165</v>
      </c>
      <c r="F59" s="365" t="s">
        <v>513</v>
      </c>
    </row>
    <row r="60" spans="3:6" x14ac:dyDescent="0.25">
      <c r="C60" s="70" t="s">
        <v>1604</v>
      </c>
      <c r="D60" s="18" t="s">
        <v>1032</v>
      </c>
      <c r="E60" s="12">
        <v>155</v>
      </c>
      <c r="F60" s="365" t="s">
        <v>513</v>
      </c>
    </row>
    <row r="61" spans="3:6" x14ac:dyDescent="0.25">
      <c r="C61" s="853"/>
      <c r="D61" s="18" t="s">
        <v>1602</v>
      </c>
      <c r="E61" s="275">
        <f>+E59*365*C8/1000</f>
        <v>366.60006424428417</v>
      </c>
      <c r="F61" s="365" t="s">
        <v>59</v>
      </c>
    </row>
    <row r="62" spans="3:6" x14ac:dyDescent="0.25">
      <c r="C62" s="853"/>
      <c r="D62" s="18" t="s">
        <v>1603</v>
      </c>
      <c r="E62" s="275">
        <f>+E60*365*C9/1000</f>
        <v>344.3818785325094</v>
      </c>
      <c r="F62" s="365" t="s">
        <v>59</v>
      </c>
    </row>
    <row r="63" spans="3:6" x14ac:dyDescent="0.25">
      <c r="C63" s="853"/>
      <c r="D63" s="18"/>
      <c r="E63" s="275"/>
      <c r="F63" s="365"/>
    </row>
    <row r="64" spans="3:6" x14ac:dyDescent="0.25">
      <c r="C64" s="70" t="s">
        <v>1642</v>
      </c>
      <c r="D64" s="18" t="s">
        <v>1637</v>
      </c>
      <c r="E64" s="868">
        <f>+E60/E59</f>
        <v>0.93939393939393945</v>
      </c>
      <c r="F64" s="365"/>
    </row>
    <row r="65" spans="1:9" x14ac:dyDescent="0.25">
      <c r="C65" s="70" t="s">
        <v>1641</v>
      </c>
      <c r="D65" s="18" t="s">
        <v>1638</v>
      </c>
      <c r="E65" s="868">
        <v>0.95</v>
      </c>
      <c r="F65" s="365"/>
    </row>
    <row r="66" spans="1:9" x14ac:dyDescent="0.25">
      <c r="C66" s="853"/>
      <c r="D66" s="18"/>
      <c r="E66" s="868"/>
      <c r="F66" s="365"/>
    </row>
    <row r="67" spans="1:9" x14ac:dyDescent="0.25">
      <c r="C67" s="70" t="s">
        <v>1644</v>
      </c>
      <c r="D67" s="18" t="s">
        <v>1640</v>
      </c>
      <c r="E67" s="871">
        <v>4.8099999999999996</v>
      </c>
      <c r="F67" s="870" t="s">
        <v>1643</v>
      </c>
    </row>
    <row r="68" spans="1:9" x14ac:dyDescent="0.25">
      <c r="A68" s="872">
        <v>8.2176851262728707</v>
      </c>
      <c r="C68" s="853"/>
      <c r="D68" s="18" t="s">
        <v>1645</v>
      </c>
      <c r="E68" s="871">
        <f>+E67/A68</f>
        <v>0.58532298647241721</v>
      </c>
      <c r="F68" s="870" t="s">
        <v>773</v>
      </c>
    </row>
    <row r="70" spans="1:9" x14ac:dyDescent="0.25">
      <c r="D70" s="851" t="s">
        <v>1601</v>
      </c>
    </row>
    <row r="71" spans="1:9" x14ac:dyDescent="0.25">
      <c r="E71" s="863" t="s">
        <v>586</v>
      </c>
      <c r="F71" s="286" t="s">
        <v>59</v>
      </c>
    </row>
    <row r="72" spans="1:9" x14ac:dyDescent="0.25">
      <c r="C72" s="856" t="s">
        <v>1605</v>
      </c>
      <c r="D72" s="857" t="s">
        <v>1616</v>
      </c>
      <c r="E72" s="812">
        <f>0.17+0.015+0.035+0.043</f>
        <v>0.26300000000000001</v>
      </c>
      <c r="F72" s="839">
        <f>+E72*365*C21</f>
        <v>11.528999500000001</v>
      </c>
    </row>
    <row r="73" spans="1:9" x14ac:dyDescent="0.25">
      <c r="C73" s="856" t="s">
        <v>1605</v>
      </c>
      <c r="D73" s="857" t="s">
        <v>1615</v>
      </c>
      <c r="E73">
        <v>33.799999999999997</v>
      </c>
      <c r="F73" s="839">
        <f>+(E73*C17/1000)*365</f>
        <v>12.365388545948255</v>
      </c>
      <c r="I73" s="857"/>
    </row>
    <row r="74" spans="1:9" x14ac:dyDescent="0.25">
      <c r="C74" s="856" t="s">
        <v>1614</v>
      </c>
      <c r="D74" s="857" t="s">
        <v>1617</v>
      </c>
      <c r="E74" s="839">
        <f>+G79-E73</f>
        <v>37.977777777777774</v>
      </c>
      <c r="F74" s="839">
        <f>+(E74*C7/1000)*365</f>
        <v>13.994371732299081</v>
      </c>
    </row>
    <row r="75" spans="1:9" x14ac:dyDescent="0.25">
      <c r="C75" s="856" t="s">
        <v>1607</v>
      </c>
      <c r="D75" s="821" t="s">
        <v>782</v>
      </c>
      <c r="E75" s="858">
        <v>0</v>
      </c>
      <c r="F75" s="858">
        <v>0</v>
      </c>
    </row>
    <row r="76" spans="1:9" x14ac:dyDescent="0.25">
      <c r="C76" s="856" t="s">
        <v>1608</v>
      </c>
      <c r="D76" s="857" t="s">
        <v>1618</v>
      </c>
      <c r="E76">
        <v>347</v>
      </c>
      <c r="F76" s="812">
        <f>+(E76/E14)/1000</f>
        <v>0.51374637610155072</v>
      </c>
    </row>
    <row r="77" spans="1:9" x14ac:dyDescent="0.25">
      <c r="C77" s="856"/>
      <c r="D77" s="821"/>
    </row>
    <row r="79" spans="1:9" x14ac:dyDescent="0.25">
      <c r="C79" s="856" t="s">
        <v>1613</v>
      </c>
      <c r="D79" s="857" t="s">
        <v>1609</v>
      </c>
      <c r="E79" s="839">
        <v>165</v>
      </c>
      <c r="F79" s="857" t="s">
        <v>1610</v>
      </c>
      <c r="G79" s="860">
        <f>+SLOPE(G80:G81,E80:E81)*E79+INTERCEPT(G80:G81,E80:E81)</f>
        <v>71.777777777777771</v>
      </c>
      <c r="H79" s="857" t="s">
        <v>538</v>
      </c>
    </row>
    <row r="80" spans="1:9" x14ac:dyDescent="0.25">
      <c r="A80" s="855"/>
      <c r="C80" s="856" t="s">
        <v>1605</v>
      </c>
      <c r="D80" s="857" t="s">
        <v>1609</v>
      </c>
      <c r="E80">
        <v>200</v>
      </c>
      <c r="F80" s="857" t="s">
        <v>1610</v>
      </c>
      <c r="G80">
        <v>78</v>
      </c>
      <c r="H80" s="861" t="s">
        <v>538</v>
      </c>
      <c r="I80" s="821"/>
    </row>
    <row r="81" spans="1:9" x14ac:dyDescent="0.25">
      <c r="A81" s="812"/>
      <c r="B81" s="822"/>
      <c r="C81" s="856" t="s">
        <v>1605</v>
      </c>
      <c r="D81" s="857" t="s">
        <v>1609</v>
      </c>
      <c r="E81">
        <v>245</v>
      </c>
      <c r="F81" s="857" t="s">
        <v>1610</v>
      </c>
      <c r="G81" s="859">
        <v>86</v>
      </c>
      <c r="H81" s="857" t="s">
        <v>538</v>
      </c>
    </row>
    <row r="82" spans="1:9" x14ac:dyDescent="0.25">
      <c r="A82" s="812"/>
      <c r="B82" s="822"/>
      <c r="C82" s="821"/>
      <c r="D82" s="821"/>
      <c r="E82" s="812"/>
      <c r="F82" s="821"/>
    </row>
    <row r="83" spans="1:9" x14ac:dyDescent="0.25">
      <c r="A83" s="812"/>
      <c r="B83" s="839"/>
      <c r="C83" s="821"/>
      <c r="D83" s="851" t="s">
        <v>1619</v>
      </c>
      <c r="E83" s="812"/>
      <c r="F83" s="821"/>
    </row>
    <row r="85" spans="1:9" x14ac:dyDescent="0.25">
      <c r="D85" s="857" t="s">
        <v>1620</v>
      </c>
      <c r="E85" s="807">
        <f>+F72/E61</f>
        <v>3.144843829682923E-2</v>
      </c>
      <c r="F85" s="857" t="s">
        <v>533</v>
      </c>
      <c r="I85" s="812"/>
    </row>
    <row r="86" spans="1:9" x14ac:dyDescent="0.25">
      <c r="D86" s="857" t="s">
        <v>1621</v>
      </c>
      <c r="E86">
        <f>+F73/E61</f>
        <v>3.372991374521029E-2</v>
      </c>
      <c r="F86" s="857" t="s">
        <v>533</v>
      </c>
      <c r="I86" s="812"/>
    </row>
    <row r="87" spans="1:9" x14ac:dyDescent="0.25">
      <c r="D87" s="857" t="s">
        <v>1622</v>
      </c>
      <c r="E87">
        <f>+F74/E61</f>
        <v>3.8173402290987937E-2</v>
      </c>
      <c r="F87" s="857" t="s">
        <v>533</v>
      </c>
      <c r="I87" s="812"/>
    </row>
    <row r="88" spans="1:9" x14ac:dyDescent="0.25">
      <c r="D88" s="857" t="s">
        <v>1623</v>
      </c>
      <c r="E88" s="858">
        <v>0</v>
      </c>
      <c r="I88" s="812"/>
    </row>
    <row r="89" spans="1:9" x14ac:dyDescent="0.25">
      <c r="D89" s="857" t="s">
        <v>1624</v>
      </c>
      <c r="E89">
        <f>+F76/E62</f>
        <v>1.4917927107278191E-3</v>
      </c>
      <c r="F89" s="857" t="s">
        <v>533</v>
      </c>
      <c r="I89" s="812"/>
    </row>
    <row r="90" spans="1:9" x14ac:dyDescent="0.25">
      <c r="E90" s="864">
        <f>+SUM(E85:E89)</f>
        <v>0.10484354704375527</v>
      </c>
      <c r="F90" s="857" t="s">
        <v>533</v>
      </c>
      <c r="H90" s="812">
        <f>+E90*$E$62</f>
        <v>36.106217682939963</v>
      </c>
      <c r="I90" s="882" t="s">
        <v>59</v>
      </c>
    </row>
    <row r="93" spans="1:9" ht="18.75" x14ac:dyDescent="0.3">
      <c r="D93" s="835" t="s">
        <v>1626</v>
      </c>
    </row>
    <row r="95" spans="1:9" x14ac:dyDescent="0.25">
      <c r="E95" s="391"/>
      <c r="F95" s="392" t="s">
        <v>586</v>
      </c>
      <c r="G95" s="392" t="s">
        <v>993</v>
      </c>
    </row>
    <row r="96" spans="1:9" x14ac:dyDescent="0.25">
      <c r="B96" s="856" t="s">
        <v>1629</v>
      </c>
      <c r="C96" s="856" t="s">
        <v>1628</v>
      </c>
      <c r="E96" s="393" t="s">
        <v>1044</v>
      </c>
      <c r="F96" s="394">
        <f>394.77/299.7</f>
        <v>1.3172172172172172</v>
      </c>
      <c r="G96" s="395">
        <f>+F96</f>
        <v>1.3172172172172172</v>
      </c>
      <c r="H96" s="12" t="s">
        <v>1045</v>
      </c>
    </row>
    <row r="97" spans="2:8" x14ac:dyDescent="0.25">
      <c r="B97" s="856"/>
      <c r="C97" s="856"/>
      <c r="E97" s="393"/>
      <c r="F97" s="394"/>
      <c r="G97" s="395"/>
      <c r="H97" s="12"/>
    </row>
    <row r="99" spans="2:8" ht="18.75" x14ac:dyDescent="0.3">
      <c r="D99" s="835" t="s">
        <v>1627</v>
      </c>
    </row>
    <row r="101" spans="2:8" x14ac:dyDescent="0.25">
      <c r="E101" s="865" t="s">
        <v>586</v>
      </c>
      <c r="F101" s="865" t="s">
        <v>993</v>
      </c>
      <c r="H101" s="857" t="s">
        <v>1655</v>
      </c>
    </row>
    <row r="102" spans="2:8" x14ac:dyDescent="0.25">
      <c r="C102" s="856" t="s">
        <v>1605</v>
      </c>
      <c r="D102" s="857" t="s">
        <v>1631</v>
      </c>
      <c r="E102" s="866">
        <f>+E103+E104+E105+E106+E107</f>
        <v>160.5</v>
      </c>
      <c r="F102" s="839">
        <f>+SUM(F103:F108)</f>
        <v>331.52912709130356</v>
      </c>
      <c r="G102" s="857" t="s">
        <v>59</v>
      </c>
    </row>
    <row r="103" spans="2:8" x14ac:dyDescent="0.25">
      <c r="C103" s="856" t="s">
        <v>1605</v>
      </c>
      <c r="D103" s="857" t="s">
        <v>959</v>
      </c>
      <c r="E103">
        <f>36.8+12.6</f>
        <v>49.4</v>
      </c>
      <c r="F103" s="839">
        <f>+E103*365*C11/1000</f>
        <v>96.121435081229123</v>
      </c>
      <c r="G103" s="857" t="s">
        <v>59</v>
      </c>
      <c r="H103" s="844">
        <f>+F103/SUM($F$103:$F$108)</f>
        <v>0.28993360530508427</v>
      </c>
    </row>
    <row r="104" spans="2:8" x14ac:dyDescent="0.25">
      <c r="C104" s="856" t="s">
        <v>1605</v>
      </c>
      <c r="D104" s="857" t="s">
        <v>1020</v>
      </c>
      <c r="E104">
        <v>94</v>
      </c>
      <c r="F104" s="839">
        <f>+E104*365*C12/1000</f>
        <v>194.56685801250259</v>
      </c>
      <c r="G104" s="857" t="s">
        <v>59</v>
      </c>
      <c r="H104" s="844">
        <f t="shared" ref="H104:H107" si="8">+F104/SUM($F$103:$F$108)</f>
        <v>0.58687711610605675</v>
      </c>
    </row>
    <row r="105" spans="2:8" x14ac:dyDescent="0.25">
      <c r="C105" s="856" t="s">
        <v>1605</v>
      </c>
      <c r="D105" s="857" t="s">
        <v>1630</v>
      </c>
      <c r="E105">
        <v>10.199999999999999</v>
      </c>
      <c r="F105" s="839">
        <f>+E105*365*C13/1000</f>
        <v>17.542012028306285</v>
      </c>
      <c r="G105" s="857" t="s">
        <v>59</v>
      </c>
      <c r="H105" s="844">
        <f t="shared" si="8"/>
        <v>5.2912430899247027E-2</v>
      </c>
    </row>
    <row r="106" spans="2:8" x14ac:dyDescent="0.25">
      <c r="C106" s="856" t="s">
        <v>1605</v>
      </c>
      <c r="D106" s="857" t="s">
        <v>782</v>
      </c>
      <c r="E106">
        <v>1.4</v>
      </c>
      <c r="F106" s="839">
        <f>+E106*365*C15/1000</f>
        <v>2.7904793352524089</v>
      </c>
      <c r="G106" s="857" t="s">
        <v>59</v>
      </c>
      <c r="H106" s="844">
        <f t="shared" si="8"/>
        <v>8.4169959959020657E-3</v>
      </c>
    </row>
    <row r="107" spans="2:8" x14ac:dyDescent="0.25">
      <c r="C107" s="856" t="s">
        <v>1605</v>
      </c>
      <c r="D107" s="857" t="s">
        <v>22</v>
      </c>
      <c r="E107" s="857">
        <v>5.5</v>
      </c>
      <c r="F107" s="839">
        <f>+E107*365*C14/1000</f>
        <v>8.1429540880649238</v>
      </c>
      <c r="G107" s="857" t="s">
        <v>59</v>
      </c>
      <c r="H107" s="844">
        <f t="shared" si="8"/>
        <v>2.4561805955053667E-2</v>
      </c>
    </row>
    <row r="108" spans="2:8" x14ac:dyDescent="0.25">
      <c r="C108" s="856" t="s">
        <v>1634</v>
      </c>
      <c r="D108" s="857" t="s">
        <v>1633</v>
      </c>
      <c r="E108">
        <f>+F108*E17</f>
        <v>33.799999999999997</v>
      </c>
      <c r="F108" s="839">
        <f>+F73</f>
        <v>12.365388545948255</v>
      </c>
      <c r="G108" s="857" t="s">
        <v>59</v>
      </c>
      <c r="H108" s="844">
        <f>+F108/SUM($F$103:$F$108)</f>
        <v>3.7298045738656353E-2</v>
      </c>
    </row>
    <row r="109" spans="2:8" x14ac:dyDescent="0.25">
      <c r="H109" s="836">
        <f>+SUM(H103:H108)</f>
        <v>1</v>
      </c>
    </row>
    <row r="111" spans="2:8" x14ac:dyDescent="0.25">
      <c r="D111" s="851" t="s">
        <v>1632</v>
      </c>
    </row>
    <row r="112" spans="2:8" x14ac:dyDescent="0.25">
      <c r="D112" s="857" t="s">
        <v>959</v>
      </c>
      <c r="E112" s="811">
        <f>+F103/$E$61</f>
        <v>0.26219699464421958</v>
      </c>
      <c r="F112" s="857" t="s">
        <v>533</v>
      </c>
    </row>
    <row r="113" spans="1:6" x14ac:dyDescent="0.25">
      <c r="D113" s="857" t="s">
        <v>1020</v>
      </c>
      <c r="E113" s="811">
        <f t="shared" ref="E113:E117" si="9">+F104/$E$61</f>
        <v>0.53073328945968989</v>
      </c>
      <c r="F113" s="857" t="s">
        <v>533</v>
      </c>
    </row>
    <row r="114" spans="1:6" x14ac:dyDescent="0.25">
      <c r="D114" s="857" t="s">
        <v>1630</v>
      </c>
      <c r="E114" s="811">
        <f t="shared" si="9"/>
        <v>4.7850542700988603E-2</v>
      </c>
      <c r="F114" s="857" t="s">
        <v>533</v>
      </c>
    </row>
    <row r="115" spans="1:6" x14ac:dyDescent="0.25">
      <c r="D115" s="857" t="s">
        <v>782</v>
      </c>
      <c r="E115" s="811">
        <f t="shared" si="9"/>
        <v>7.611780813527003E-3</v>
      </c>
      <c r="F115" s="857" t="s">
        <v>533</v>
      </c>
    </row>
    <row r="116" spans="1:6" x14ac:dyDescent="0.25">
      <c r="D116" s="857" t="s">
        <v>22</v>
      </c>
      <c r="E116" s="811">
        <f t="shared" si="9"/>
        <v>2.2212091274045335E-2</v>
      </c>
      <c r="F116" s="857" t="s">
        <v>533</v>
      </c>
    </row>
    <row r="117" spans="1:6" x14ac:dyDescent="0.25">
      <c r="D117" s="857" t="s">
        <v>1633</v>
      </c>
      <c r="E117" s="811">
        <f t="shared" si="9"/>
        <v>3.372991374521029E-2</v>
      </c>
      <c r="F117" s="857" t="s">
        <v>533</v>
      </c>
    </row>
    <row r="119" spans="1:6" x14ac:dyDescent="0.25">
      <c r="C119" s="856" t="s">
        <v>1646</v>
      </c>
      <c r="D119" s="857" t="s">
        <v>1635</v>
      </c>
      <c r="E119" s="867">
        <f>+F102/E61</f>
        <v>0.90433461263768067</v>
      </c>
      <c r="F119" s="857"/>
    </row>
    <row r="120" spans="1:6" x14ac:dyDescent="0.25">
      <c r="C120" s="856"/>
    </row>
    <row r="124" spans="1:6" x14ac:dyDescent="0.25">
      <c r="A124" s="327" t="s">
        <v>270</v>
      </c>
      <c r="B124" s="1"/>
      <c r="C124" s="1"/>
      <c r="D124" s="1"/>
      <c r="E124" s="1"/>
      <c r="F124" s="1"/>
    </row>
    <row r="125" spans="1:6" x14ac:dyDescent="0.25">
      <c r="A125" s="331" t="s">
        <v>271</v>
      </c>
      <c r="B125" s="332" t="s">
        <v>42</v>
      </c>
      <c r="C125" s="332" t="s">
        <v>272</v>
      </c>
      <c r="D125" s="332" t="s">
        <v>273</v>
      </c>
      <c r="E125" s="332" t="s">
        <v>274</v>
      </c>
      <c r="F125" s="333" t="s">
        <v>275</v>
      </c>
    </row>
    <row r="126" spans="1:6" x14ac:dyDescent="0.25">
      <c r="A126" s="1" t="s">
        <v>289</v>
      </c>
      <c r="B126" s="1"/>
      <c r="C126" s="17" t="s">
        <v>975</v>
      </c>
      <c r="D126" s="1" t="s">
        <v>976</v>
      </c>
      <c r="E126" s="1" t="s">
        <v>59</v>
      </c>
      <c r="F126" s="1" t="s">
        <v>288</v>
      </c>
    </row>
    <row r="127" spans="1:6" x14ac:dyDescent="0.25">
      <c r="A127" s="1"/>
      <c r="B127" s="1"/>
      <c r="C127" s="338" t="s">
        <v>979</v>
      </c>
      <c r="D127" s="328" t="s">
        <v>980</v>
      </c>
      <c r="E127" s="1" t="s">
        <v>59</v>
      </c>
      <c r="F127" s="1" t="s">
        <v>288</v>
      </c>
    </row>
    <row r="128" spans="1:6" x14ac:dyDescent="0.25">
      <c r="A128" s="1"/>
      <c r="B128" s="1"/>
      <c r="C128" s="342" t="s">
        <v>981</v>
      </c>
      <c r="D128" s="328" t="s">
        <v>982</v>
      </c>
      <c r="E128" s="1" t="s">
        <v>59</v>
      </c>
      <c r="F128" s="1" t="s">
        <v>288</v>
      </c>
    </row>
    <row r="129" spans="1:6" x14ac:dyDescent="0.25">
      <c r="A129" s="1"/>
      <c r="B129" s="1"/>
      <c r="C129" s="17" t="s">
        <v>983</v>
      </c>
      <c r="D129" s="328" t="s">
        <v>984</v>
      </c>
      <c r="E129" s="1" t="s">
        <v>59</v>
      </c>
      <c r="F129" s="1" t="s">
        <v>288</v>
      </c>
    </row>
    <row r="130" spans="1:6" x14ac:dyDescent="0.25">
      <c r="A130" s="328"/>
      <c r="B130" s="328"/>
      <c r="C130" s="18" t="s">
        <v>985</v>
      </c>
      <c r="D130" s="12" t="s">
        <v>986</v>
      </c>
      <c r="E130" s="1" t="s">
        <v>59</v>
      </c>
      <c r="F130" s="1" t="s">
        <v>288</v>
      </c>
    </row>
    <row r="131" spans="1:6" x14ac:dyDescent="0.25">
      <c r="A131" s="328"/>
      <c r="B131" s="328"/>
      <c r="C131" s="18" t="s">
        <v>987</v>
      </c>
      <c r="D131" s="12" t="s">
        <v>988</v>
      </c>
      <c r="E131" s="12" t="s">
        <v>59</v>
      </c>
      <c r="F131" s="344" t="s">
        <v>288</v>
      </c>
    </row>
    <row r="132" spans="1:6" x14ac:dyDescent="0.25">
      <c r="A132" s="328"/>
      <c r="B132" s="328"/>
      <c r="C132" s="18" t="s">
        <v>989</v>
      </c>
      <c r="D132" s="328" t="s">
        <v>990</v>
      </c>
      <c r="E132" s="328" t="s">
        <v>59</v>
      </c>
      <c r="F132" s="344" t="s">
        <v>288</v>
      </c>
    </row>
    <row r="133" spans="1:6" ht="15.75" customHeight="1" x14ac:dyDescent="0.25">
      <c r="A133" s="328"/>
      <c r="B133" s="328"/>
      <c r="C133" s="1" t="s">
        <v>1647</v>
      </c>
      <c r="D133" s="1" t="s">
        <v>1648</v>
      </c>
      <c r="E133" s="328" t="s">
        <v>59</v>
      </c>
      <c r="F133" s="344" t="s">
        <v>288</v>
      </c>
    </row>
    <row r="134" spans="1:6" x14ac:dyDescent="0.25">
      <c r="A134" s="328"/>
      <c r="B134" s="328"/>
      <c r="C134" s="1" t="s">
        <v>1649</v>
      </c>
      <c r="D134" s="1" t="s">
        <v>1650</v>
      </c>
      <c r="E134" s="328" t="s">
        <v>59</v>
      </c>
      <c r="F134" s="344" t="s">
        <v>288</v>
      </c>
    </row>
    <row r="135" spans="1:6" x14ac:dyDescent="0.25">
      <c r="A135" s="328"/>
      <c r="B135" s="328"/>
      <c r="F135" s="1"/>
    </row>
    <row r="136" spans="1:6" x14ac:dyDescent="0.25">
      <c r="A136" s="328"/>
      <c r="B136" s="328"/>
      <c r="F136" s="328"/>
    </row>
    <row r="137" spans="1:6" x14ac:dyDescent="0.25">
      <c r="A137" s="328"/>
      <c r="B137" s="328"/>
      <c r="C137" s="328"/>
      <c r="D137" s="328"/>
      <c r="E137" s="328"/>
      <c r="F137" s="328"/>
    </row>
    <row r="138" spans="1:6" x14ac:dyDescent="0.25">
      <c r="A138" s="348" t="s">
        <v>40</v>
      </c>
      <c r="B138" s="348"/>
      <c r="C138" s="349"/>
      <c r="D138" s="349"/>
      <c r="E138" s="349"/>
      <c r="F138" s="328"/>
    </row>
    <row r="139" spans="1:6" x14ac:dyDescent="0.25">
      <c r="A139" s="331" t="s">
        <v>41</v>
      </c>
      <c r="B139" s="332" t="s">
        <v>42</v>
      </c>
      <c r="C139" s="332" t="s">
        <v>43</v>
      </c>
      <c r="D139" s="332" t="s">
        <v>44</v>
      </c>
      <c r="E139" s="333" t="s">
        <v>45</v>
      </c>
      <c r="F139" s="328"/>
    </row>
    <row r="140" spans="1:6" x14ac:dyDescent="0.25">
      <c r="A140" s="350" t="s">
        <v>58</v>
      </c>
      <c r="B140" s="350"/>
      <c r="C140" s="1" t="s">
        <v>977</v>
      </c>
      <c r="D140" s="1" t="s">
        <v>999</v>
      </c>
      <c r="E140" s="1" t="s">
        <v>59</v>
      </c>
      <c r="F140" s="328"/>
    </row>
    <row r="141" spans="1:6" x14ac:dyDescent="0.25">
      <c r="A141" s="1"/>
      <c r="B141" s="1"/>
      <c r="C141" s="12" t="s">
        <v>1002</v>
      </c>
      <c r="D141" s="12" t="s">
        <v>1003</v>
      </c>
      <c r="E141" s="12" t="s">
        <v>59</v>
      </c>
      <c r="F141" s="328"/>
    </row>
    <row r="142" spans="1:6" x14ac:dyDescent="0.25">
      <c r="A142" s="1"/>
      <c r="B142" s="328"/>
      <c r="C142" s="12" t="s">
        <v>1004</v>
      </c>
      <c r="D142" s="12" t="s">
        <v>1005</v>
      </c>
      <c r="E142" s="12" t="s">
        <v>59</v>
      </c>
      <c r="F142" s="328"/>
    </row>
    <row r="143" spans="1:6" x14ac:dyDescent="0.25">
      <c r="A143" s="1"/>
      <c r="B143" s="328"/>
      <c r="C143" s="18" t="s">
        <v>1006</v>
      </c>
      <c r="D143" s="12" t="s">
        <v>1007</v>
      </c>
      <c r="E143" s="12" t="s">
        <v>59</v>
      </c>
      <c r="F143" s="328"/>
    </row>
    <row r="144" spans="1:6" x14ac:dyDescent="0.25">
      <c r="C144" s="18" t="s">
        <v>1009</v>
      </c>
      <c r="D144" s="18" t="s">
        <v>1010</v>
      </c>
      <c r="E144" s="344" t="s">
        <v>59</v>
      </c>
    </row>
    <row r="145" spans="1:7" x14ac:dyDescent="0.25">
      <c r="A145" s="1"/>
      <c r="B145" s="1"/>
      <c r="C145" s="18" t="s">
        <v>1011</v>
      </c>
      <c r="D145" s="18" t="s">
        <v>1012</v>
      </c>
      <c r="E145" s="344" t="s">
        <v>59</v>
      </c>
    </row>
    <row r="146" spans="1:7" x14ac:dyDescent="0.25">
      <c r="A146" s="1"/>
      <c r="B146" s="1"/>
      <c r="C146" s="18" t="s">
        <v>1651</v>
      </c>
      <c r="D146" s="857" t="s">
        <v>1653</v>
      </c>
      <c r="E146" s="344" t="s">
        <v>59</v>
      </c>
      <c r="F146" s="328"/>
    </row>
    <row r="147" spans="1:7" x14ac:dyDescent="0.25">
      <c r="A147" s="1"/>
      <c r="B147" s="1"/>
      <c r="C147" s="1" t="s">
        <v>1652</v>
      </c>
      <c r="D147" s="1" t="s">
        <v>1654</v>
      </c>
      <c r="E147" s="344" t="s">
        <v>59</v>
      </c>
      <c r="F147" s="328"/>
    </row>
    <row r="148" spans="1:7" x14ac:dyDescent="0.25">
      <c r="A148" s="877"/>
      <c r="B148" s="877"/>
      <c r="C148" s="877"/>
      <c r="D148" s="877"/>
      <c r="E148" s="877"/>
      <c r="F148" s="328"/>
    </row>
    <row r="149" spans="1:7" x14ac:dyDescent="0.25">
      <c r="A149" s="336" t="s">
        <v>804</v>
      </c>
      <c r="B149" s="328"/>
      <c r="C149" s="1"/>
      <c r="D149" s="1"/>
    </row>
    <row r="150" spans="1:7" x14ac:dyDescent="0.25">
      <c r="A150" s="360" t="s">
        <v>272</v>
      </c>
      <c r="B150" s="360" t="s">
        <v>805</v>
      </c>
      <c r="C150" s="360" t="s">
        <v>806</v>
      </c>
      <c r="D150" s="360" t="s">
        <v>854</v>
      </c>
    </row>
    <row r="151" spans="1:7" x14ac:dyDescent="0.25">
      <c r="A151" s="16" t="str">
        <f>+C131</f>
        <v>FTE-GAS-REF1</v>
      </c>
      <c r="B151" s="16" t="s">
        <v>7</v>
      </c>
      <c r="C151" s="16" t="str">
        <f>+C144</f>
        <v>GAS-REF1</v>
      </c>
      <c r="D151" s="292">
        <v>1</v>
      </c>
    </row>
    <row r="152" spans="1:7" x14ac:dyDescent="0.25">
      <c r="A152" s="16" t="str">
        <f>+C132</f>
        <v>FTE-HFO-REF1</v>
      </c>
      <c r="B152" s="16" t="s">
        <v>26</v>
      </c>
      <c r="C152" s="16" t="str">
        <f>+C145</f>
        <v>HFO-REF1</v>
      </c>
      <c r="D152" s="322">
        <v>1</v>
      </c>
      <c r="F152" s="1"/>
    </row>
    <row r="153" spans="1:7" x14ac:dyDescent="0.25">
      <c r="A153" s="813" t="str">
        <f>+C133</f>
        <v>FTE-LPG-REF1</v>
      </c>
      <c r="B153" s="2" t="s">
        <v>22</v>
      </c>
      <c r="C153" s="2" t="str">
        <f>+C146</f>
        <v>LPG-REF1</v>
      </c>
      <c r="D153" s="400">
        <v>1</v>
      </c>
      <c r="E153" s="1"/>
      <c r="F153" s="1"/>
    </row>
    <row r="154" spans="1:7" x14ac:dyDescent="0.25">
      <c r="A154" s="813" t="str">
        <f>+C134</f>
        <v>FTE-RFG1</v>
      </c>
      <c r="B154" s="2" t="s">
        <v>121</v>
      </c>
      <c r="C154" s="2" t="str">
        <f>+C147</f>
        <v>RFG1-REF1</v>
      </c>
      <c r="D154" s="400">
        <v>1</v>
      </c>
      <c r="E154" s="1"/>
      <c r="F154" s="1"/>
    </row>
    <row r="157" spans="1:7" ht="18.75" x14ac:dyDescent="0.3">
      <c r="C157" s="835" t="s">
        <v>1586</v>
      </c>
    </row>
    <row r="160" spans="1:7" x14ac:dyDescent="0.25">
      <c r="C160" s="329" t="s">
        <v>804</v>
      </c>
      <c r="D160" s="1"/>
      <c r="E160" s="1"/>
      <c r="F160" s="1"/>
      <c r="G160" s="1"/>
    </row>
    <row r="161" spans="3:11" x14ac:dyDescent="0.25">
      <c r="C161" s="334" t="s">
        <v>272</v>
      </c>
      <c r="D161" s="209" t="s">
        <v>805</v>
      </c>
      <c r="E161" s="209" t="s">
        <v>806</v>
      </c>
      <c r="F161" s="209" t="s">
        <v>974</v>
      </c>
      <c r="G161" s="335" t="s">
        <v>854</v>
      </c>
    </row>
    <row r="162" spans="3:11" x14ac:dyDescent="0.25">
      <c r="C162" s="16" t="str">
        <f>+C126</f>
        <v>MIX-OIL-REF1</v>
      </c>
      <c r="D162" s="16" t="s">
        <v>13</v>
      </c>
      <c r="E162" s="16" t="s">
        <v>977</v>
      </c>
      <c r="F162" s="292">
        <f>+E42</f>
        <v>0.15</v>
      </c>
      <c r="G162" s="322">
        <v>1</v>
      </c>
    </row>
    <row r="163" spans="3:11" x14ac:dyDescent="0.25">
      <c r="C163" s="16"/>
      <c r="D163" s="214" t="s">
        <v>21</v>
      </c>
      <c r="E163" s="16"/>
      <c r="F163" s="322">
        <f>+E44</f>
        <v>0.6</v>
      </c>
      <c r="G163" s="16"/>
    </row>
    <row r="164" spans="3:11" x14ac:dyDescent="0.25">
      <c r="D164" s="16" t="s">
        <v>17</v>
      </c>
      <c r="E164" s="214"/>
      <c r="F164" s="295">
        <f>+E43</f>
        <v>0.25</v>
      </c>
      <c r="G164" s="214"/>
    </row>
    <row r="166" spans="3:11" x14ac:dyDescent="0.25">
      <c r="C166" s="336"/>
      <c r="D166" s="207"/>
      <c r="E166" s="207"/>
    </row>
    <row r="167" spans="3:11" x14ac:dyDescent="0.25">
      <c r="C167" s="337" t="s">
        <v>272</v>
      </c>
      <c r="D167" s="337" t="s">
        <v>806</v>
      </c>
      <c r="E167" s="337" t="s">
        <v>978</v>
      </c>
    </row>
    <row r="168" spans="3:11" x14ac:dyDescent="0.25">
      <c r="C168" s="339" t="str">
        <f>+C162</f>
        <v>MIX-OIL-REF1</v>
      </c>
      <c r="D168" s="340" t="s">
        <v>135</v>
      </c>
      <c r="E168" s="341">
        <f>+E50</f>
        <v>2.7603</v>
      </c>
    </row>
    <row r="171" spans="3:11" ht="18.75" x14ac:dyDescent="0.3">
      <c r="C171" s="835" t="s">
        <v>1600</v>
      </c>
    </row>
    <row r="174" spans="3:11" x14ac:dyDescent="0.25">
      <c r="C174" s="336" t="s">
        <v>1008</v>
      </c>
      <c r="D174" s="328"/>
      <c r="E174" s="1"/>
      <c r="G174" s="283" t="s">
        <v>910</v>
      </c>
    </row>
    <row r="175" spans="3:11" ht="15.75" thickBot="1" x14ac:dyDescent="0.3">
      <c r="C175" s="354" t="s">
        <v>272</v>
      </c>
      <c r="D175" s="355" t="s">
        <v>805</v>
      </c>
      <c r="E175" s="356" t="s">
        <v>898</v>
      </c>
      <c r="G175" s="284" t="s">
        <v>43</v>
      </c>
      <c r="H175" s="285" t="str">
        <f>+'REF1'!C151</f>
        <v>GAS-REF1</v>
      </c>
      <c r="I175" s="285" t="str">
        <f>+'REF1'!C152</f>
        <v>HFO-REF1</v>
      </c>
      <c r="J175" s="285" t="str">
        <f>+'REF1'!C147</f>
        <v>RFG1-REF1</v>
      </c>
      <c r="K175" s="285" t="str">
        <f>+'REF1'!C153</f>
        <v>LPG-REF1</v>
      </c>
    </row>
    <row r="176" spans="3:11" ht="15.75" thickBot="1" x14ac:dyDescent="0.3">
      <c r="C176" s="357" t="s">
        <v>979</v>
      </c>
      <c r="D176" s="1" t="str">
        <f>+E162</f>
        <v>OIL-REF1</v>
      </c>
      <c r="E176" s="879">
        <f>1/(1+SUM($E$85:$E$89))</f>
        <v>0.90510552618577855</v>
      </c>
      <c r="G176" s="211" t="s">
        <v>859</v>
      </c>
      <c r="H176" s="212" t="s">
        <v>480</v>
      </c>
      <c r="I176" s="212" t="s">
        <v>480</v>
      </c>
      <c r="J176" s="212" t="s">
        <v>480</v>
      </c>
      <c r="K176" s="212" t="s">
        <v>480</v>
      </c>
    </row>
    <row r="177" spans="3:11" s="874" customFormat="1" x14ac:dyDescent="0.25">
      <c r="C177" s="16"/>
      <c r="D177" s="873" t="str">
        <f>+C142</f>
        <v>H2-REF1</v>
      </c>
      <c r="E177" s="879">
        <f>E85/(1+SUM($E$85:$E$89))</f>
        <v>2.846415529237261E-2</v>
      </c>
      <c r="G177" s="12" t="str">
        <f>+COMM!AK44</f>
        <v>CO2e-REF1</v>
      </c>
      <c r="H177" s="286">
        <f>+'3. Scope3'!G9</f>
        <v>55.539114956987063</v>
      </c>
      <c r="I177" s="286">
        <f>+'3. Scope3'!G8</f>
        <v>78.281203343664757</v>
      </c>
      <c r="J177" s="286">
        <f>+'Bases de Cálculo'!G25</f>
        <v>40.784041574326501</v>
      </c>
      <c r="K177" s="286">
        <f>+'3. Scope3'!H26</f>
        <v>47.28933824683137</v>
      </c>
    </row>
    <row r="178" spans="3:11" s="874" customFormat="1" x14ac:dyDescent="0.25">
      <c r="C178" s="1"/>
      <c r="D178" s="875" t="str">
        <f>+C151</f>
        <v>GAS-REF1</v>
      </c>
      <c r="E178" s="879">
        <f>E87/(1+SUM($E$85:$E$89))</f>
        <v>3.4550957366886043E-2</v>
      </c>
    </row>
    <row r="179" spans="3:11" s="874" customFormat="1" x14ac:dyDescent="0.25">
      <c r="C179" s="1"/>
      <c r="D179" s="876" t="str">
        <f>+C154</f>
        <v>RFG1-REF1</v>
      </c>
      <c r="E179" s="879">
        <f>E86/(1+SUM($E$85:$E$89))</f>
        <v>3.0529131328559483E-2</v>
      </c>
      <c r="G179" s="878"/>
    </row>
    <row r="180" spans="3:11" s="874" customFormat="1" x14ac:dyDescent="0.25">
      <c r="D180" s="874" t="str">
        <f>+C153</f>
        <v>LPG-REF1</v>
      </c>
      <c r="E180" s="879">
        <f>E89/(1+SUM($E$85:$E$89))</f>
        <v>1.3502298264034115E-3</v>
      </c>
    </row>
    <row r="183" spans="3:11" ht="18.75" x14ac:dyDescent="0.3">
      <c r="C183" s="835" t="s">
        <v>1626</v>
      </c>
    </row>
    <row r="185" spans="3:11" x14ac:dyDescent="0.25">
      <c r="C185" s="329" t="s">
        <v>804</v>
      </c>
      <c r="D185" s="1"/>
      <c r="E185" s="1"/>
      <c r="F185" s="397"/>
      <c r="G185" s="1"/>
    </row>
    <row r="186" spans="3:11" x14ac:dyDescent="0.25">
      <c r="C186" s="355" t="s">
        <v>272</v>
      </c>
      <c r="D186" s="355" t="s">
        <v>852</v>
      </c>
      <c r="E186" s="355" t="s">
        <v>1038</v>
      </c>
      <c r="F186" s="355" t="s">
        <v>897</v>
      </c>
      <c r="G186" s="398" t="s">
        <v>898</v>
      </c>
    </row>
    <row r="187" spans="3:11" x14ac:dyDescent="0.25">
      <c r="C187" s="389" t="str">
        <f>+C128</f>
        <v>SMR-REF1</v>
      </c>
      <c r="D187" s="389" t="s">
        <v>1039</v>
      </c>
      <c r="E187" s="16">
        <v>2019</v>
      </c>
      <c r="F187" s="399"/>
      <c r="G187" s="389"/>
    </row>
    <row r="188" spans="3:11" x14ac:dyDescent="0.25">
      <c r="C188" s="389" t="str">
        <f>+C187</f>
        <v>SMR-REF1</v>
      </c>
      <c r="D188" s="16" t="s">
        <v>854</v>
      </c>
      <c r="E188" s="16">
        <v>2019</v>
      </c>
      <c r="F188" s="1"/>
      <c r="G188" s="400">
        <f>1/G96</f>
        <v>0.75917622919674754</v>
      </c>
    </row>
    <row r="189" spans="3:11" x14ac:dyDescent="0.25">
      <c r="C189" s="1"/>
      <c r="D189" s="1"/>
      <c r="E189" s="1"/>
      <c r="F189" s="1"/>
      <c r="G189" s="1"/>
    </row>
    <row r="190" spans="3:11" x14ac:dyDescent="0.25">
      <c r="C190" s="1"/>
      <c r="D190" s="1"/>
      <c r="E190" s="1"/>
      <c r="F190" s="1"/>
      <c r="G190" s="1"/>
    </row>
    <row r="191" spans="3:11" x14ac:dyDescent="0.25">
      <c r="C191" s="336" t="s">
        <v>804</v>
      </c>
      <c r="D191" s="328"/>
      <c r="E191" s="1"/>
      <c r="F191" s="1"/>
      <c r="G191" s="1"/>
    </row>
    <row r="192" spans="3:11" x14ac:dyDescent="0.25">
      <c r="C192" s="355" t="s">
        <v>272</v>
      </c>
      <c r="D192" s="355" t="s">
        <v>805</v>
      </c>
      <c r="E192" s="355" t="s">
        <v>806</v>
      </c>
      <c r="F192" s="1"/>
      <c r="G192" s="1"/>
    </row>
    <row r="193" spans="3:7" x14ac:dyDescent="0.25">
      <c r="C193" s="2" t="str">
        <f>+C187</f>
        <v>SMR-REF1</v>
      </c>
      <c r="D193" s="2" t="str">
        <f>+D178</f>
        <v>GAS-REF1</v>
      </c>
      <c r="E193" s="2" t="str">
        <f>+D177</f>
        <v>H2-REF1</v>
      </c>
      <c r="F193" s="1"/>
      <c r="G193" s="1"/>
    </row>
    <row r="196" spans="3:7" ht="18.75" x14ac:dyDescent="0.3">
      <c r="C196" s="835" t="s">
        <v>1627</v>
      </c>
    </row>
    <row r="198" spans="3:7" x14ac:dyDescent="0.25">
      <c r="C198" s="336" t="s">
        <v>1025</v>
      </c>
      <c r="D198" s="269"/>
      <c r="E198" s="207"/>
    </row>
    <row r="199" spans="3:7" x14ac:dyDescent="0.25">
      <c r="C199" s="334" t="s">
        <v>272</v>
      </c>
      <c r="D199" s="371" t="s">
        <v>806</v>
      </c>
      <c r="E199" s="372" t="s">
        <v>897</v>
      </c>
    </row>
    <row r="200" spans="3:7" x14ac:dyDescent="0.25">
      <c r="C200" s="349" t="s">
        <v>979</v>
      </c>
      <c r="D200" s="1" t="s">
        <v>8</v>
      </c>
      <c r="E200" s="266">
        <f>+H103</f>
        <v>0.28993360530508427</v>
      </c>
    </row>
    <row r="201" spans="3:7" x14ac:dyDescent="0.25">
      <c r="C201" s="1"/>
      <c r="D201" s="1" t="s">
        <v>14</v>
      </c>
      <c r="E201" s="266">
        <f>+H104</f>
        <v>0.58687711610605675</v>
      </c>
    </row>
    <row r="202" spans="3:7" x14ac:dyDescent="0.25">
      <c r="C202" s="1"/>
      <c r="D202" s="1" t="s">
        <v>18</v>
      </c>
      <c r="E202" s="266">
        <f>+H105</f>
        <v>5.2912430899247027E-2</v>
      </c>
    </row>
    <row r="203" spans="3:7" x14ac:dyDescent="0.25">
      <c r="C203" s="1"/>
      <c r="D203" s="1" t="s">
        <v>22</v>
      </c>
      <c r="E203" s="266">
        <f>+H107</f>
        <v>2.4561805955053667E-2</v>
      </c>
    </row>
    <row r="204" spans="3:7" x14ac:dyDescent="0.25">
      <c r="C204" s="1"/>
      <c r="D204" s="1" t="s">
        <v>26</v>
      </c>
      <c r="E204" s="266">
        <f>+H106</f>
        <v>8.4169959959020657E-3</v>
      </c>
    </row>
    <row r="205" spans="3:7" x14ac:dyDescent="0.25">
      <c r="C205" s="1"/>
      <c r="D205" s="1" t="s">
        <v>121</v>
      </c>
      <c r="E205" s="880">
        <f>+H108</f>
        <v>3.7298045738656353E-2</v>
      </c>
    </row>
    <row r="206" spans="3:7" x14ac:dyDescent="0.25">
      <c r="D206" s="1"/>
      <c r="E206" s="266"/>
    </row>
    <row r="207" spans="3:7" x14ac:dyDescent="0.25">
      <c r="E207" s="374">
        <v>1</v>
      </c>
    </row>
    <row r="211" spans="3:7" ht="18.75" x14ac:dyDescent="0.3">
      <c r="C211" s="835" t="s">
        <v>1636</v>
      </c>
    </row>
    <row r="213" spans="3:7" x14ac:dyDescent="0.25">
      <c r="C213" s="381" t="s">
        <v>804</v>
      </c>
      <c r="D213" s="16"/>
      <c r="E213" s="16"/>
      <c r="F213" s="336"/>
      <c r="G213" s="16"/>
    </row>
    <row r="214" spans="3:7" x14ac:dyDescent="0.25">
      <c r="C214" s="354" t="s">
        <v>272</v>
      </c>
      <c r="D214" s="355" t="s">
        <v>852</v>
      </c>
      <c r="E214" s="355" t="s">
        <v>1038</v>
      </c>
      <c r="F214" s="355" t="s">
        <v>897</v>
      </c>
      <c r="G214" s="382" t="s">
        <v>898</v>
      </c>
    </row>
    <row r="215" spans="3:7" x14ac:dyDescent="0.25">
      <c r="C215" s="384" t="s">
        <v>979</v>
      </c>
      <c r="D215" s="385" t="s">
        <v>1039</v>
      </c>
      <c r="E215" s="16">
        <v>2019</v>
      </c>
      <c r="F215" s="386">
        <f>+E64*E61*E119</f>
        <v>311.43645272213371</v>
      </c>
    </row>
    <row r="216" spans="3:7" x14ac:dyDescent="0.25">
      <c r="C216" s="388" t="s">
        <v>979</v>
      </c>
      <c r="D216" s="214" t="s">
        <v>1039</v>
      </c>
      <c r="E216" s="881">
        <v>2020</v>
      </c>
      <c r="F216" s="386">
        <f>+E61*E65*E119</f>
        <v>314.95267073673836</v>
      </c>
      <c r="G216" s="16"/>
    </row>
    <row r="217" spans="3:7" x14ac:dyDescent="0.25">
      <c r="C217" s="384" t="s">
        <v>979</v>
      </c>
      <c r="D217" s="389" t="s">
        <v>854</v>
      </c>
      <c r="E217" s="16">
        <v>2019</v>
      </c>
      <c r="F217" s="16"/>
      <c r="G217" s="322">
        <f>+E119*E176</f>
        <v>0.81851825541944023</v>
      </c>
    </row>
    <row r="218" spans="3:7" x14ac:dyDescent="0.25">
      <c r="C218" s="357" t="s">
        <v>979</v>
      </c>
      <c r="D218" s="16" t="s">
        <v>1040</v>
      </c>
      <c r="E218" s="389">
        <v>2019</v>
      </c>
      <c r="F218" s="322"/>
      <c r="G218" s="390">
        <f>+E68</f>
        <v>0.58532298647241721</v>
      </c>
    </row>
  </sheetData>
  <mergeCells count="2">
    <mergeCell ref="U7:V7"/>
    <mergeCell ref="T7:T8"/>
  </mergeCells>
  <phoneticPr fontId="71" type="noConversion"/>
  <conditionalFormatting sqref="K7:K14 L7:L22 K6:L6">
    <cfRule type="containsText" dxfId="93" priority="1" operator="containsText" text="Oil and Gas">
      <formula>NOT(ISERROR(SEARCH(("Oil and Gas"),(K6))))</formula>
    </cfRule>
  </conditionalFormatting>
  <conditionalFormatting sqref="K7:K14 L7:L22 K6:L6">
    <cfRule type="containsText" dxfId="92" priority="2" operator="containsText" text="Gas">
      <formula>NOT(ISERROR(SEARCH(("Gas"),(K6))))</formula>
    </cfRule>
  </conditionalFormatting>
  <conditionalFormatting sqref="K7:K14 L7:L22 K6:L6">
    <cfRule type="containsText" dxfId="91" priority="3" operator="containsText" text="Oil">
      <formula>NOT(ISERROR(SEARCH(("Oil"),(K6))))</formula>
    </cfRule>
  </conditionalFormatting>
  <conditionalFormatting sqref="K15:K22">
    <cfRule type="containsText" dxfId="90" priority="4" operator="containsText" text="Oil and Gas">
      <formula>NOT(ISERROR(SEARCH(("Oil and Gas"),(K15))))</formula>
    </cfRule>
  </conditionalFormatting>
  <conditionalFormatting sqref="K15:K22">
    <cfRule type="containsText" dxfId="89" priority="5" operator="containsText" text="Gas">
      <formula>NOT(ISERROR(SEARCH(("Gas"),(K15))))</formula>
    </cfRule>
  </conditionalFormatting>
  <conditionalFormatting sqref="K15:K22">
    <cfRule type="containsText" dxfId="88" priority="6" operator="containsText" text="Oil">
      <formula>NOT(ISERROR(SEARCH(("Oil"),(K15))))</formula>
    </cfRule>
  </conditionalFormatting>
  <conditionalFormatting sqref="O6:P22">
    <cfRule type="cellIs" dxfId="87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996B-37E1-4D7F-AC69-C44C30B7FD48}">
  <dimension ref="A1:X223"/>
  <sheetViews>
    <sheetView showGridLines="0" topLeftCell="B149" zoomScaleNormal="100" workbookViewId="0">
      <selection activeCell="E181" sqref="E181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7" t="s">
        <v>1611</v>
      </c>
      <c r="B1" s="857"/>
      <c r="C1" s="12" t="s">
        <v>964</v>
      </c>
      <c r="D1" s="12">
        <v>119.96</v>
      </c>
      <c r="E1" s="12" t="s">
        <v>698</v>
      </c>
    </row>
    <row r="2" spans="1:24" x14ac:dyDescent="0.25">
      <c r="A2" s="862">
        <f>41868000000/(1000000000000000)</f>
        <v>4.1868E-5</v>
      </c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3" spans="1:24" x14ac:dyDescent="0.25">
      <c r="A3" s="857" t="s">
        <v>1612</v>
      </c>
      <c r="J3" s="828" t="s">
        <v>1576</v>
      </c>
      <c r="K3">
        <v>8.33</v>
      </c>
      <c r="L3" s="821" t="s">
        <v>1577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21" t="s">
        <v>1578</v>
      </c>
      <c r="M4" s="821" t="s">
        <v>1579</v>
      </c>
      <c r="O4" s="14" t="s">
        <v>509</v>
      </c>
      <c r="P4" s="821" t="s">
        <v>1580</v>
      </c>
    </row>
    <row r="5" spans="1:24" ht="75" x14ac:dyDescent="0.25">
      <c r="C5" s="14"/>
      <c r="D5" s="14" t="str">
        <f>'Bases de Cálculo'!G4</f>
        <v>kt/PJ</v>
      </c>
      <c r="E5" s="825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1575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6" t="s">
        <v>1574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7" t="str">
        <f>'5. Data'!J70</f>
        <v>Cupiagua (Cupiagua + Liria + Sur)</v>
      </c>
      <c r="K6" s="431">
        <f>'5. Data'!K70</f>
        <v>48</v>
      </c>
      <c r="L6" s="827">
        <f>141.5/(K6+131.5)</f>
        <v>0.78830083565459608</v>
      </c>
      <c r="M6" s="829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9">
        <f>+(1/C7)*1000/365</f>
        <v>2.7137894079321097</v>
      </c>
      <c r="F7" s="821" t="s">
        <v>1594</v>
      </c>
      <c r="G7" s="222"/>
      <c r="J7" s="837" t="str">
        <f>'5. Data'!J71</f>
        <v>Cusiana (Cusiana + Norte)</v>
      </c>
      <c r="K7" s="431">
        <f>'5. Data'!K71</f>
        <v>52</v>
      </c>
      <c r="L7" s="827">
        <f t="shared" ref="L7:L22" si="1">141.5/(K7+131.5)</f>
        <v>0.77111716621253401</v>
      </c>
      <c r="M7" s="829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953"/>
      <c r="U7" s="952" t="s">
        <v>1574</v>
      </c>
      <c r="V7" s="952"/>
      <c r="W7" s="830"/>
      <c r="X7" s="830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9">
        <f t="shared" ref="E8:E17" si="3">+(1/C8)*1000/365</f>
        <v>0.45008175418663371</v>
      </c>
      <c r="F8" s="821" t="s">
        <v>1595</v>
      </c>
      <c r="G8" s="222"/>
      <c r="J8" s="837" t="str">
        <f>'5. Data'!J72</f>
        <v>Pauto Sur (Sur + Recetor)</v>
      </c>
      <c r="K8" s="431">
        <f>'5. Data'!K72</f>
        <v>46</v>
      </c>
      <c r="L8" s="827">
        <f t="shared" si="1"/>
        <v>0.79718309859154934</v>
      </c>
      <c r="M8" s="829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21"/>
      <c r="T8" s="954"/>
      <c r="U8" s="831" t="s">
        <v>1581</v>
      </c>
      <c r="V8" s="831" t="s">
        <v>577</v>
      </c>
      <c r="W8" s="832" t="s">
        <v>689</v>
      </c>
      <c r="X8" s="831" t="s">
        <v>1582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9">
        <f t="shared" si="3"/>
        <v>0.45008175418663371</v>
      </c>
      <c r="F9" s="821" t="s">
        <v>1595</v>
      </c>
      <c r="G9" s="222"/>
      <c r="J9" s="837" t="str">
        <f>'5. Data'!J73</f>
        <v>Floreña (Floreña + Mirador)</v>
      </c>
      <c r="K9" s="431">
        <f>'5. Data'!K73</f>
        <v>45.5</v>
      </c>
      <c r="L9" s="827">
        <f t="shared" si="1"/>
        <v>0.79943502824858759</v>
      </c>
      <c r="M9" s="829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4" t="s">
        <v>1585</v>
      </c>
      <c r="T9" s="831" t="s">
        <v>1120</v>
      </c>
      <c r="U9" s="833">
        <f>+O6+O7+O8+O9+O15</f>
        <v>50394.967671232887</v>
      </c>
      <c r="V9" s="833">
        <f>+P6+P7+P8+P9+P15</f>
        <v>14036925.491415592</v>
      </c>
      <c r="W9" s="830">
        <f>+V9/U9</f>
        <v>278.5382378452905</v>
      </c>
      <c r="X9" s="834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9">
        <f t="shared" si="3"/>
        <v>0.45008175418663371</v>
      </c>
      <c r="F10" s="821" t="s">
        <v>1595</v>
      </c>
      <c r="G10" s="222"/>
      <c r="J10" s="837" t="str">
        <f>'5. Data'!J74</f>
        <v>Rubiales</v>
      </c>
      <c r="K10" s="431">
        <f>'5. Data'!K74</f>
        <v>12.850000000000001</v>
      </c>
      <c r="L10" s="827">
        <f t="shared" si="1"/>
        <v>0.98025632144094221</v>
      </c>
      <c r="M10" s="829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4" t="s">
        <v>1584</v>
      </c>
      <c r="T10" s="831" t="s">
        <v>1119</v>
      </c>
      <c r="U10" s="833">
        <f>+O16+O18+O19+O20+O21+O22</f>
        <v>85083.722575342501</v>
      </c>
      <c r="V10" s="833">
        <f>+P16+P18+P19+P20+P21+P22</f>
        <v>27428038.695017595</v>
      </c>
      <c r="W10" s="830">
        <f t="shared" ref="W10:W11" si="5">+V10/U10</f>
        <v>322.36528756402009</v>
      </c>
      <c r="X10" s="834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9">
        <f t="shared" si="3"/>
        <v>0.51393323412466374</v>
      </c>
      <c r="F11" s="821" t="s">
        <v>1595</v>
      </c>
      <c r="G11" s="222"/>
      <c r="J11" s="837" t="str">
        <f>'5. Data'!J75</f>
        <v>Castilla (c, e, n, n)</v>
      </c>
      <c r="K11" s="431">
        <f>'5. Data'!K75</f>
        <v>13.7</v>
      </c>
      <c r="L11" s="827">
        <f t="shared" si="1"/>
        <v>0.97451790633608826</v>
      </c>
      <c r="M11" s="829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4" t="s">
        <v>1583</v>
      </c>
      <c r="T11" s="831" t="s">
        <v>1118</v>
      </c>
      <c r="U11" s="833">
        <f>+O10+O11+O12+O13+O14</f>
        <v>326153.27038356167</v>
      </c>
      <c r="V11" s="833">
        <f>+P10+P11+P12+P13+P14</f>
        <v>111749377.46739072</v>
      </c>
      <c r="W11" s="830">
        <f t="shared" si="5"/>
        <v>342.62841312604837</v>
      </c>
      <c r="X11" s="834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9">
        <f t="shared" si="3"/>
        <v>0.48312441779760712</v>
      </c>
      <c r="F12" s="821" t="s">
        <v>1595</v>
      </c>
      <c r="G12" s="222"/>
      <c r="J12" s="837" t="str">
        <f>'5. Data'!J76</f>
        <v>Chichimene</v>
      </c>
      <c r="K12" s="431">
        <f>'5. Data'!K76</f>
        <v>13.5</v>
      </c>
      <c r="L12" s="827">
        <f t="shared" si="1"/>
        <v>0.97586206896551719</v>
      </c>
      <c r="M12" s="829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9">
        <f t="shared" si="3"/>
        <v>0.58146123623339163</v>
      </c>
      <c r="F13" s="821" t="s">
        <v>1595</v>
      </c>
      <c r="G13" s="222"/>
      <c r="J13" s="837" t="str">
        <f>'5. Data'!J77</f>
        <v>Akacias</v>
      </c>
      <c r="K13" s="431">
        <f>'5. Data'!K77</f>
        <v>8</v>
      </c>
      <c r="L13" s="827">
        <f t="shared" si="1"/>
        <v>1.0143369175627239</v>
      </c>
      <c r="M13" s="829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9">
        <f t="shared" si="3"/>
        <v>0.67543055511774464</v>
      </c>
      <c r="F14" s="821" t="s">
        <v>1595</v>
      </c>
      <c r="G14" s="222"/>
      <c r="J14" s="837" t="str">
        <f>'5. Data'!J78</f>
        <v>Apiay</v>
      </c>
      <c r="K14" s="431">
        <f>'5. Data'!K78</f>
        <v>13.5</v>
      </c>
      <c r="L14" s="827">
        <f t="shared" si="1"/>
        <v>0.97586206896551719</v>
      </c>
      <c r="M14" s="829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9">
        <f t="shared" si="3"/>
        <v>0.50170591923532903</v>
      </c>
      <c r="F15" s="821" t="s">
        <v>1595</v>
      </c>
      <c r="G15" s="222"/>
      <c r="J15" s="837" t="str">
        <f>'5. Data'!J79</f>
        <v>Orito</v>
      </c>
      <c r="K15" s="431">
        <f>'5. Data'!K79</f>
        <v>35</v>
      </c>
      <c r="L15" s="827">
        <f t="shared" si="1"/>
        <v>0.8498498498498499</v>
      </c>
      <c r="M15" s="829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9">
        <f t="shared" si="3"/>
        <v>0.57538937954927816</v>
      </c>
      <c r="F16" s="821" t="s">
        <v>1595</v>
      </c>
      <c r="G16" s="222"/>
      <c r="J16" s="837" t="str">
        <f>'5. Data'!J80</f>
        <v>Casabe</v>
      </c>
      <c r="K16" s="431">
        <f>'5. Data'!K80</f>
        <v>21</v>
      </c>
      <c r="L16" s="827">
        <f t="shared" si="1"/>
        <v>0.9278688524590164</v>
      </c>
      <c r="M16" s="829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9">
        <f t="shared" si="3"/>
        <v>2.7334361451242213</v>
      </c>
      <c r="F17" s="821" t="s">
        <v>1595</v>
      </c>
      <c r="G17" s="222"/>
      <c r="J17" s="837" t="str">
        <f>'5. Data'!J81</f>
        <v>Area Teca-Corcona</v>
      </c>
      <c r="K17" s="431">
        <f>'5. Data'!K81</f>
        <v>12.5</v>
      </c>
      <c r="L17" s="827">
        <f t="shared" si="1"/>
        <v>0.98263888888888884</v>
      </c>
      <c r="M17" s="829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1606</v>
      </c>
      <c r="J18" s="837" t="str">
        <f>'5. Data'!J82</f>
        <v>Yarigui-Cantagallo</v>
      </c>
      <c r="K18" s="431">
        <f>'5. Data'!K82</f>
        <v>21</v>
      </c>
      <c r="L18" s="827">
        <f t="shared" si="1"/>
        <v>0.9278688524590164</v>
      </c>
      <c r="M18" s="829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7" t="str">
        <f>'5. Data'!J83</f>
        <v>La Cira</v>
      </c>
      <c r="K19" s="431">
        <f>'5. Data'!K83</f>
        <v>22.5</v>
      </c>
      <c r="L19" s="827">
        <f t="shared" si="1"/>
        <v>0.91883116883116878</v>
      </c>
      <c r="M19" s="829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7" t="s">
        <v>964</v>
      </c>
      <c r="C20">
        <v>120.1</v>
      </c>
      <c r="D20" s="857" t="s">
        <v>698</v>
      </c>
      <c r="J20" s="837" t="str">
        <f>'5. Data'!J84</f>
        <v>Dina</v>
      </c>
      <c r="K20" s="431">
        <f>'5. Data'!K84</f>
        <v>23</v>
      </c>
      <c r="L20" s="827">
        <f t="shared" si="1"/>
        <v>0.91585760517799353</v>
      </c>
      <c r="M20" s="829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7" t="s">
        <v>964</v>
      </c>
      <c r="C21">
        <f>+C20/1000</f>
        <v>0.1201</v>
      </c>
      <c r="D21" s="857" t="s">
        <v>1625</v>
      </c>
      <c r="J21" s="837" t="str">
        <f>'5. Data'!J85</f>
        <v>San Francisco</v>
      </c>
      <c r="K21" s="431">
        <f>'5. Data'!K85</f>
        <v>25.5</v>
      </c>
      <c r="L21" s="827">
        <f t="shared" si="1"/>
        <v>0.90127388535031849</v>
      </c>
      <c r="M21" s="829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7" t="str">
        <f>'5. Data'!J86</f>
        <v>Tello</v>
      </c>
      <c r="K22" s="431">
        <f>'5. Data'!K86</f>
        <v>21</v>
      </c>
      <c r="L22" s="827">
        <f t="shared" si="1"/>
        <v>0.9278688524590164</v>
      </c>
      <c r="M22" s="829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5" t="s">
        <v>1586</v>
      </c>
      <c r="S29" s="835"/>
    </row>
    <row r="30" spans="1:19" x14ac:dyDescent="0.25">
      <c r="C30" s="869"/>
    </row>
    <row r="31" spans="1:19" x14ac:dyDescent="0.25">
      <c r="C31" s="856" t="s">
        <v>935</v>
      </c>
      <c r="D31" s="821" t="s">
        <v>1587</v>
      </c>
      <c r="E31">
        <v>24</v>
      </c>
      <c r="F31" s="821" t="s">
        <v>1582</v>
      </c>
    </row>
    <row r="32" spans="1:19" x14ac:dyDescent="0.25">
      <c r="C32" s="856" t="s">
        <v>921</v>
      </c>
      <c r="D32" s="883" t="s">
        <v>1656</v>
      </c>
      <c r="E32" s="836">
        <v>0.3</v>
      </c>
    </row>
    <row r="33" spans="3:10" x14ac:dyDescent="0.25">
      <c r="C33" s="869"/>
      <c r="G33" s="841"/>
      <c r="H33" s="841" t="s">
        <v>1581</v>
      </c>
      <c r="I33" s="841" t="s">
        <v>1578</v>
      </c>
      <c r="J33" s="841" t="s">
        <v>577</v>
      </c>
    </row>
    <row r="34" spans="3:10" x14ac:dyDescent="0.25">
      <c r="C34" s="869"/>
      <c r="D34" s="852" t="s">
        <v>1591</v>
      </c>
      <c r="G34" s="841" t="s">
        <v>1582</v>
      </c>
      <c r="H34" s="841" t="s">
        <v>1589</v>
      </c>
      <c r="I34" s="841" t="s">
        <v>689</v>
      </c>
      <c r="J34" s="841" t="s">
        <v>1590</v>
      </c>
    </row>
    <row r="35" spans="3:10" x14ac:dyDescent="0.25">
      <c r="C35" s="869"/>
      <c r="D35" s="821" t="s">
        <v>831</v>
      </c>
      <c r="E35" s="844">
        <f>+H35/100</f>
        <v>0.23009135447964041</v>
      </c>
      <c r="G35" s="842">
        <f>+X9</f>
        <v>46.232114566966032</v>
      </c>
      <c r="H35" s="843">
        <v>23.009135447964042</v>
      </c>
      <c r="I35" s="843">
        <f>+(141.5/(G35+131.5))*$K$4</f>
        <v>278.5382378452905</v>
      </c>
      <c r="J35" s="845">
        <f>+I35*H35</f>
        <v>6408.9240420195129</v>
      </c>
    </row>
    <row r="36" spans="3:10" x14ac:dyDescent="0.25">
      <c r="C36" s="869"/>
      <c r="D36" s="821" t="s">
        <v>833</v>
      </c>
      <c r="E36" s="844">
        <f>+H36/100</f>
        <v>0.46990864552035966</v>
      </c>
      <c r="G36" s="842">
        <f>+X10</f>
        <v>22.068612719099065</v>
      </c>
      <c r="H36" s="843">
        <v>46.990864552035966</v>
      </c>
      <c r="I36" s="843">
        <f>+(141.5/(G36+131.5))*$K$4</f>
        <v>322.36528756402009</v>
      </c>
      <c r="J36" s="845">
        <f>+I36*H36</f>
        <v>15148.223564198992</v>
      </c>
    </row>
    <row r="37" spans="3:10" x14ac:dyDescent="0.25">
      <c r="C37" s="869"/>
      <c r="D37" s="821" t="s">
        <v>835</v>
      </c>
      <c r="E37" s="844">
        <v>0.3</v>
      </c>
      <c r="G37" s="842">
        <f>+X11</f>
        <v>12.986528564073609</v>
      </c>
      <c r="H37" s="843">
        <v>30</v>
      </c>
      <c r="I37" s="843">
        <f>+(141.5/(G37+131.5))*$K$4</f>
        <v>342.62841312604837</v>
      </c>
      <c r="J37" s="845">
        <f>+I37*H37</f>
        <v>10278.852393781452</v>
      </c>
    </row>
    <row r="38" spans="3:10" x14ac:dyDescent="0.25">
      <c r="C38" s="869"/>
      <c r="E38" s="838">
        <f>+SUM(E35:E37)</f>
        <v>1</v>
      </c>
      <c r="G38" s="841">
        <f>+(141.5/(I38/K4)-131.5)</f>
        <v>24</v>
      </c>
      <c r="H38" s="842">
        <f>+SUM(H35:H37)</f>
        <v>100</v>
      </c>
      <c r="I38" s="843">
        <f>+(141.5/(G39+131.5))*$K$4</f>
        <v>318.36135048231512</v>
      </c>
      <c r="J38" s="846">
        <f>+SUM(J35:J37)</f>
        <v>31835.999999999956</v>
      </c>
    </row>
    <row r="39" spans="3:10" x14ac:dyDescent="0.25">
      <c r="C39" s="869"/>
      <c r="G39" s="847">
        <f>+E31</f>
        <v>24</v>
      </c>
      <c r="H39" s="847"/>
      <c r="I39" s="847"/>
      <c r="J39" s="848">
        <f>+I38*100</f>
        <v>31836.13504823151</v>
      </c>
    </row>
    <row r="41" spans="3:10" hidden="1" x14ac:dyDescent="0.25">
      <c r="C41" s="896" t="s">
        <v>924</v>
      </c>
      <c r="D41" s="884" t="s">
        <v>1657</v>
      </c>
      <c r="E41" s="885"/>
      <c r="F41" s="885"/>
      <c r="G41" s="886"/>
      <c r="H41" s="886" t="s">
        <v>1581</v>
      </c>
      <c r="I41" s="886" t="s">
        <v>1578</v>
      </c>
      <c r="J41" s="886" t="s">
        <v>577</v>
      </c>
    </row>
    <row r="42" spans="3:10" hidden="1" x14ac:dyDescent="0.25">
      <c r="D42" s="885" t="s">
        <v>831</v>
      </c>
      <c r="E42" s="887">
        <v>0.15</v>
      </c>
      <c r="F42" s="885"/>
      <c r="G42" s="886" t="s">
        <v>1582</v>
      </c>
      <c r="H42" s="886" t="s">
        <v>1589</v>
      </c>
      <c r="I42" s="886" t="s">
        <v>689</v>
      </c>
      <c r="J42" s="886" t="s">
        <v>1590</v>
      </c>
    </row>
    <row r="43" spans="3:10" hidden="1" x14ac:dyDescent="0.25">
      <c r="D43" s="885" t="s">
        <v>833</v>
      </c>
      <c r="E43" s="888">
        <v>0.25</v>
      </c>
      <c r="F43" s="885"/>
      <c r="G43" s="889">
        <f>+G35</f>
        <v>46.232114566966032</v>
      </c>
      <c r="H43" s="886">
        <v>30</v>
      </c>
      <c r="I43" s="890">
        <f>+(141.5/(G43+131.5))*$K$4</f>
        <v>278.5382378452905</v>
      </c>
      <c r="J43" s="891">
        <f>+I43*H43</f>
        <v>8356.1471353587149</v>
      </c>
    </row>
    <row r="44" spans="3:10" hidden="1" x14ac:dyDescent="0.25">
      <c r="D44" s="885" t="s">
        <v>835</v>
      </c>
      <c r="E44" s="888">
        <v>0.6</v>
      </c>
      <c r="F44" s="885"/>
      <c r="G44" s="889">
        <f>+G36</f>
        <v>22.068612719099065</v>
      </c>
      <c r="H44" s="889">
        <v>0</v>
      </c>
      <c r="I44" s="890">
        <f>+(141.5/(G44+131.5))*$K$4</f>
        <v>322.36528756402009</v>
      </c>
      <c r="J44" s="891">
        <f>+I44*H44</f>
        <v>0</v>
      </c>
    </row>
    <row r="45" spans="3:10" hidden="1" x14ac:dyDescent="0.25">
      <c r="D45" s="885"/>
      <c r="E45" s="892">
        <f>+SUM(E42:E44)</f>
        <v>1</v>
      </c>
      <c r="F45" s="885"/>
      <c r="G45" s="889">
        <f>+G37</f>
        <v>12.986528564073609</v>
      </c>
      <c r="H45" s="889">
        <v>70</v>
      </c>
      <c r="I45" s="890">
        <f t="shared" ref="I45" si="6">+(141.5/(G45+131.5))*$K$4</f>
        <v>342.62841312604837</v>
      </c>
      <c r="J45" s="891">
        <f>+I45*H45</f>
        <v>23983.988918823386</v>
      </c>
    </row>
    <row r="46" spans="3:10" hidden="1" x14ac:dyDescent="0.25">
      <c r="D46" s="885"/>
      <c r="E46" s="885"/>
      <c r="F46" s="885"/>
      <c r="G46" s="886">
        <f>+(141.5/(I46/K4)-131.5)</f>
        <v>24</v>
      </c>
      <c r="H46" s="889">
        <f>+SUM(H43:H45)</f>
        <v>100</v>
      </c>
      <c r="I46" s="890">
        <f>+(141.5/(G47+131.5))*$K$4</f>
        <v>318.36135048231512</v>
      </c>
      <c r="J46" s="893">
        <f>+SUM(J43:J45)</f>
        <v>32340.136054182101</v>
      </c>
    </row>
    <row r="47" spans="3:10" hidden="1" x14ac:dyDescent="0.25">
      <c r="D47" s="885"/>
      <c r="E47" s="885"/>
      <c r="F47" s="885"/>
      <c r="G47" s="894">
        <f>+E31</f>
        <v>24</v>
      </c>
      <c r="H47" s="894"/>
      <c r="I47" s="894"/>
      <c r="J47" s="895">
        <f>+I46*H46</f>
        <v>31836.13504823151</v>
      </c>
    </row>
    <row r="48" spans="3:10" hidden="1" x14ac:dyDescent="0.25"/>
    <row r="49" spans="3:11" hidden="1" x14ac:dyDescent="0.25">
      <c r="D49" s="851" t="s">
        <v>536</v>
      </c>
    </row>
    <row r="50" spans="3:11" hidden="1" x14ac:dyDescent="0.25">
      <c r="D50" s="821" t="s">
        <v>1599</v>
      </c>
      <c r="E50">
        <f>+General_SEC_SGC!F20+General_SEC_SGC!F21+General_SEC_SGC!F22+General_SEC_SGC!F23+General_SEC_SGC!F24+General_SEC_SGC!F25+General_SEC_SGC!F26</f>
        <v>2.7603</v>
      </c>
      <c r="F50" s="821" t="s">
        <v>480</v>
      </c>
    </row>
    <row r="51" spans="3:11" hidden="1" x14ac:dyDescent="0.25">
      <c r="D51" s="840" t="s">
        <v>1593</v>
      </c>
      <c r="E51" s="850">
        <f>+E50*($C$8/1000)</f>
        <v>1.6802426854852597E-2</v>
      </c>
      <c r="F51" s="840" t="s">
        <v>1596</v>
      </c>
    </row>
    <row r="52" spans="3:11" hidden="1" x14ac:dyDescent="0.25">
      <c r="D52" s="840" t="s">
        <v>1593</v>
      </c>
      <c r="E52" s="850">
        <f>+E51*1000</f>
        <v>16.802426854852598</v>
      </c>
      <c r="F52" s="840" t="s">
        <v>1597</v>
      </c>
    </row>
    <row r="53" spans="3:11" hidden="1" x14ac:dyDescent="0.25">
      <c r="D53" s="840" t="s">
        <v>1593</v>
      </c>
      <c r="E53" s="850">
        <f>+E52</f>
        <v>16.802426854852598</v>
      </c>
      <c r="F53" s="840" t="s">
        <v>1598</v>
      </c>
    </row>
    <row r="54" spans="3:11" hidden="1" x14ac:dyDescent="0.25"/>
    <row r="56" spans="3:11" ht="18.75" x14ac:dyDescent="0.3">
      <c r="D56" s="835" t="s">
        <v>1600</v>
      </c>
    </row>
    <row r="58" spans="3:11" x14ac:dyDescent="0.25">
      <c r="D58" s="851" t="s">
        <v>1639</v>
      </c>
      <c r="H58" s="883" t="s">
        <v>1670</v>
      </c>
      <c r="J58" s="839">
        <f>+J61/J59</f>
        <v>22.376810491959233</v>
      </c>
      <c r="K58" s="883" t="s">
        <v>480</v>
      </c>
    </row>
    <row r="59" spans="3:11" x14ac:dyDescent="0.25">
      <c r="C59" s="856" t="s">
        <v>935</v>
      </c>
      <c r="D59" s="18" t="s">
        <v>1030</v>
      </c>
      <c r="E59" s="12">
        <v>250</v>
      </c>
      <c r="F59" s="365" t="s">
        <v>513</v>
      </c>
      <c r="H59" s="883" t="s">
        <v>1660</v>
      </c>
      <c r="J59" s="839">
        <f>+J60*365*C8/1000</f>
        <v>542.12373136730503</v>
      </c>
      <c r="K59" s="883" t="s">
        <v>59</v>
      </c>
    </row>
    <row r="60" spans="3:11" x14ac:dyDescent="0.25">
      <c r="C60" s="70" t="s">
        <v>1604</v>
      </c>
      <c r="D60" s="18" t="s">
        <v>1032</v>
      </c>
      <c r="E60" s="12">
        <v>218</v>
      </c>
      <c r="F60" s="365" t="s">
        <v>513</v>
      </c>
      <c r="H60" s="883" t="s">
        <v>1660</v>
      </c>
      <c r="J60">
        <v>244</v>
      </c>
      <c r="K60" s="870" t="s">
        <v>513</v>
      </c>
    </row>
    <row r="61" spans="3:11" x14ac:dyDescent="0.25">
      <c r="C61" s="853"/>
      <c r="D61" s="18" t="s">
        <v>1602</v>
      </c>
      <c r="E61" s="275">
        <f>+E59*365*C8/1000</f>
        <v>555.45464279436999</v>
      </c>
      <c r="F61" s="365" t="s">
        <v>59</v>
      </c>
      <c r="H61" s="883" t="s">
        <v>1660</v>
      </c>
      <c r="J61">
        <v>12131</v>
      </c>
      <c r="K61" s="883" t="s">
        <v>1658</v>
      </c>
    </row>
    <row r="62" spans="3:11" x14ac:dyDescent="0.25">
      <c r="C62" s="853"/>
      <c r="D62" s="18" t="s">
        <v>1603</v>
      </c>
      <c r="E62" s="275">
        <f>+E60*365*C9/1000</f>
        <v>484.35644851669059</v>
      </c>
      <c r="F62" s="365" t="s">
        <v>59</v>
      </c>
    </row>
    <row r="63" spans="3:11" x14ac:dyDescent="0.25">
      <c r="C63" s="853"/>
      <c r="D63" s="18"/>
      <c r="E63" s="275"/>
      <c r="F63" s="365"/>
    </row>
    <row r="64" spans="3:11" x14ac:dyDescent="0.25">
      <c r="C64" s="70" t="s">
        <v>1642</v>
      </c>
      <c r="D64" s="18" t="s">
        <v>1637</v>
      </c>
      <c r="E64" s="868">
        <f>+E60/E59</f>
        <v>0.872</v>
      </c>
      <c r="F64" s="365"/>
    </row>
    <row r="65" spans="1:9" x14ac:dyDescent="0.25">
      <c r="C65" s="70" t="s">
        <v>1641</v>
      </c>
      <c r="D65" s="18" t="s">
        <v>1638</v>
      </c>
      <c r="E65" s="868">
        <v>0.9</v>
      </c>
      <c r="F65" s="365"/>
    </row>
    <row r="66" spans="1:9" x14ac:dyDescent="0.25">
      <c r="C66" s="853"/>
      <c r="D66" s="18"/>
      <c r="E66" s="868"/>
      <c r="F66" s="365"/>
    </row>
    <row r="67" spans="1:9" x14ac:dyDescent="0.25">
      <c r="C67" s="70" t="s">
        <v>1644</v>
      </c>
      <c r="D67" s="18" t="s">
        <v>1640</v>
      </c>
      <c r="E67" s="871">
        <v>4.8099999999999996</v>
      </c>
      <c r="F67" s="870" t="s">
        <v>1643</v>
      </c>
    </row>
    <row r="68" spans="1:9" x14ac:dyDescent="0.25">
      <c r="A68" s="872">
        <v>8.2176851262728707</v>
      </c>
      <c r="C68" s="853"/>
      <c r="D68" s="18" t="s">
        <v>1645</v>
      </c>
      <c r="E68" s="871">
        <f>+E67/A68</f>
        <v>0.58532298647241721</v>
      </c>
      <c r="F68" s="870" t="s">
        <v>773</v>
      </c>
    </row>
    <row r="70" spans="1:9" x14ac:dyDescent="0.25">
      <c r="D70" s="851" t="s">
        <v>1601</v>
      </c>
    </row>
    <row r="71" spans="1:9" x14ac:dyDescent="0.25">
      <c r="E71" s="863" t="s">
        <v>586</v>
      </c>
      <c r="F71" s="286" t="s">
        <v>59</v>
      </c>
    </row>
    <row r="72" spans="1:9" x14ac:dyDescent="0.25">
      <c r="C72" s="70" t="s">
        <v>1665</v>
      </c>
      <c r="D72" s="883" t="s">
        <v>1659</v>
      </c>
      <c r="E72" s="812">
        <f>+(F72/C21)/365</f>
        <v>0.15388448185699619</v>
      </c>
      <c r="F72" s="839">
        <f>+E82*J59</f>
        <v>6.745757088924214</v>
      </c>
    </row>
    <row r="73" spans="1:9" x14ac:dyDescent="0.25">
      <c r="C73" s="70" t="s">
        <v>1642</v>
      </c>
      <c r="D73" s="883" t="s">
        <v>1662</v>
      </c>
      <c r="E73" s="839">
        <f>+F73*E17</f>
        <v>35.54706415898611</v>
      </c>
      <c r="F73" s="839">
        <f>+E83*J59</f>
        <v>13.004534319337711</v>
      </c>
      <c r="I73" s="899"/>
    </row>
    <row r="74" spans="1:9" x14ac:dyDescent="0.25">
      <c r="C74" s="70" t="s">
        <v>1642</v>
      </c>
      <c r="D74" s="883" t="s">
        <v>1663</v>
      </c>
      <c r="E74" s="839">
        <f>+F74*E7</f>
        <v>58.960930528934362</v>
      </c>
      <c r="F74" s="839">
        <f>+E84*J59</f>
        <v>21.726420759325691</v>
      </c>
    </row>
    <row r="75" spans="1:9" x14ac:dyDescent="0.25">
      <c r="C75" s="70" t="s">
        <v>1642</v>
      </c>
      <c r="D75" s="883" t="s">
        <v>1664</v>
      </c>
      <c r="E75" s="858">
        <f>+F75*E15</f>
        <v>3.4528026945575578</v>
      </c>
      <c r="F75" s="839">
        <f>+E85*J59</f>
        <v>6.8821246913333587</v>
      </c>
    </row>
    <row r="76" spans="1:9" x14ac:dyDescent="0.25">
      <c r="C76" s="856" t="s">
        <v>1608</v>
      </c>
      <c r="D76" s="857" t="s">
        <v>1618</v>
      </c>
      <c r="E76">
        <v>651</v>
      </c>
      <c r="F76" s="812">
        <f>+(E76/E14)/1000</f>
        <v>0.9638296566055029</v>
      </c>
      <c r="H76" s="898"/>
    </row>
    <row r="77" spans="1:9" x14ac:dyDescent="0.25">
      <c r="C77" s="856"/>
      <c r="D77" s="821"/>
    </row>
    <row r="79" spans="1:9" x14ac:dyDescent="0.25">
      <c r="A79" s="812"/>
      <c r="B79" s="822"/>
      <c r="C79" s="821"/>
      <c r="D79" s="821"/>
      <c r="E79" s="812"/>
      <c r="F79" s="821"/>
    </row>
    <row r="80" spans="1:9" x14ac:dyDescent="0.25">
      <c r="A80" s="812"/>
      <c r="B80" s="839"/>
      <c r="C80" s="821"/>
      <c r="D80" s="851" t="s">
        <v>1619</v>
      </c>
      <c r="E80" s="812"/>
      <c r="F80" s="821"/>
    </row>
    <row r="82" spans="3:11" x14ac:dyDescent="0.25">
      <c r="C82" s="856" t="s">
        <v>1665</v>
      </c>
      <c r="D82" s="857" t="s">
        <v>1620</v>
      </c>
      <c r="E82" s="807">
        <f>+J93/J59</f>
        <v>1.2443205671721023E-2</v>
      </c>
      <c r="F82" s="857" t="s">
        <v>533</v>
      </c>
      <c r="I82" s="812"/>
    </row>
    <row r="83" spans="3:11" x14ac:dyDescent="0.25">
      <c r="C83" s="856" t="s">
        <v>1661</v>
      </c>
      <c r="D83" s="857" t="s">
        <v>1621</v>
      </c>
      <c r="E83">
        <f>291/J61</f>
        <v>2.3988129585359824E-2</v>
      </c>
      <c r="F83" s="857" t="s">
        <v>533</v>
      </c>
      <c r="I83" s="812"/>
    </row>
    <row r="84" spans="3:11" x14ac:dyDescent="0.25">
      <c r="C84" s="856" t="s">
        <v>1661</v>
      </c>
      <c r="D84" s="857" t="s">
        <v>1622</v>
      </c>
      <c r="E84">
        <f>+((642-(289*68.8%))+43)/J61</f>
        <v>4.0076498227681147E-2</v>
      </c>
      <c r="F84" s="857" t="s">
        <v>533</v>
      </c>
      <c r="I84" s="812"/>
    </row>
    <row r="85" spans="3:11" x14ac:dyDescent="0.25">
      <c r="C85" s="856" t="s">
        <v>1661</v>
      </c>
      <c r="D85" s="857" t="s">
        <v>1623</v>
      </c>
      <c r="E85">
        <f>154/J61</f>
        <v>1.2694748990190421E-2</v>
      </c>
      <c r="F85" s="857" t="s">
        <v>533</v>
      </c>
      <c r="I85" s="897"/>
    </row>
    <row r="86" spans="3:11" x14ac:dyDescent="0.25">
      <c r="C86" s="856" t="s">
        <v>1608</v>
      </c>
      <c r="D86" s="857" t="s">
        <v>1624</v>
      </c>
      <c r="E86">
        <f>+F76/E62</f>
        <v>1.9899180852390157E-3</v>
      </c>
      <c r="F86" s="857" t="s">
        <v>533</v>
      </c>
      <c r="I86" s="812"/>
    </row>
    <row r="87" spans="3:11" x14ac:dyDescent="0.25">
      <c r="E87" s="864">
        <f>+SUM(E82:E86)</f>
        <v>9.1192500560191431E-2</v>
      </c>
      <c r="F87" s="857" t="s">
        <v>533</v>
      </c>
      <c r="H87" s="812"/>
      <c r="I87" s="882"/>
    </row>
    <row r="90" spans="3:11" ht="18.75" x14ac:dyDescent="0.3">
      <c r="D90" s="835" t="s">
        <v>1626</v>
      </c>
    </row>
    <row r="91" spans="3:11" ht="18.75" x14ac:dyDescent="0.3">
      <c r="D91" s="835"/>
    </row>
    <row r="92" spans="3:11" x14ac:dyDescent="0.25">
      <c r="D92" s="883" t="s">
        <v>1666</v>
      </c>
      <c r="E92" s="812">
        <f>289*68.8%</f>
        <v>198.83199999999999</v>
      </c>
      <c r="F92" s="883" t="s">
        <v>1667</v>
      </c>
    </row>
    <row r="93" spans="3:11" x14ac:dyDescent="0.25">
      <c r="D93" s="883" t="s">
        <v>1668</v>
      </c>
      <c r="E93" s="812">
        <f>+E92/J58</f>
        <v>8.8856273806960679</v>
      </c>
      <c r="F93" s="883" t="s">
        <v>59</v>
      </c>
      <c r="H93" s="885" t="s">
        <v>1669</v>
      </c>
      <c r="I93" s="885"/>
      <c r="J93" s="885">
        <f>+E93*(1/G97)</f>
        <v>6.745757088924214</v>
      </c>
      <c r="K93" s="885" t="s">
        <v>59</v>
      </c>
    </row>
    <row r="94" spans="3:11" x14ac:dyDescent="0.25">
      <c r="D94" s="883"/>
      <c r="E94" s="812"/>
      <c r="F94" s="883"/>
    </row>
    <row r="96" spans="3:11" x14ac:dyDescent="0.25">
      <c r="E96" s="391"/>
      <c r="F96" s="392" t="s">
        <v>586</v>
      </c>
      <c r="G96" s="392" t="s">
        <v>993</v>
      </c>
    </row>
    <row r="97" spans="2:13" x14ac:dyDescent="0.25">
      <c r="B97" s="856" t="s">
        <v>1629</v>
      </c>
      <c r="C97" s="856" t="s">
        <v>1628</v>
      </c>
      <c r="E97" s="393" t="s">
        <v>1044</v>
      </c>
      <c r="F97" s="394">
        <f>394.77/299.7</f>
        <v>1.3172172172172172</v>
      </c>
      <c r="G97" s="395">
        <f>+F97</f>
        <v>1.3172172172172172</v>
      </c>
      <c r="H97" s="12" t="s">
        <v>1045</v>
      </c>
      <c r="K97" s="883"/>
    </row>
    <row r="98" spans="2:13" x14ac:dyDescent="0.25">
      <c r="B98" s="856"/>
      <c r="C98" s="856"/>
      <c r="E98" s="393"/>
      <c r="F98" s="394"/>
      <c r="G98" s="395"/>
      <c r="H98" s="12"/>
    </row>
    <row r="100" spans="2:13" ht="18.75" x14ac:dyDescent="0.3">
      <c r="D100" s="835" t="s">
        <v>1627</v>
      </c>
    </row>
    <row r="101" spans="2:13" ht="18.75" x14ac:dyDescent="0.3">
      <c r="D101" s="835"/>
    </row>
    <row r="102" spans="2:13" x14ac:dyDescent="0.25">
      <c r="C102" s="856" t="s">
        <v>935</v>
      </c>
      <c r="D102" s="883" t="s">
        <v>1672</v>
      </c>
      <c r="E102">
        <f>+'4. Refinerys Data'!D32/1000</f>
        <v>222</v>
      </c>
      <c r="F102" s="883" t="s">
        <v>513</v>
      </c>
      <c r="G102" s="839">
        <f>+E102/E8</f>
        <v>493.24372280140039</v>
      </c>
      <c r="H102" s="883" t="s">
        <v>59</v>
      </c>
    </row>
    <row r="103" spans="2:13" x14ac:dyDescent="0.25">
      <c r="C103" s="856" t="s">
        <v>935</v>
      </c>
      <c r="D103" s="883" t="s">
        <v>1674</v>
      </c>
      <c r="E103">
        <v>180</v>
      </c>
      <c r="F103" s="883" t="s">
        <v>513</v>
      </c>
      <c r="G103" s="839"/>
      <c r="H103" s="883"/>
    </row>
    <row r="104" spans="2:13" x14ac:dyDescent="0.25">
      <c r="D104" s="883"/>
      <c r="F104" s="883"/>
    </row>
    <row r="105" spans="2:13" x14ac:dyDescent="0.25">
      <c r="E105" s="865" t="s">
        <v>586</v>
      </c>
      <c r="F105" s="865" t="s">
        <v>993</v>
      </c>
      <c r="H105" s="857" t="s">
        <v>1655</v>
      </c>
      <c r="I105" s="883" t="s">
        <v>1673</v>
      </c>
    </row>
    <row r="106" spans="2:13" x14ac:dyDescent="0.25">
      <c r="C106" s="856" t="s">
        <v>935</v>
      </c>
      <c r="D106" s="883" t="s">
        <v>1671</v>
      </c>
      <c r="E106" s="900">
        <f>+SUM(E107:E111)</f>
        <v>180</v>
      </c>
      <c r="F106" s="901">
        <f>+SUM(F107:F112)</f>
        <v>365.44421422349302</v>
      </c>
      <c r="G106" s="883" t="s">
        <v>59</v>
      </c>
      <c r="H106" s="836">
        <f>+SUM(H107:H112)</f>
        <v>1</v>
      </c>
      <c r="I106" s="820">
        <f>+SUM(I107:I112)</f>
        <v>0.99999999999999989</v>
      </c>
    </row>
    <row r="107" spans="2:13" x14ac:dyDescent="0.25">
      <c r="C107" s="856" t="s">
        <v>935</v>
      </c>
      <c r="D107" s="857" t="s">
        <v>959</v>
      </c>
      <c r="E107" s="839">
        <f>+$E$103*I107</f>
        <v>58.32</v>
      </c>
      <c r="F107" s="839">
        <f>+E107/E11</f>
        <v>113.47777518091667</v>
      </c>
      <c r="G107" s="883" t="s">
        <v>59</v>
      </c>
      <c r="H107" s="844">
        <f>+F107/$F$106</f>
        <v>0.31052010338168218</v>
      </c>
      <c r="I107" s="820">
        <v>0.32400000000000001</v>
      </c>
      <c r="J107" s="844"/>
    </row>
    <row r="108" spans="2:13" x14ac:dyDescent="0.25">
      <c r="C108" s="856" t="s">
        <v>935</v>
      </c>
      <c r="D108" s="857" t="s">
        <v>1020</v>
      </c>
      <c r="E108" s="839">
        <f>+$E$103*I108</f>
        <v>59.220000000000006</v>
      </c>
      <c r="F108" s="839">
        <f>+E108/E12</f>
        <v>122.57712054787665</v>
      </c>
      <c r="G108" s="883" t="s">
        <v>59</v>
      </c>
      <c r="H108" s="844">
        <f t="shared" ref="H108:H112" si="7">+F108/$F$106</f>
        <v>0.33541951350449545</v>
      </c>
      <c r="I108" s="820">
        <v>0.32900000000000001</v>
      </c>
      <c r="J108" s="844"/>
    </row>
    <row r="109" spans="2:13" x14ac:dyDescent="0.25">
      <c r="C109" s="856" t="s">
        <v>935</v>
      </c>
      <c r="D109" s="857" t="s">
        <v>1630</v>
      </c>
      <c r="E109" s="839">
        <f>+$E$103*I109</f>
        <v>17.82</v>
      </c>
      <c r="F109" s="839">
        <f>+E109/E13</f>
        <v>30.646926896511573</v>
      </c>
      <c r="G109" s="883" t="s">
        <v>59</v>
      </c>
      <c r="H109" s="844">
        <f t="shared" si="7"/>
        <v>8.3862120957725647E-2</v>
      </c>
      <c r="I109" s="820">
        <v>9.9000000000000005E-2</v>
      </c>
      <c r="J109" s="844"/>
    </row>
    <row r="110" spans="2:13" x14ac:dyDescent="0.25">
      <c r="C110" s="856" t="s">
        <v>935</v>
      </c>
      <c r="D110" s="857" t="s">
        <v>782</v>
      </c>
      <c r="E110" s="839">
        <f>+E103-(E107+E108+E109+E111)</f>
        <v>40.609999999999985</v>
      </c>
      <c r="F110" s="839">
        <f>+E110/E15</f>
        <v>80.943832717571652</v>
      </c>
      <c r="G110" s="883" t="s">
        <v>59</v>
      </c>
      <c r="H110" s="844">
        <f t="shared" si="7"/>
        <v>0.22149436101913275</v>
      </c>
      <c r="I110" s="867">
        <f>+E110/E106</f>
        <v>0.22561111111111104</v>
      </c>
      <c r="J110" s="844"/>
      <c r="M110" s="883" t="s">
        <v>1676</v>
      </c>
    </row>
    <row r="111" spans="2:13" x14ac:dyDescent="0.25">
      <c r="C111" s="856" t="s">
        <v>1608</v>
      </c>
      <c r="D111" s="857" t="s">
        <v>22</v>
      </c>
      <c r="E111" s="857">
        <f>4030/1000</f>
        <v>4.03</v>
      </c>
      <c r="F111" s="839">
        <f>+E111/E14</f>
        <v>5.9665645408912091</v>
      </c>
      <c r="G111" s="883" t="s">
        <v>59</v>
      </c>
      <c r="H111" s="844">
        <f t="shared" si="7"/>
        <v>1.6326881938927798E-2</v>
      </c>
      <c r="I111" s="902">
        <f>+E111/E103</f>
        <v>2.2388888888888889E-2</v>
      </c>
      <c r="J111" s="844"/>
      <c r="K111" s="883" t="s">
        <v>1675</v>
      </c>
      <c r="L111" s="883" t="s">
        <v>22</v>
      </c>
      <c r="M111">
        <v>4.4279999999999999</v>
      </c>
    </row>
    <row r="112" spans="2:13" x14ac:dyDescent="0.25">
      <c r="C112" s="856" t="s">
        <v>1642</v>
      </c>
      <c r="D112" s="857" t="s">
        <v>1633</v>
      </c>
      <c r="E112" s="812">
        <f>+F112*E17</f>
        <v>32.342000997110311</v>
      </c>
      <c r="F112" s="839">
        <f>+E83*$G$102</f>
        <v>11.831994339725293</v>
      </c>
      <c r="G112" s="883" t="s">
        <v>59</v>
      </c>
      <c r="H112" s="844">
        <f t="shared" si="7"/>
        <v>3.2377019198036219E-2</v>
      </c>
      <c r="J112" s="844"/>
    </row>
    <row r="113" spans="3:10" x14ac:dyDescent="0.25">
      <c r="C113" s="856" t="s">
        <v>1026</v>
      </c>
      <c r="D113" s="883" t="s">
        <v>102</v>
      </c>
      <c r="H113" s="836"/>
      <c r="J113" s="844"/>
    </row>
    <row r="114" spans="3:10" x14ac:dyDescent="0.25">
      <c r="J114" s="844"/>
    </row>
    <row r="115" spans="3:10" x14ac:dyDescent="0.25">
      <c r="D115" s="851" t="s">
        <v>1632</v>
      </c>
      <c r="J115" s="844"/>
    </row>
    <row r="116" spans="3:10" x14ac:dyDescent="0.25">
      <c r="D116" s="857" t="s">
        <v>959</v>
      </c>
      <c r="E116" s="811">
        <f>+F107/$E$61</f>
        <v>0.20429710445849361</v>
      </c>
      <c r="F116" s="857" t="s">
        <v>533</v>
      </c>
    </row>
    <row r="117" spans="3:10" x14ac:dyDescent="0.25">
      <c r="D117" s="857" t="s">
        <v>1020</v>
      </c>
      <c r="E117" s="811">
        <f t="shared" ref="E117:E120" si="8">+F108/$E$61</f>
        <v>0.22067890175733909</v>
      </c>
      <c r="F117" s="857" t="s">
        <v>533</v>
      </c>
    </row>
    <row r="118" spans="3:10" x14ac:dyDescent="0.25">
      <c r="D118" s="857" t="s">
        <v>1630</v>
      </c>
      <c r="E118" s="811">
        <f t="shared" si="8"/>
        <v>5.5174490472045805E-2</v>
      </c>
      <c r="F118" s="857" t="s">
        <v>533</v>
      </c>
    </row>
    <row r="119" spans="3:10" x14ac:dyDescent="0.25">
      <c r="D119" s="857" t="s">
        <v>782</v>
      </c>
      <c r="E119" s="811">
        <f t="shared" si="8"/>
        <v>0.14572536888045629</v>
      </c>
      <c r="F119" s="857" t="s">
        <v>533</v>
      </c>
    </row>
    <row r="120" spans="3:10" x14ac:dyDescent="0.25">
      <c r="D120" s="857" t="s">
        <v>22</v>
      </c>
      <c r="E120" s="811">
        <f t="shared" si="8"/>
        <v>1.0741767340128326E-2</v>
      </c>
      <c r="F120" s="857" t="s">
        <v>533</v>
      </c>
    </row>
    <row r="121" spans="3:10" x14ac:dyDescent="0.25">
      <c r="D121" s="857" t="s">
        <v>1633</v>
      </c>
      <c r="E121" s="811">
        <f>+F112/$E$61</f>
        <v>2.1301459071799516E-2</v>
      </c>
      <c r="F121" s="857" t="s">
        <v>533</v>
      </c>
    </row>
    <row r="122" spans="3:10" x14ac:dyDescent="0.25">
      <c r="D122" s="857"/>
      <c r="E122" s="811"/>
      <c r="F122" s="857"/>
    </row>
    <row r="124" spans="3:10" x14ac:dyDescent="0.25">
      <c r="C124" s="856" t="s">
        <v>1646</v>
      </c>
      <c r="D124" s="857" t="s">
        <v>1635</v>
      </c>
      <c r="E124" s="867">
        <f>+F106/G102</f>
        <v>0.74089987835615179</v>
      </c>
      <c r="F124" s="857"/>
    </row>
    <row r="125" spans="3:10" x14ac:dyDescent="0.25">
      <c r="C125" s="856"/>
    </row>
    <row r="129" spans="1:6" x14ac:dyDescent="0.25">
      <c r="A129" s="327" t="s">
        <v>270</v>
      </c>
      <c r="B129" s="1"/>
      <c r="C129" s="1"/>
      <c r="D129" s="1"/>
      <c r="E129" s="1"/>
      <c r="F129" s="1"/>
    </row>
    <row r="130" spans="1:6" x14ac:dyDescent="0.25">
      <c r="A130" s="331" t="s">
        <v>271</v>
      </c>
      <c r="B130" s="332" t="s">
        <v>42</v>
      </c>
      <c r="C130" s="332" t="s">
        <v>272</v>
      </c>
      <c r="D130" s="332" t="s">
        <v>273</v>
      </c>
      <c r="E130" s="332" t="s">
        <v>274</v>
      </c>
      <c r="F130" s="333" t="s">
        <v>275</v>
      </c>
    </row>
    <row r="131" spans="1:6" x14ac:dyDescent="0.25">
      <c r="A131" s="1" t="s">
        <v>289</v>
      </c>
      <c r="B131" s="1"/>
      <c r="C131" s="17" t="s">
        <v>1079</v>
      </c>
      <c r="D131" s="1" t="s">
        <v>1080</v>
      </c>
      <c r="E131" s="1" t="s">
        <v>59</v>
      </c>
      <c r="F131" s="1" t="s">
        <v>288</v>
      </c>
    </row>
    <row r="132" spans="1:6" x14ac:dyDescent="0.25">
      <c r="A132" s="1"/>
      <c r="B132" s="1"/>
      <c r="C132" s="338" t="s">
        <v>1081</v>
      </c>
      <c r="D132" s="328" t="s">
        <v>1082</v>
      </c>
      <c r="E132" s="1" t="s">
        <v>59</v>
      </c>
      <c r="F132" s="1" t="s">
        <v>288</v>
      </c>
    </row>
    <row r="133" spans="1:6" x14ac:dyDescent="0.25">
      <c r="A133" s="1"/>
      <c r="B133" s="1"/>
      <c r="C133" s="342" t="s">
        <v>1083</v>
      </c>
      <c r="D133" s="328" t="s">
        <v>1084</v>
      </c>
      <c r="E133" s="1" t="s">
        <v>59</v>
      </c>
      <c r="F133" s="1" t="s">
        <v>288</v>
      </c>
    </row>
    <row r="134" spans="1:6" x14ac:dyDescent="0.25">
      <c r="A134" s="1"/>
      <c r="B134" s="1"/>
      <c r="C134" s="17" t="s">
        <v>1085</v>
      </c>
      <c r="D134" s="328" t="s">
        <v>1086</v>
      </c>
      <c r="E134" s="1" t="s">
        <v>59</v>
      </c>
      <c r="F134" s="1" t="s">
        <v>288</v>
      </c>
    </row>
    <row r="135" spans="1:6" x14ac:dyDescent="0.25">
      <c r="A135" s="328"/>
      <c r="B135" s="328"/>
      <c r="C135" s="18" t="s">
        <v>1087</v>
      </c>
      <c r="D135" s="883" t="s">
        <v>1088</v>
      </c>
      <c r="E135" s="1" t="s">
        <v>59</v>
      </c>
      <c r="F135" s="1" t="s">
        <v>288</v>
      </c>
    </row>
    <row r="136" spans="1:6" x14ac:dyDescent="0.25">
      <c r="A136" s="328"/>
      <c r="B136" s="328"/>
      <c r="C136" s="18" t="s">
        <v>1089</v>
      </c>
      <c r="D136" s="883" t="s">
        <v>1090</v>
      </c>
      <c r="E136" s="12" t="s">
        <v>59</v>
      </c>
      <c r="F136" s="344" t="s">
        <v>288</v>
      </c>
    </row>
    <row r="137" spans="1:6" x14ac:dyDescent="0.25">
      <c r="A137" s="328"/>
      <c r="B137" s="328"/>
      <c r="C137" s="18" t="s">
        <v>1091</v>
      </c>
      <c r="D137" s="328" t="s">
        <v>1092</v>
      </c>
      <c r="E137" s="328" t="s">
        <v>59</v>
      </c>
      <c r="F137" s="344" t="s">
        <v>288</v>
      </c>
    </row>
    <row r="138" spans="1:6" ht="15.75" customHeight="1" x14ac:dyDescent="0.25">
      <c r="A138" s="328"/>
      <c r="B138" s="328"/>
      <c r="C138" s="1" t="s">
        <v>1677</v>
      </c>
      <c r="D138" s="1" t="s">
        <v>1679</v>
      </c>
      <c r="E138" s="328" t="s">
        <v>59</v>
      </c>
      <c r="F138" s="344" t="s">
        <v>288</v>
      </c>
    </row>
    <row r="139" spans="1:6" x14ac:dyDescent="0.25">
      <c r="A139" s="328"/>
      <c r="B139" s="328"/>
      <c r="C139" s="1" t="s">
        <v>1678</v>
      </c>
      <c r="D139" s="1" t="s">
        <v>1680</v>
      </c>
      <c r="E139" s="328" t="s">
        <v>59</v>
      </c>
      <c r="F139" s="344" t="s">
        <v>288</v>
      </c>
    </row>
    <row r="140" spans="1:6" x14ac:dyDescent="0.25">
      <c r="A140" s="328"/>
      <c r="B140" s="328"/>
      <c r="F140" s="1"/>
    </row>
    <row r="141" spans="1:6" x14ac:dyDescent="0.25">
      <c r="A141" s="328"/>
      <c r="B141" s="328"/>
      <c r="F141" s="328"/>
    </row>
    <row r="142" spans="1:6" x14ac:dyDescent="0.25">
      <c r="A142" s="328"/>
      <c r="B142" s="328"/>
      <c r="C142" s="328"/>
      <c r="D142" s="328"/>
      <c r="E142" s="328"/>
      <c r="F142" s="328"/>
    </row>
    <row r="143" spans="1:6" x14ac:dyDescent="0.25">
      <c r="A143" s="348" t="s">
        <v>40</v>
      </c>
      <c r="B143" s="348"/>
      <c r="C143" s="349"/>
      <c r="D143" s="349"/>
      <c r="E143" s="349"/>
      <c r="F143" s="328"/>
    </row>
    <row r="144" spans="1:6" x14ac:dyDescent="0.25">
      <c r="A144" s="331" t="s">
        <v>41</v>
      </c>
      <c r="B144" s="332" t="s">
        <v>42</v>
      </c>
      <c r="C144" s="332" t="s">
        <v>43</v>
      </c>
      <c r="D144" s="332" t="s">
        <v>44</v>
      </c>
      <c r="E144" s="333" t="s">
        <v>45</v>
      </c>
      <c r="F144" s="328"/>
    </row>
    <row r="145" spans="1:6" x14ac:dyDescent="0.25">
      <c r="A145" s="350" t="s">
        <v>58</v>
      </c>
      <c r="B145" s="350"/>
      <c r="C145" s="1" t="s">
        <v>914</v>
      </c>
      <c r="D145" s="1" t="s">
        <v>1098</v>
      </c>
      <c r="E145" s="1" t="s">
        <v>59</v>
      </c>
      <c r="F145" s="328"/>
    </row>
    <row r="146" spans="1:6" x14ac:dyDescent="0.25">
      <c r="A146" s="1"/>
      <c r="B146" s="1"/>
      <c r="C146" s="883" t="s">
        <v>1097</v>
      </c>
      <c r="D146" s="883" t="s">
        <v>1100</v>
      </c>
      <c r="E146" s="12" t="s">
        <v>59</v>
      </c>
      <c r="F146" s="328"/>
    </row>
    <row r="147" spans="1:6" x14ac:dyDescent="0.25">
      <c r="A147" s="1"/>
      <c r="B147" s="328"/>
      <c r="C147" s="883" t="s">
        <v>1099</v>
      </c>
      <c r="D147" s="883" t="s">
        <v>1101</v>
      </c>
      <c r="E147" s="12" t="s">
        <v>59</v>
      </c>
      <c r="F147" s="328"/>
    </row>
    <row r="148" spans="1:6" x14ac:dyDescent="0.25">
      <c r="A148" s="1"/>
      <c r="B148" s="328"/>
      <c r="C148" s="18" t="s">
        <v>1102</v>
      </c>
      <c r="D148" s="883" t="s">
        <v>1103</v>
      </c>
      <c r="E148" s="12" t="s">
        <v>59</v>
      </c>
      <c r="F148" s="328"/>
    </row>
    <row r="149" spans="1:6" x14ac:dyDescent="0.25">
      <c r="C149" s="18" t="s">
        <v>912</v>
      </c>
      <c r="D149" s="18" t="s">
        <v>1104</v>
      </c>
      <c r="E149" s="344" t="s">
        <v>59</v>
      </c>
    </row>
    <row r="150" spans="1:6" x14ac:dyDescent="0.25">
      <c r="A150" s="1"/>
      <c r="B150" s="1"/>
      <c r="C150" s="18" t="s">
        <v>913</v>
      </c>
      <c r="D150" s="18" t="s">
        <v>1105</v>
      </c>
      <c r="E150" s="344" t="s">
        <v>59</v>
      </c>
    </row>
    <row r="151" spans="1:6" x14ac:dyDescent="0.25">
      <c r="A151" s="1"/>
      <c r="B151" s="1"/>
      <c r="C151" s="18" t="s">
        <v>1683</v>
      </c>
      <c r="D151" s="883" t="s">
        <v>1681</v>
      </c>
      <c r="E151" s="344" t="s">
        <v>59</v>
      </c>
      <c r="F151" s="328"/>
    </row>
    <row r="152" spans="1:6" x14ac:dyDescent="0.25">
      <c r="A152" s="1"/>
      <c r="B152" s="1"/>
      <c r="C152" s="1" t="s">
        <v>1684</v>
      </c>
      <c r="D152" s="1" t="s">
        <v>1682</v>
      </c>
      <c r="E152" s="344" t="s">
        <v>59</v>
      </c>
      <c r="F152" s="328"/>
    </row>
    <row r="153" spans="1:6" x14ac:dyDescent="0.25">
      <c r="A153" s="877"/>
      <c r="B153" s="877"/>
      <c r="C153" s="877"/>
      <c r="D153" s="877"/>
      <c r="E153" s="877"/>
      <c r="F153" s="328"/>
    </row>
    <row r="154" spans="1:6" x14ac:dyDescent="0.25">
      <c r="C154" s="336" t="s">
        <v>804</v>
      </c>
      <c r="D154" s="328"/>
      <c r="E154" s="1"/>
      <c r="F154" s="1"/>
    </row>
    <row r="155" spans="1:6" x14ac:dyDescent="0.25">
      <c r="C155" s="360" t="s">
        <v>272</v>
      </c>
      <c r="D155" s="360" t="s">
        <v>805</v>
      </c>
      <c r="E155" s="360" t="s">
        <v>806</v>
      </c>
      <c r="F155" s="360" t="s">
        <v>854</v>
      </c>
    </row>
    <row r="156" spans="1:6" x14ac:dyDescent="0.25">
      <c r="C156" s="16" t="str">
        <f>+C136</f>
        <v>FTE-GAS-REF2</v>
      </c>
      <c r="D156" s="16" t="s">
        <v>7</v>
      </c>
      <c r="E156" s="16" t="str">
        <f>+C149</f>
        <v>GAS-REF2</v>
      </c>
      <c r="F156" s="292">
        <v>1</v>
      </c>
    </row>
    <row r="157" spans="1:6" x14ac:dyDescent="0.25">
      <c r="C157" s="16" t="str">
        <f>+C137</f>
        <v>FTE-HFO-REF2</v>
      </c>
      <c r="D157" s="16" t="s">
        <v>26</v>
      </c>
      <c r="E157" s="16" t="str">
        <f>+C150</f>
        <v>HFO-REF2</v>
      </c>
      <c r="F157" s="322">
        <v>1</v>
      </c>
    </row>
    <row r="158" spans="1:6" x14ac:dyDescent="0.25">
      <c r="C158" s="813" t="str">
        <f>+C138</f>
        <v>FTE-LPG-REF2</v>
      </c>
      <c r="D158" s="2" t="s">
        <v>22</v>
      </c>
      <c r="E158" s="2" t="str">
        <f>+C151</f>
        <v>LPG-REF2</v>
      </c>
      <c r="F158" s="400">
        <v>1</v>
      </c>
    </row>
    <row r="159" spans="1:6" x14ac:dyDescent="0.25">
      <c r="C159" s="813" t="str">
        <f>+C139</f>
        <v>FTE-RFG2</v>
      </c>
      <c r="D159" s="2" t="s">
        <v>125</v>
      </c>
      <c r="E159" s="2" t="str">
        <f>+C152</f>
        <v>RFG2-REF2</v>
      </c>
      <c r="F159" s="400">
        <v>1</v>
      </c>
    </row>
    <row r="162" spans="3:7" ht="18.75" x14ac:dyDescent="0.3">
      <c r="C162" s="835" t="s">
        <v>1586</v>
      </c>
    </row>
    <row r="165" spans="3:7" x14ac:dyDescent="0.25">
      <c r="C165" s="329" t="s">
        <v>804</v>
      </c>
      <c r="D165" s="1"/>
      <c r="E165" s="1"/>
      <c r="F165" s="1"/>
      <c r="G165" s="1"/>
    </row>
    <row r="166" spans="3:7" x14ac:dyDescent="0.25">
      <c r="C166" s="334" t="s">
        <v>272</v>
      </c>
      <c r="D166" s="209" t="s">
        <v>805</v>
      </c>
      <c r="E166" s="209" t="s">
        <v>806</v>
      </c>
      <c r="F166" s="209" t="s">
        <v>974</v>
      </c>
      <c r="G166" s="335" t="s">
        <v>854</v>
      </c>
    </row>
    <row r="167" spans="3:7" x14ac:dyDescent="0.25">
      <c r="C167" s="16" t="str">
        <f>+C131</f>
        <v>MIX-OIL-REF2</v>
      </c>
      <c r="D167" s="16" t="s">
        <v>13</v>
      </c>
      <c r="E167" s="16" t="str">
        <f>+C145</f>
        <v>OIL-REF2</v>
      </c>
      <c r="F167" s="292">
        <f>+E35</f>
        <v>0.23009135447964041</v>
      </c>
      <c r="G167" s="322">
        <v>1</v>
      </c>
    </row>
    <row r="168" spans="3:7" x14ac:dyDescent="0.25">
      <c r="C168" s="16"/>
      <c r="D168" s="214" t="s">
        <v>21</v>
      </c>
      <c r="E168" s="16"/>
      <c r="F168" s="322">
        <f>+E37</f>
        <v>0.3</v>
      </c>
      <c r="G168" s="16"/>
    </row>
    <row r="169" spans="3:7" x14ac:dyDescent="0.25">
      <c r="D169" s="16" t="s">
        <v>17</v>
      </c>
      <c r="E169" s="214"/>
      <c r="F169" s="295">
        <f>+E36</f>
        <v>0.46990864552035966</v>
      </c>
      <c r="G169" s="214"/>
    </row>
    <row r="171" spans="3:7" hidden="1" x14ac:dyDescent="0.25">
      <c r="C171" s="336"/>
      <c r="D171" s="207"/>
      <c r="E171" s="207"/>
    </row>
    <row r="172" spans="3:7" hidden="1" x14ac:dyDescent="0.25">
      <c r="C172" s="337" t="s">
        <v>272</v>
      </c>
      <c r="D172" s="337" t="s">
        <v>806</v>
      </c>
      <c r="E172" s="337" t="s">
        <v>978</v>
      </c>
    </row>
    <row r="173" spans="3:7" hidden="1" x14ac:dyDescent="0.25">
      <c r="C173" s="339" t="str">
        <f>+C167</f>
        <v>MIX-OIL-REF2</v>
      </c>
      <c r="D173" s="340" t="s">
        <v>137</v>
      </c>
      <c r="E173" s="341">
        <f>+E50</f>
        <v>2.7603</v>
      </c>
    </row>
    <row r="174" spans="3:7" hidden="1" x14ac:dyDescent="0.25"/>
    <row r="176" spans="3:7" ht="18.75" x14ac:dyDescent="0.3">
      <c r="C176" s="835" t="s">
        <v>1600</v>
      </c>
    </row>
    <row r="179" spans="3:11" x14ac:dyDescent="0.25">
      <c r="C179" s="336" t="s">
        <v>1008</v>
      </c>
      <c r="D179" s="328"/>
      <c r="E179" s="1"/>
      <c r="G179" s="283" t="s">
        <v>910</v>
      </c>
    </row>
    <row r="180" spans="3:11" ht="15.75" thickBot="1" x14ac:dyDescent="0.3">
      <c r="C180" s="354" t="s">
        <v>272</v>
      </c>
      <c r="D180" s="355" t="s">
        <v>805</v>
      </c>
      <c r="E180" s="356" t="s">
        <v>898</v>
      </c>
      <c r="G180" s="284" t="s">
        <v>43</v>
      </c>
      <c r="H180" s="285" t="s">
        <v>912</v>
      </c>
      <c r="I180" s="285" t="s">
        <v>913</v>
      </c>
      <c r="J180" s="285" t="str">
        <f>+E159</f>
        <v>RFG2-REF2</v>
      </c>
      <c r="K180" s="285" t="str">
        <f>+E158</f>
        <v>LPG-REF2</v>
      </c>
    </row>
    <row r="181" spans="3:11" ht="15.75" thickBot="1" x14ac:dyDescent="0.3">
      <c r="C181" s="357" t="s">
        <v>1081</v>
      </c>
      <c r="D181" s="1" t="str">
        <f>+E167</f>
        <v>OIL-REF2</v>
      </c>
      <c r="E181" s="879">
        <f>1/(1+SUM($E$82:$E$86))</f>
        <v>0.91642858568641605</v>
      </c>
      <c r="G181" s="211" t="s">
        <v>859</v>
      </c>
      <c r="H181" s="212" t="s">
        <v>480</v>
      </c>
      <c r="I181" s="212" t="s">
        <v>480</v>
      </c>
      <c r="J181" s="212" t="s">
        <v>480</v>
      </c>
      <c r="K181" s="212"/>
    </row>
    <row r="182" spans="3:11" s="874" customFormat="1" x14ac:dyDescent="0.25">
      <c r="C182" s="16"/>
      <c r="D182" s="873" t="str">
        <f>+C147</f>
        <v>H2-REF2</v>
      </c>
      <c r="E182" s="879">
        <f>E82/(1+SUM($E$82:$E$86))</f>
        <v>1.1403309375140488E-2</v>
      </c>
      <c r="G182" s="12" t="s">
        <v>137</v>
      </c>
      <c r="H182" s="286">
        <v>55.539114956987063</v>
      </c>
      <c r="I182" s="286">
        <v>78.281203343664757</v>
      </c>
      <c r="J182" s="286">
        <v>40.784041574326501</v>
      </c>
      <c r="K182" s="286">
        <f>+'3. Scope3'!H26</f>
        <v>47.28933824683137</v>
      </c>
    </row>
    <row r="183" spans="3:11" s="874" customFormat="1" x14ac:dyDescent="0.25">
      <c r="C183" s="1"/>
      <c r="D183" s="875" t="str">
        <f>+E156</f>
        <v>GAS-REF2</v>
      </c>
      <c r="E183" s="879">
        <f>E84/(1+SUM($E$82:$E$86))</f>
        <v>3.6727248590057993E-2</v>
      </c>
    </row>
    <row r="184" spans="3:11" s="874" customFormat="1" x14ac:dyDescent="0.25">
      <c r="C184" s="1"/>
      <c r="D184" s="876" t="str">
        <f>+E159</f>
        <v>RFG2-REF2</v>
      </c>
      <c r="E184" s="879">
        <f>E83/(1+SUM($E$82:$E$86))</f>
        <v>2.1983407669173775E-2</v>
      </c>
      <c r="G184" s="878"/>
    </row>
    <row r="185" spans="3:11" s="874" customFormat="1" x14ac:dyDescent="0.25">
      <c r="D185" s="874" t="str">
        <f>+E158</f>
        <v>LPG-REF2</v>
      </c>
      <c r="E185" s="879">
        <f>E86/(1+SUM($E$82:$E$86))</f>
        <v>1.8236178164874122E-3</v>
      </c>
    </row>
    <row r="186" spans="3:11" x14ac:dyDescent="0.25">
      <c r="D186" t="str">
        <f>+E157</f>
        <v>HFO-REF2</v>
      </c>
      <c r="E186" s="844">
        <f>E85/(1+SUM($E$82:$E$86))</f>
        <v>1.1633830862724267E-2</v>
      </c>
    </row>
    <row r="187" spans="3:11" x14ac:dyDescent="0.25">
      <c r="G187" s="903"/>
    </row>
    <row r="188" spans="3:11" ht="18.75" x14ac:dyDescent="0.3">
      <c r="C188" s="835" t="s">
        <v>1626</v>
      </c>
    </row>
    <row r="190" spans="3:11" x14ac:dyDescent="0.25">
      <c r="C190" s="329" t="s">
        <v>804</v>
      </c>
      <c r="D190" s="1"/>
      <c r="E190" s="1"/>
      <c r="F190" s="397"/>
      <c r="G190" s="1"/>
    </row>
    <row r="191" spans="3:11" x14ac:dyDescent="0.25">
      <c r="C191" s="355" t="s">
        <v>272</v>
      </c>
      <c r="D191" s="355" t="s">
        <v>852</v>
      </c>
      <c r="E191" s="355" t="s">
        <v>1038</v>
      </c>
      <c r="F191" s="355" t="s">
        <v>897</v>
      </c>
      <c r="G191" s="398" t="s">
        <v>898</v>
      </c>
    </row>
    <row r="192" spans="3:11" x14ac:dyDescent="0.25">
      <c r="C192" s="389" t="str">
        <f>+C133</f>
        <v>SMR-REF2</v>
      </c>
      <c r="D192" s="389" t="s">
        <v>1039</v>
      </c>
      <c r="E192" s="16">
        <v>2019</v>
      </c>
      <c r="F192" s="399"/>
      <c r="G192" s="389"/>
    </row>
    <row r="193" spans="3:7" x14ac:dyDescent="0.25">
      <c r="C193" s="389" t="str">
        <f>+C192</f>
        <v>SMR-REF2</v>
      </c>
      <c r="D193" s="16" t="s">
        <v>854</v>
      </c>
      <c r="E193" s="16">
        <v>2019</v>
      </c>
      <c r="F193" s="1"/>
      <c r="G193" s="400">
        <f>1/G97</f>
        <v>0.75917622919674754</v>
      </c>
    </row>
    <row r="194" spans="3:7" x14ac:dyDescent="0.25">
      <c r="C194" s="1"/>
      <c r="D194" s="1"/>
      <c r="E194" s="1"/>
      <c r="F194" s="1"/>
      <c r="G194" s="1"/>
    </row>
    <row r="195" spans="3:7" x14ac:dyDescent="0.25">
      <c r="C195" s="1"/>
      <c r="D195" s="1"/>
      <c r="E195" s="1"/>
      <c r="F195" s="1"/>
      <c r="G195" s="1"/>
    </row>
    <row r="196" spans="3:7" x14ac:dyDescent="0.25">
      <c r="C196" s="336" t="s">
        <v>804</v>
      </c>
      <c r="D196" s="328"/>
      <c r="E196" s="1"/>
      <c r="F196" s="1"/>
      <c r="G196" s="1"/>
    </row>
    <row r="197" spans="3:7" x14ac:dyDescent="0.25">
      <c r="C197" s="355" t="s">
        <v>272</v>
      </c>
      <c r="D197" s="355" t="s">
        <v>805</v>
      </c>
      <c r="E197" s="355" t="s">
        <v>806</v>
      </c>
      <c r="F197" s="1"/>
      <c r="G197" s="1"/>
    </row>
    <row r="198" spans="3:7" x14ac:dyDescent="0.25">
      <c r="C198" s="2" t="str">
        <f>+C192</f>
        <v>SMR-REF2</v>
      </c>
      <c r="D198" s="2" t="str">
        <f>+D183</f>
        <v>GAS-REF2</v>
      </c>
      <c r="E198" s="2" t="str">
        <f>+D182</f>
        <v>H2-REF2</v>
      </c>
      <c r="F198" s="1"/>
      <c r="G198" s="1"/>
    </row>
    <row r="201" spans="3:7" ht="18.75" x14ac:dyDescent="0.3">
      <c r="C201" s="835" t="s">
        <v>1627</v>
      </c>
    </row>
    <row r="203" spans="3:7" x14ac:dyDescent="0.25">
      <c r="C203" s="336" t="s">
        <v>1025</v>
      </c>
      <c r="D203" s="269"/>
      <c r="E203" s="207"/>
    </row>
    <row r="204" spans="3:7" x14ac:dyDescent="0.25">
      <c r="C204" s="334" t="s">
        <v>272</v>
      </c>
      <c r="D204" s="371" t="s">
        <v>806</v>
      </c>
      <c r="E204" s="372" t="s">
        <v>897</v>
      </c>
    </row>
    <row r="205" spans="3:7" x14ac:dyDescent="0.25">
      <c r="C205" s="349" t="s">
        <v>1081</v>
      </c>
      <c r="D205" s="2" t="s">
        <v>8</v>
      </c>
      <c r="E205" s="266">
        <f>+H107</f>
        <v>0.31052010338168218</v>
      </c>
    </row>
    <row r="206" spans="3:7" x14ac:dyDescent="0.25">
      <c r="C206" s="1"/>
      <c r="D206" s="2" t="s">
        <v>14</v>
      </c>
      <c r="E206" s="266">
        <f>+H108</f>
        <v>0.33541951350449545</v>
      </c>
    </row>
    <row r="207" spans="3:7" x14ac:dyDescent="0.25">
      <c r="C207" s="1"/>
      <c r="D207" s="2" t="s">
        <v>18</v>
      </c>
      <c r="E207" s="266">
        <f>+H109</f>
        <v>8.3862120957725647E-2</v>
      </c>
    </row>
    <row r="208" spans="3:7" x14ac:dyDescent="0.25">
      <c r="C208" s="1"/>
      <c r="D208" s="2" t="s">
        <v>22</v>
      </c>
      <c r="E208" s="266">
        <f>+H111</f>
        <v>1.6326881938927798E-2</v>
      </c>
    </row>
    <row r="209" spans="3:7" x14ac:dyDescent="0.25">
      <c r="C209" s="1"/>
      <c r="D209" s="2" t="s">
        <v>26</v>
      </c>
      <c r="E209" s="266">
        <f>+H110</f>
        <v>0.22149436101913275</v>
      </c>
    </row>
    <row r="210" spans="3:7" x14ac:dyDescent="0.25">
      <c r="C210" s="1"/>
      <c r="D210" s="2" t="s">
        <v>125</v>
      </c>
      <c r="E210" s="880">
        <f>+H112</f>
        <v>3.2377019198036219E-2</v>
      </c>
    </row>
    <row r="211" spans="3:7" x14ac:dyDescent="0.25">
      <c r="D211" s="1"/>
      <c r="E211" s="266"/>
      <c r="G211" s="820">
        <f>+SUM(E205:E210)</f>
        <v>1</v>
      </c>
    </row>
    <row r="212" spans="3:7" x14ac:dyDescent="0.25">
      <c r="E212" s="374"/>
    </row>
    <row r="216" spans="3:7" ht="18.75" x14ac:dyDescent="0.3">
      <c r="C216" s="835" t="s">
        <v>1636</v>
      </c>
    </row>
    <row r="218" spans="3:7" x14ac:dyDescent="0.25">
      <c r="C218" s="381" t="s">
        <v>804</v>
      </c>
      <c r="D218" s="16"/>
      <c r="E218" s="16"/>
      <c r="F218" s="336"/>
      <c r="G218" s="16"/>
    </row>
    <row r="219" spans="3:7" x14ac:dyDescent="0.25">
      <c r="C219" s="354" t="s">
        <v>272</v>
      </c>
      <c r="D219" s="355" t="s">
        <v>852</v>
      </c>
      <c r="E219" s="355" t="s">
        <v>1038</v>
      </c>
      <c r="F219" s="355" t="s">
        <v>897</v>
      </c>
      <c r="G219" s="382" t="s">
        <v>898</v>
      </c>
    </row>
    <row r="220" spans="3:7" x14ac:dyDescent="0.25">
      <c r="C220" s="384" t="str">
        <f>+C205</f>
        <v>REF2</v>
      </c>
      <c r="D220" s="385" t="s">
        <v>1039</v>
      </c>
      <c r="E220" s="16">
        <v>2019</v>
      </c>
      <c r="F220" s="386">
        <f>+E62*E124</f>
        <v>358.85963378703377</v>
      </c>
    </row>
    <row r="221" spans="3:7" x14ac:dyDescent="0.25">
      <c r="C221" s="388" t="str">
        <f>+C205</f>
        <v>REF2</v>
      </c>
      <c r="D221" s="214" t="s">
        <v>1039</v>
      </c>
      <c r="E221" s="881">
        <v>2020</v>
      </c>
      <c r="F221" s="386">
        <f>+E61*E65*E124</f>
        <v>370.38264955083764</v>
      </c>
      <c r="G221" s="16"/>
    </row>
    <row r="222" spans="3:7" x14ac:dyDescent="0.25">
      <c r="C222" s="384" t="str">
        <f>+C205</f>
        <v>REF2</v>
      </c>
      <c r="D222" s="389" t="s">
        <v>854</v>
      </c>
      <c r="E222" s="16">
        <v>2019</v>
      </c>
      <c r="F222" s="16"/>
      <c r="G222" s="322">
        <f>+E124*E181</f>
        <v>0.67898182765716586</v>
      </c>
    </row>
    <row r="223" spans="3:7" x14ac:dyDescent="0.25">
      <c r="C223" s="357" t="str">
        <f>+C205</f>
        <v>REF2</v>
      </c>
      <c r="D223" s="16" t="s">
        <v>1040</v>
      </c>
      <c r="E223" s="389">
        <v>2019</v>
      </c>
      <c r="F223" s="322"/>
      <c r="G223" s="390">
        <f>+E68</f>
        <v>0.58532298647241721</v>
      </c>
    </row>
  </sheetData>
  <mergeCells count="2">
    <mergeCell ref="T7:T8"/>
    <mergeCell ref="U7:V7"/>
  </mergeCells>
  <conditionalFormatting sqref="K7:K14 L7:L22 K6:L6">
    <cfRule type="containsText" dxfId="86" priority="1" operator="containsText" text="Oil and Gas">
      <formula>NOT(ISERROR(SEARCH(("Oil and Gas"),(K6))))</formula>
    </cfRule>
  </conditionalFormatting>
  <conditionalFormatting sqref="K7:K14 L7:L22 K6:L6">
    <cfRule type="containsText" dxfId="85" priority="2" operator="containsText" text="Gas">
      <formula>NOT(ISERROR(SEARCH(("Gas"),(K6))))</formula>
    </cfRule>
  </conditionalFormatting>
  <conditionalFormatting sqref="K7:K14 L7:L22 K6:L6">
    <cfRule type="containsText" dxfId="84" priority="3" operator="containsText" text="Oil">
      <formula>NOT(ISERROR(SEARCH(("Oil"),(K6))))</formula>
    </cfRule>
  </conditionalFormatting>
  <conditionalFormatting sqref="K15:K22">
    <cfRule type="containsText" dxfId="83" priority="4" operator="containsText" text="Oil and Gas">
      <formula>NOT(ISERROR(SEARCH(("Oil and Gas"),(K15))))</formula>
    </cfRule>
  </conditionalFormatting>
  <conditionalFormatting sqref="K15:K22">
    <cfRule type="containsText" dxfId="82" priority="5" operator="containsText" text="Gas">
      <formula>NOT(ISERROR(SEARCH(("Gas"),(K15))))</formula>
    </cfRule>
  </conditionalFormatting>
  <conditionalFormatting sqref="K15:K22">
    <cfRule type="containsText" dxfId="81" priority="6" operator="containsText" text="Oil">
      <formula>NOT(ISERROR(SEARCH(("Oil"),(K15))))</formula>
    </cfRule>
  </conditionalFormatting>
  <conditionalFormatting sqref="O6:P22">
    <cfRule type="cellIs" dxfId="80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173" workbookViewId="0">
      <selection activeCell="B45" sqref="B45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964</v>
      </c>
      <c r="D1" s="12">
        <v>119.96</v>
      </c>
      <c r="E1" s="12" t="s">
        <v>698</v>
      </c>
    </row>
    <row r="2" spans="3:21" x14ac:dyDescent="0.25"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44" t="s">
        <v>967</v>
      </c>
      <c r="M7" s="955"/>
      <c r="N7" s="955"/>
      <c r="O7" s="955"/>
      <c r="P7" s="955"/>
      <c r="Q7" s="955"/>
      <c r="R7" s="955"/>
      <c r="S7" s="955"/>
      <c r="T7" s="955"/>
      <c r="U7" s="945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956" t="s">
        <v>1077</v>
      </c>
      <c r="O9" s="955"/>
      <c r="P9" s="945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1078</v>
      </c>
      <c r="P10" s="321" t="s">
        <v>970</v>
      </c>
      <c r="R10" s="957"/>
      <c r="S10" s="922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971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972</v>
      </c>
      <c r="O12" s="958"/>
      <c r="P12" s="323"/>
      <c r="R12" s="14"/>
      <c r="S12" s="960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973</v>
      </c>
      <c r="O13" s="959"/>
      <c r="P13" s="325"/>
      <c r="R13" s="14"/>
      <c r="S13" s="922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524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867</v>
      </c>
      <c r="R21" s="335" t="s">
        <v>854</v>
      </c>
      <c r="T21" s="336"/>
      <c r="U21" s="207"/>
      <c r="V21" s="207"/>
    </row>
    <row r="22" spans="1:22" ht="15.75" customHeight="1" x14ac:dyDescent="0.25">
      <c r="A22" s="1" t="s">
        <v>289</v>
      </c>
      <c r="B22" s="1"/>
      <c r="C22" s="16" t="s">
        <v>1079</v>
      </c>
      <c r="D22" s="2" t="s">
        <v>1080</v>
      </c>
      <c r="E22" s="2" t="s">
        <v>59</v>
      </c>
      <c r="F22" s="2" t="s">
        <v>288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272</v>
      </c>
      <c r="U22" s="337" t="s">
        <v>806</v>
      </c>
      <c r="V22" s="337" t="s">
        <v>978</v>
      </c>
    </row>
    <row r="23" spans="1:22" ht="15.75" customHeight="1" x14ac:dyDescent="0.25">
      <c r="A23" s="1"/>
      <c r="B23" s="1"/>
      <c r="C23" s="214" t="s">
        <v>1081</v>
      </c>
      <c r="D23" s="14" t="s">
        <v>1082</v>
      </c>
      <c r="E23" s="2" t="s">
        <v>59</v>
      </c>
      <c r="F23" s="2" t="s">
        <v>288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25">
      <c r="A24" s="1"/>
      <c r="B24" s="1"/>
      <c r="C24" s="389" t="s">
        <v>1083</v>
      </c>
      <c r="D24" s="14" t="s">
        <v>1084</v>
      </c>
      <c r="E24" s="2" t="s">
        <v>59</v>
      </c>
      <c r="F24" s="2" t="s">
        <v>288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1085</v>
      </c>
      <c r="D25" s="14" t="s">
        <v>1086</v>
      </c>
      <c r="E25" s="2" t="s">
        <v>59</v>
      </c>
      <c r="F25" s="2" t="s">
        <v>288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1087</v>
      </c>
      <c r="D26" s="14" t="s">
        <v>1088</v>
      </c>
      <c r="E26" s="2" t="s">
        <v>59</v>
      </c>
      <c r="F26" s="2" t="s">
        <v>288</v>
      </c>
      <c r="G26" s="328"/>
      <c r="Q26" s="322"/>
    </row>
    <row r="27" spans="1:22" ht="15.75" customHeight="1" x14ac:dyDescent="0.25">
      <c r="A27" s="328"/>
      <c r="B27" s="328"/>
      <c r="C27" s="214" t="s">
        <v>1089</v>
      </c>
      <c r="D27" s="214" t="s">
        <v>1090</v>
      </c>
      <c r="E27" s="214" t="s">
        <v>59</v>
      </c>
      <c r="F27" s="16" t="s">
        <v>288</v>
      </c>
      <c r="G27" s="328"/>
    </row>
    <row r="28" spans="1:22" ht="15.75" customHeight="1" x14ac:dyDescent="0.25">
      <c r="A28" s="328"/>
      <c r="B28" s="328"/>
      <c r="C28" s="214" t="s">
        <v>1091</v>
      </c>
      <c r="D28" s="214" t="s">
        <v>1092</v>
      </c>
      <c r="E28" s="214" t="s">
        <v>59</v>
      </c>
      <c r="F28" s="16" t="s">
        <v>288</v>
      </c>
      <c r="G28" s="328"/>
      <c r="L28" s="944" t="s">
        <v>991</v>
      </c>
      <c r="M28" s="955"/>
      <c r="N28" s="955"/>
      <c r="O28" s="955"/>
      <c r="P28" s="955"/>
      <c r="Q28" s="955"/>
      <c r="R28" s="955"/>
      <c r="S28" s="955"/>
      <c r="T28" s="955"/>
      <c r="U28" s="945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992</v>
      </c>
      <c r="O31" s="345" t="s">
        <v>586</v>
      </c>
      <c r="P31" s="345" t="s">
        <v>993</v>
      </c>
      <c r="R31" s="13" t="s">
        <v>994</v>
      </c>
      <c r="S31" s="13" t="s">
        <v>995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996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997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1093</v>
      </c>
      <c r="X33" s="12" t="s">
        <v>1094</v>
      </c>
    </row>
    <row r="34" spans="1:26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998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852</v>
      </c>
      <c r="X34" s="12" t="s">
        <v>1095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1096</v>
      </c>
      <c r="X35" s="12" t="s">
        <v>1097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914</v>
      </c>
      <c r="D36" s="1" t="s">
        <v>1098</v>
      </c>
      <c r="E36" s="1" t="s">
        <v>59</v>
      </c>
      <c r="F36" s="328"/>
      <c r="G36" s="328"/>
      <c r="L36" s="116"/>
      <c r="N36" s="351" t="s">
        <v>1000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1001</v>
      </c>
      <c r="U36" s="305"/>
      <c r="W36" s="12" t="s">
        <v>1096</v>
      </c>
      <c r="X36" s="12" t="s">
        <v>1099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1097</v>
      </c>
      <c r="D37" s="12" t="s">
        <v>1100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1096</v>
      </c>
      <c r="X37" s="12" t="s">
        <v>914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1099</v>
      </c>
      <c r="D38" s="12" t="s">
        <v>1101</v>
      </c>
      <c r="E38" s="12" t="s">
        <v>59</v>
      </c>
      <c r="F38" s="328"/>
      <c r="G38" s="328"/>
      <c r="W38" s="12" t="s">
        <v>1096</v>
      </c>
      <c r="X38" s="12" t="s">
        <v>1102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1102</v>
      </c>
      <c r="D39" s="12" t="s">
        <v>1103</v>
      </c>
      <c r="E39" s="12" t="s">
        <v>59</v>
      </c>
      <c r="F39" s="328"/>
      <c r="G39" s="328"/>
      <c r="N39" s="336"/>
      <c r="O39" s="328"/>
      <c r="P39" s="1"/>
    </row>
    <row r="40" spans="1:26" ht="15.75" customHeight="1" x14ac:dyDescent="0.25">
      <c r="C40" s="18" t="s">
        <v>912</v>
      </c>
      <c r="D40" s="18" t="s">
        <v>1104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913</v>
      </c>
      <c r="D41" s="18" t="s">
        <v>1105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/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944" t="s">
        <v>1013</v>
      </c>
      <c r="M48" s="955"/>
      <c r="N48" s="955"/>
      <c r="O48" s="955"/>
      <c r="P48" s="955"/>
      <c r="Q48" s="955"/>
      <c r="R48" s="955"/>
      <c r="S48" s="955"/>
      <c r="T48" s="955"/>
      <c r="U48" s="945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1014</v>
      </c>
      <c r="N50" s="345" t="s">
        <v>1015</v>
      </c>
      <c r="O50" s="345" t="s">
        <v>1016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957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1017</v>
      </c>
      <c r="N54" s="345" t="s">
        <v>1015</v>
      </c>
      <c r="O54" s="345" t="s">
        <v>1016</v>
      </c>
      <c r="P54" s="345" t="s">
        <v>1106</v>
      </c>
      <c r="Q54" s="24" t="s">
        <v>1107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1020</v>
      </c>
      <c r="N56" s="274"/>
      <c r="O56" s="365">
        <v>3084</v>
      </c>
      <c r="P56" s="295">
        <f t="shared" ref="P56:P61" si="6">+O56/$O$63</f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1108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1022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1024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944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920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ref="P74:P76" si="8">+P57</f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44" t="s">
        <v>1027</v>
      </c>
      <c r="M81" s="955"/>
      <c r="N81" s="955"/>
      <c r="O81" s="955"/>
      <c r="P81" s="955"/>
      <c r="Q81" s="955"/>
      <c r="R81" s="955"/>
      <c r="S81" s="955"/>
      <c r="T81" s="955"/>
      <c r="U81" s="945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1028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993</v>
      </c>
      <c r="T83" s="299"/>
      <c r="U83" s="305"/>
    </row>
    <row r="84" spans="1:21" ht="15.75" customHeight="1" x14ac:dyDescent="0.25">
      <c r="A84" s="12" t="s">
        <v>1029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1030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1031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1032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1033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1034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1035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1036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1037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1038</v>
      </c>
      <c r="Q96" s="355" t="s">
        <v>897</v>
      </c>
      <c r="R96" s="382" t="s">
        <v>898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1039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854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1040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44" t="s">
        <v>1041</v>
      </c>
      <c r="M104" s="955"/>
      <c r="N104" s="955"/>
      <c r="O104" s="955"/>
      <c r="P104" s="955"/>
      <c r="Q104" s="955"/>
      <c r="R104" s="955"/>
      <c r="S104" s="955"/>
      <c r="T104" s="955"/>
      <c r="U104" s="945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1042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1043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993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1044</v>
      </c>
      <c r="O108" s="394">
        <f>394.77/299.7</f>
        <v>1.3172172172172172</v>
      </c>
      <c r="P108" s="395">
        <f>+O108</f>
        <v>1.3172172172172172</v>
      </c>
      <c r="Q108" s="12" t="s">
        <v>1045</v>
      </c>
      <c r="U108" s="305"/>
      <c r="X108" s="12">
        <f>+O34*1000000</f>
        <v>5830000</v>
      </c>
      <c r="Y108" s="12" t="s">
        <v>1043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1046</v>
      </c>
      <c r="U110" s="305"/>
      <c r="X110" s="12">
        <f>+X108*X105</f>
        <v>26235000</v>
      </c>
      <c r="Y110" s="12" t="s">
        <v>1047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1048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926481154.5</v>
      </c>
      <c r="Y111" s="12" t="s">
        <v>1049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1050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1038</v>
      </c>
      <c r="Q116" s="355" t="s">
        <v>897</v>
      </c>
      <c r="R116" s="398" t="s">
        <v>898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1039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44" t="s">
        <v>1051</v>
      </c>
      <c r="M128" s="955"/>
      <c r="N128" s="955"/>
      <c r="O128" s="955"/>
      <c r="P128" s="955"/>
      <c r="Q128" s="955"/>
      <c r="R128" s="955"/>
      <c r="S128" s="955"/>
      <c r="T128" s="955"/>
      <c r="U128" s="945"/>
      <c r="W128" s="12" t="s">
        <v>1052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1053</v>
      </c>
    </row>
    <row r="130" spans="2:25" ht="15.75" customHeight="1" x14ac:dyDescent="0.25">
      <c r="B130" s="1"/>
      <c r="C130" s="1"/>
      <c r="D130" s="1" t="s">
        <v>1054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1053</v>
      </c>
      <c r="N130" s="345" t="s">
        <v>1055</v>
      </c>
      <c r="O130" s="345" t="s">
        <v>993</v>
      </c>
      <c r="P130" s="118"/>
      <c r="Q130" s="118" t="s">
        <v>1056</v>
      </c>
      <c r="R130" s="326"/>
      <c r="S130" s="13"/>
      <c r="T130" s="13"/>
      <c r="U130" s="305"/>
      <c r="W130" s="12" t="s">
        <v>602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1057</v>
      </c>
      <c r="E131" s="1">
        <v>874.27499999999998</v>
      </c>
      <c r="F131" s="1" t="s">
        <v>588</v>
      </c>
      <c r="G131" s="401" t="s">
        <v>1109</v>
      </c>
      <c r="H131" s="1">
        <f>643+289</f>
        <v>932</v>
      </c>
      <c r="I131" s="1"/>
      <c r="L131" s="116"/>
      <c r="M131" s="330" t="s">
        <v>1058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1059</v>
      </c>
      <c r="U131" s="305"/>
      <c r="W131" s="12" t="s">
        <v>1060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1061</v>
      </c>
      <c r="E132" s="1">
        <f>+E130-E131</f>
        <v>686.72500000000002</v>
      </c>
      <c r="F132" s="1" t="s">
        <v>588</v>
      </c>
      <c r="G132" s="401" t="s">
        <v>1110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1062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782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1017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1063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1064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1065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1066</v>
      </c>
      <c r="O137" s="12">
        <v>193</v>
      </c>
      <c r="P137" s="12" t="s">
        <v>1067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1068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1069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1070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1071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1072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1038</v>
      </c>
      <c r="Q144" s="371" t="s">
        <v>897</v>
      </c>
      <c r="R144" s="405" t="s">
        <v>898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1039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44" t="s">
        <v>1073</v>
      </c>
      <c r="M162" s="955"/>
      <c r="N162" s="955"/>
      <c r="O162" s="955"/>
      <c r="P162" s="955"/>
      <c r="Q162" s="955"/>
      <c r="R162" s="955"/>
      <c r="S162" s="955"/>
      <c r="T162" s="955"/>
      <c r="U162" s="945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EXP_IMP'!J53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978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+'REF2'!G182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1074</v>
      </c>
    </row>
    <row r="196" spans="2:16" ht="15.75" customHeight="1" x14ac:dyDescent="0.25">
      <c r="O196" s="12">
        <f>+O195*365</f>
        <v>89425</v>
      </c>
      <c r="P196" s="12" t="s">
        <v>1075</v>
      </c>
    </row>
    <row r="197" spans="2:16" ht="15.75" customHeight="1" x14ac:dyDescent="0.25">
      <c r="O197" s="12">
        <f>+O196/1000</f>
        <v>89.424999999999997</v>
      </c>
      <c r="P197" s="12" t="s">
        <v>1076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H73" zoomScale="115" zoomScaleNormal="115" workbookViewId="0">
      <selection activeCell="P90" sqref="P90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964</v>
      </c>
      <c r="D1" s="12">
        <v>119.96</v>
      </c>
      <c r="E1" s="12" t="s">
        <v>698</v>
      </c>
    </row>
    <row r="2" spans="3:21" x14ac:dyDescent="0.25"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44" t="s">
        <v>967</v>
      </c>
      <c r="M7" s="955"/>
      <c r="N7" s="955"/>
      <c r="O7" s="955"/>
      <c r="P7" s="955"/>
      <c r="Q7" s="955"/>
      <c r="R7" s="955"/>
      <c r="S7" s="955"/>
      <c r="T7" s="955"/>
      <c r="U7" s="945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956" t="s">
        <v>968</v>
      </c>
      <c r="O9" s="955"/>
      <c r="P9" s="945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969</v>
      </c>
      <c r="P10" s="321" t="s">
        <v>970</v>
      </c>
      <c r="R10" s="957"/>
      <c r="S10" s="922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971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972</v>
      </c>
      <c r="O12" s="958"/>
      <c r="P12" s="323"/>
      <c r="R12" s="14"/>
      <c r="S12" s="960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973</v>
      </c>
      <c r="O13" s="959"/>
      <c r="P13" s="325"/>
      <c r="R13" s="14"/>
      <c r="S13" s="922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524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974</v>
      </c>
      <c r="R21" s="335" t="s">
        <v>854</v>
      </c>
      <c r="T21" s="336"/>
      <c r="U21" s="207"/>
      <c r="V21" s="207"/>
    </row>
    <row r="22" spans="1:22" ht="15.75" customHeight="1" x14ac:dyDescent="0.25">
      <c r="A22" s="1" t="s">
        <v>289</v>
      </c>
      <c r="B22" s="1"/>
      <c r="C22" s="17" t="s">
        <v>975</v>
      </c>
      <c r="D22" s="1" t="s">
        <v>976</v>
      </c>
      <c r="E22" s="1" t="s">
        <v>59</v>
      </c>
      <c r="F22" s="1" t="s">
        <v>288</v>
      </c>
      <c r="G22" s="328"/>
      <c r="N22" s="16" t="str">
        <f>+C22</f>
        <v>MIX-OIL-REF1</v>
      </c>
      <c r="O22" s="16" t="str">
        <f>+C8</f>
        <v>LOIL</v>
      </c>
      <c r="P22" s="16" t="s">
        <v>977</v>
      </c>
      <c r="Q22" s="292">
        <v>0.3</v>
      </c>
      <c r="R22" s="322">
        <v>1</v>
      </c>
      <c r="T22" s="337" t="s">
        <v>272</v>
      </c>
      <c r="U22" s="337" t="s">
        <v>806</v>
      </c>
      <c r="V22" s="337" t="s">
        <v>978</v>
      </c>
    </row>
    <row r="23" spans="1:22" ht="15.75" customHeight="1" x14ac:dyDescent="0.25">
      <c r="A23" s="1"/>
      <c r="B23" s="1"/>
      <c r="C23" s="338" t="s">
        <v>979</v>
      </c>
      <c r="D23" s="328" t="s">
        <v>980</v>
      </c>
      <c r="E23" s="1" t="s">
        <v>59</v>
      </c>
      <c r="F23" s="1" t="s">
        <v>288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25">
      <c r="A24" s="1"/>
      <c r="B24" s="1"/>
      <c r="C24" s="342" t="s">
        <v>981</v>
      </c>
      <c r="D24" s="328" t="s">
        <v>982</v>
      </c>
      <c r="E24" s="1" t="s">
        <v>59</v>
      </c>
      <c r="F24" s="1" t="s">
        <v>288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983</v>
      </c>
      <c r="D25" s="328" t="s">
        <v>984</v>
      </c>
      <c r="E25" s="1" t="s">
        <v>59</v>
      </c>
      <c r="F25" s="1" t="s">
        <v>288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985</v>
      </c>
      <c r="D26" s="12" t="s">
        <v>986</v>
      </c>
      <c r="E26" s="1" t="s">
        <v>59</v>
      </c>
      <c r="F26" s="1" t="s">
        <v>288</v>
      </c>
      <c r="G26" s="328"/>
    </row>
    <row r="27" spans="1:22" ht="15.75" customHeight="1" x14ac:dyDescent="0.25">
      <c r="A27" s="328"/>
      <c r="B27" s="328"/>
      <c r="C27" s="18" t="s">
        <v>987</v>
      </c>
      <c r="D27" s="12" t="s">
        <v>988</v>
      </c>
      <c r="E27" s="12" t="s">
        <v>59</v>
      </c>
      <c r="F27" s="344" t="s">
        <v>288</v>
      </c>
      <c r="G27" s="328"/>
    </row>
    <row r="28" spans="1:22" ht="15.75" customHeight="1" x14ac:dyDescent="0.25">
      <c r="A28" s="328"/>
      <c r="B28" s="328"/>
      <c r="C28" s="18" t="s">
        <v>989</v>
      </c>
      <c r="D28" s="328" t="s">
        <v>990</v>
      </c>
      <c r="E28" s="328" t="s">
        <v>59</v>
      </c>
      <c r="F28" s="344" t="s">
        <v>288</v>
      </c>
      <c r="G28" s="328"/>
      <c r="L28" s="944" t="s">
        <v>991</v>
      </c>
      <c r="M28" s="955"/>
      <c r="N28" s="955"/>
      <c r="O28" s="955"/>
      <c r="P28" s="955"/>
      <c r="Q28" s="955"/>
      <c r="R28" s="955"/>
      <c r="S28" s="955"/>
      <c r="T28" s="955"/>
      <c r="U28" s="945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992</v>
      </c>
      <c r="O31" s="345" t="s">
        <v>586</v>
      </c>
      <c r="P31" s="345" t="s">
        <v>993</v>
      </c>
      <c r="R31" s="13" t="s">
        <v>994</v>
      </c>
      <c r="S31" s="13" t="s">
        <v>995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996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997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998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977</v>
      </c>
      <c r="D36" s="1" t="s">
        <v>999</v>
      </c>
      <c r="E36" s="1" t="s">
        <v>59</v>
      </c>
      <c r="F36" s="328"/>
      <c r="G36" s="328"/>
      <c r="L36" s="116"/>
      <c r="N36" s="351" t="s">
        <v>1000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1001</v>
      </c>
      <c r="U36" s="305"/>
    </row>
    <row r="37" spans="1:21" ht="15.75" customHeight="1" x14ac:dyDescent="0.25">
      <c r="A37" s="1"/>
      <c r="B37" s="1"/>
      <c r="C37" s="12" t="s">
        <v>1002</v>
      </c>
      <c r="D37" s="12" t="s">
        <v>1003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1004</v>
      </c>
      <c r="D38" s="12" t="s">
        <v>1005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1006</v>
      </c>
      <c r="D39" s="12" t="s">
        <v>1007</v>
      </c>
      <c r="E39" s="12" t="s">
        <v>59</v>
      </c>
      <c r="F39" s="328"/>
      <c r="G39" s="328"/>
      <c r="N39" s="336"/>
      <c r="O39" s="328"/>
      <c r="P39" s="1"/>
    </row>
    <row r="40" spans="1:21" ht="15.75" customHeight="1" x14ac:dyDescent="0.25">
      <c r="C40" s="18" t="s">
        <v>1009</v>
      </c>
      <c r="D40" s="18" t="s">
        <v>1010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</row>
    <row r="41" spans="1:21" ht="15.75" customHeight="1" x14ac:dyDescent="0.25">
      <c r="A41" s="1"/>
      <c r="B41" s="1"/>
      <c r="C41" s="18" t="s">
        <v>1011</v>
      </c>
      <c r="D41" s="18" t="s">
        <v>1012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/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944" t="s">
        <v>1013</v>
      </c>
      <c r="M48" s="955"/>
      <c r="N48" s="955"/>
      <c r="O48" s="955"/>
      <c r="P48" s="955"/>
      <c r="Q48" s="955"/>
      <c r="R48" s="955"/>
      <c r="S48" s="955"/>
      <c r="T48" s="955"/>
      <c r="U48" s="945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1014</v>
      </c>
      <c r="N50" s="345" t="s">
        <v>1015</v>
      </c>
      <c r="O50" s="345" t="s">
        <v>1016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957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1017</v>
      </c>
      <c r="N54" s="345" t="s">
        <v>1015</v>
      </c>
      <c r="O54" s="345" t="s">
        <v>1016</v>
      </c>
      <c r="P54" s="345" t="s">
        <v>1018</v>
      </c>
      <c r="Q54" s="345" t="s">
        <v>1019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1020</v>
      </c>
      <c r="N56" s="14">
        <v>94</v>
      </c>
      <c r="O56" s="365">
        <v>12.75</v>
      </c>
      <c r="P56" s="295">
        <f t="shared" si="4"/>
        <v>0.6</v>
      </c>
      <c r="Q56" s="228">
        <f>+N56/$N$63</f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1021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1022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1023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1024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944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920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R71" s="373" t="s">
        <v>1026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44" t="s">
        <v>1027</v>
      </c>
      <c r="M81" s="955"/>
      <c r="N81" s="955"/>
      <c r="O81" s="955"/>
      <c r="P81" s="955"/>
      <c r="Q81" s="955"/>
      <c r="R81" s="955"/>
      <c r="S81" s="955"/>
      <c r="T81" s="955"/>
      <c r="U81" s="945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1028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993</v>
      </c>
      <c r="T83" s="299"/>
      <c r="U83" s="305"/>
    </row>
    <row r="84" spans="1:21" ht="15.75" customHeight="1" x14ac:dyDescent="0.25">
      <c r="A84" s="12" t="s">
        <v>1029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1030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1031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1032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1033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1034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1035</v>
      </c>
      <c r="O89" s="266">
        <f t="shared" ref="O89" si="9">+N65/N51</f>
        <v>0.97945454545454558</v>
      </c>
      <c r="P89" s="266">
        <f>+O65/O51</f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1036</v>
      </c>
      <c r="O90" s="266">
        <f t="shared" ref="O90" si="10">+N63/N51</f>
        <v>0.97272727272727277</v>
      </c>
      <c r="P90" s="266">
        <f>+O63/O51</f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1037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1038</v>
      </c>
      <c r="Q96" s="355" t="s">
        <v>897</v>
      </c>
      <c r="R96" s="382" t="s">
        <v>898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1039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854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1040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44" t="s">
        <v>1041</v>
      </c>
      <c r="M104" s="955"/>
      <c r="N104" s="955"/>
      <c r="O104" s="955"/>
      <c r="P104" s="955"/>
      <c r="Q104" s="955"/>
      <c r="R104" s="955"/>
      <c r="S104" s="955"/>
      <c r="T104" s="955"/>
      <c r="U104" s="945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1042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1043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993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1044</v>
      </c>
      <c r="O108" s="394">
        <f>394.77/299.7</f>
        <v>1.3172172172172172</v>
      </c>
      <c r="P108" s="395">
        <f>+O108</f>
        <v>1.3172172172172172</v>
      </c>
      <c r="Q108" s="12" t="s">
        <v>1045</v>
      </c>
      <c r="U108" s="305"/>
      <c r="X108" s="12">
        <f>+O34*1000000</f>
        <v>74825000</v>
      </c>
      <c r="Y108" s="12" t="s">
        <v>1043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1046</v>
      </c>
      <c r="U110" s="305"/>
      <c r="X110" s="12">
        <f>+X108*X105</f>
        <v>336712500</v>
      </c>
      <c r="Y110" s="12" t="s">
        <v>1047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1048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11890900923.75</v>
      </c>
      <c r="Y111" s="12" t="s">
        <v>1049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1050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1038</v>
      </c>
      <c r="Q116" s="355" t="s">
        <v>897</v>
      </c>
      <c r="R116" s="398" t="s">
        <v>898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981</v>
      </c>
      <c r="O117" s="389" t="s">
        <v>1039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44" t="s">
        <v>1051</v>
      </c>
      <c r="M128" s="955"/>
      <c r="N128" s="955"/>
      <c r="O128" s="955"/>
      <c r="P128" s="955"/>
      <c r="Q128" s="955"/>
      <c r="R128" s="955"/>
      <c r="S128" s="955"/>
      <c r="T128" s="955"/>
      <c r="U128" s="945"/>
      <c r="W128" s="12" t="s">
        <v>1052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1053</v>
      </c>
    </row>
    <row r="130" spans="2:25" ht="15.75" customHeight="1" x14ac:dyDescent="0.25">
      <c r="B130" s="1"/>
      <c r="C130" s="1"/>
      <c r="D130" s="1" t="s">
        <v>1054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1053</v>
      </c>
      <c r="N130" s="345" t="s">
        <v>1055</v>
      </c>
      <c r="O130" s="345" t="s">
        <v>993</v>
      </c>
      <c r="P130" s="118"/>
      <c r="Q130" s="118" t="s">
        <v>1056</v>
      </c>
      <c r="R130" s="326"/>
      <c r="S130" s="13"/>
      <c r="T130" s="13"/>
      <c r="U130" s="305"/>
      <c r="W130" s="12" t="s">
        <v>602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1057</v>
      </c>
      <c r="E131" s="1">
        <v>874.27499999999998</v>
      </c>
      <c r="F131" s="1" t="s">
        <v>588</v>
      </c>
      <c r="G131" s="401">
        <f>+E131/E130</f>
        <v>0.56007367072389491</v>
      </c>
      <c r="H131" s="1"/>
      <c r="I131" s="1"/>
      <c r="L131" s="116"/>
      <c r="M131" s="330" t="s">
        <v>1058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1059</v>
      </c>
      <c r="U131" s="305"/>
      <c r="W131" s="12" t="s">
        <v>1060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1061</v>
      </c>
      <c r="E132" s="1">
        <f>+E130-E131</f>
        <v>686.72500000000002</v>
      </c>
      <c r="F132" s="1" t="s">
        <v>588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1062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1017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1063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1064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1065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1066</v>
      </c>
      <c r="O137" s="12">
        <v>193</v>
      </c>
      <c r="P137" s="12" t="s">
        <v>1067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1068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1069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1070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1071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1072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1038</v>
      </c>
      <c r="Q144" s="371" t="s">
        <v>897</v>
      </c>
      <c r="R144" s="405" t="s">
        <v>898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1039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44" t="s">
        <v>1073</v>
      </c>
      <c r="M162" s="955"/>
      <c r="N162" s="955"/>
      <c r="O162" s="955"/>
      <c r="P162" s="955"/>
      <c r="Q162" s="955"/>
      <c r="R162" s="955"/>
      <c r="S162" s="955"/>
      <c r="T162" s="955"/>
      <c r="U162" s="945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EXP_IMP'!J53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978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+'REF1'!G177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1074</v>
      </c>
    </row>
    <row r="196" spans="2:16" ht="15.75" customHeight="1" x14ac:dyDescent="0.25">
      <c r="O196" s="12">
        <f>+O195*365</f>
        <v>89425</v>
      </c>
      <c r="P196" s="12" t="s">
        <v>1075</v>
      </c>
    </row>
    <row r="197" spans="2:16" ht="15.75" customHeight="1" x14ac:dyDescent="0.25">
      <c r="O197" s="12">
        <f>+O196/1000</f>
        <v>89.424999999999997</v>
      </c>
      <c r="P197" s="12" t="s">
        <v>1076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topLeftCell="B25" workbookViewId="0">
      <selection activeCell="C13" sqref="C13"/>
    </sheetView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961" t="s">
        <v>1111</v>
      </c>
      <c r="E2" s="962"/>
      <c r="F2" s="962"/>
      <c r="G2" s="962"/>
      <c r="H2" s="963"/>
    </row>
    <row r="3" spans="1:23" x14ac:dyDescent="0.25">
      <c r="D3" s="426"/>
      <c r="E3" s="964" t="s">
        <v>1112</v>
      </c>
      <c r="F3" s="965"/>
      <c r="G3" s="964" t="s">
        <v>1113</v>
      </c>
      <c r="H3" s="965"/>
    </row>
    <row r="4" spans="1:23" x14ac:dyDescent="0.25">
      <c r="A4" s="12" t="s">
        <v>1114</v>
      </c>
      <c r="D4" s="2"/>
      <c r="E4" s="2" t="s">
        <v>1115</v>
      </c>
      <c r="F4" s="2" t="s">
        <v>1116</v>
      </c>
      <c r="G4" s="2" t="s">
        <v>1115</v>
      </c>
      <c r="H4" s="2" t="s">
        <v>1116</v>
      </c>
    </row>
    <row r="5" spans="1:23" x14ac:dyDescent="0.25">
      <c r="A5" s="12" t="s">
        <v>835</v>
      </c>
      <c r="B5" s="12">
        <v>15</v>
      </c>
      <c r="D5" s="16" t="s">
        <v>1117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1118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1119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1120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966" t="s">
        <v>1121</v>
      </c>
      <c r="O11" s="922"/>
      <c r="P11" s="922"/>
      <c r="Q11" s="922"/>
      <c r="R11" s="922"/>
      <c r="S11" s="922"/>
      <c r="T11" s="922"/>
      <c r="U11" s="922"/>
      <c r="V11" s="99"/>
      <c r="W11" s="99"/>
    </row>
    <row r="12" spans="1:23" ht="37.5" x14ac:dyDescent="0.25">
      <c r="A12" s="12" t="s">
        <v>1122</v>
      </c>
      <c r="C12" s="428" t="s">
        <v>1123</v>
      </c>
      <c r="D12" s="428" t="s">
        <v>1124</v>
      </c>
      <c r="E12" s="428" t="s">
        <v>1125</v>
      </c>
      <c r="F12" s="428" t="s">
        <v>1126</v>
      </c>
      <c r="G12" s="428" t="s">
        <v>1127</v>
      </c>
      <c r="H12" s="428" t="s">
        <v>1128</v>
      </c>
      <c r="I12" s="429"/>
      <c r="J12" s="428" t="s">
        <v>1129</v>
      </c>
      <c r="K12" s="430" t="s">
        <v>1130</v>
      </c>
      <c r="L12" s="430" t="s">
        <v>1131</v>
      </c>
      <c r="M12" s="430" t="s">
        <v>1132</v>
      </c>
      <c r="N12" s="428" t="s">
        <v>1133</v>
      </c>
      <c r="O12" s="428" t="s">
        <v>1134</v>
      </c>
      <c r="P12" s="428" t="s">
        <v>1135</v>
      </c>
      <c r="Q12" s="428" t="s">
        <v>1136</v>
      </c>
      <c r="R12" s="428" t="s">
        <v>1137</v>
      </c>
      <c r="S12" s="428" t="s">
        <v>1138</v>
      </c>
      <c r="T12" s="428" t="s">
        <v>1139</v>
      </c>
      <c r="U12" s="428" t="s">
        <v>1140</v>
      </c>
      <c r="V12" s="428" t="s">
        <v>1141</v>
      </c>
      <c r="W12" s="430" t="s">
        <v>1142</v>
      </c>
    </row>
    <row r="13" spans="1:23" x14ac:dyDescent="0.25">
      <c r="C13" s="431" t="s">
        <v>1143</v>
      </c>
      <c r="D13" s="432" t="s">
        <v>1144</v>
      </c>
      <c r="E13" s="432" t="s">
        <v>1145</v>
      </c>
      <c r="F13" s="432" t="s">
        <v>1146</v>
      </c>
      <c r="G13" s="433" t="s">
        <v>1147</v>
      </c>
      <c r="H13" s="431" t="s">
        <v>1023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1143</v>
      </c>
      <c r="D14" s="432" t="s">
        <v>1144</v>
      </c>
      <c r="E14" s="432" t="s">
        <v>1145</v>
      </c>
      <c r="F14" s="432" t="s">
        <v>1146</v>
      </c>
      <c r="G14" s="433" t="s">
        <v>1148</v>
      </c>
      <c r="H14" s="431" t="s">
        <v>1023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1143</v>
      </c>
      <c r="D15" s="432" t="s">
        <v>1144</v>
      </c>
      <c r="E15" s="432" t="s">
        <v>1149</v>
      </c>
      <c r="F15" s="432" t="s">
        <v>1150</v>
      </c>
      <c r="G15" s="433" t="s">
        <v>1151</v>
      </c>
      <c r="H15" s="431" t="s">
        <v>1023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1143</v>
      </c>
      <c r="D16" s="432" t="s">
        <v>1144</v>
      </c>
      <c r="E16" s="432" t="s">
        <v>1152</v>
      </c>
      <c r="F16" s="432" t="s">
        <v>1150</v>
      </c>
      <c r="G16" s="433" t="s">
        <v>1153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1143</v>
      </c>
      <c r="D17" s="432" t="s">
        <v>1144</v>
      </c>
      <c r="E17" s="432" t="s">
        <v>1154</v>
      </c>
      <c r="F17" s="432" t="s">
        <v>1150</v>
      </c>
      <c r="G17" s="433" t="s">
        <v>1155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1143</v>
      </c>
      <c r="D18" s="432" t="s">
        <v>1144</v>
      </c>
      <c r="E18" s="432" t="s">
        <v>1156</v>
      </c>
      <c r="F18" s="432" t="s">
        <v>1150</v>
      </c>
      <c r="G18" s="433" t="s">
        <v>1157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1143</v>
      </c>
      <c r="D19" s="432" t="s">
        <v>1144</v>
      </c>
      <c r="E19" s="432" t="s">
        <v>1156</v>
      </c>
      <c r="F19" s="432" t="s">
        <v>1150</v>
      </c>
      <c r="G19" s="433" t="s">
        <v>1158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1143</v>
      </c>
      <c r="D20" s="432" t="s">
        <v>1144</v>
      </c>
      <c r="E20" s="432" t="s">
        <v>1159</v>
      </c>
      <c r="F20" s="432" t="s">
        <v>1150</v>
      </c>
      <c r="G20" s="433" t="s">
        <v>1160</v>
      </c>
      <c r="H20" s="431">
        <f>11.3+(14.4-11.3)/2</f>
        <v>12.850000000000001</v>
      </c>
      <c r="I20" s="434"/>
      <c r="J20" s="434" t="str">
        <f>+IF(G20="Gas","Doesn't Apply",IF(H20&lt;$F$5,$D$5,IF(H20&lt;$F$6,$D$6,IF(H20&lt;$F$7,$D$7,IF(H20&gt;$E$8,$D$8,"Doesn't Apply")))))</f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1143</v>
      </c>
      <c r="D21" s="432" t="s">
        <v>1144</v>
      </c>
      <c r="E21" s="432" t="s">
        <v>1161</v>
      </c>
      <c r="F21" s="432" t="s">
        <v>1150</v>
      </c>
      <c r="G21" s="433" t="s">
        <v>1162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1143</v>
      </c>
      <c r="D22" s="432" t="s">
        <v>1144</v>
      </c>
      <c r="E22" s="432" t="s">
        <v>1163</v>
      </c>
      <c r="F22" s="432" t="s">
        <v>1150</v>
      </c>
      <c r="G22" s="433" t="s">
        <v>1164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1143</v>
      </c>
      <c r="D23" s="432" t="s">
        <v>1144</v>
      </c>
      <c r="E23" s="432" t="s">
        <v>1163</v>
      </c>
      <c r="F23" s="432" t="s">
        <v>1150</v>
      </c>
      <c r="G23" s="433" t="s">
        <v>1165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1143</v>
      </c>
      <c r="D24" s="432" t="s">
        <v>1144</v>
      </c>
      <c r="E24" s="432" t="s">
        <v>1166</v>
      </c>
      <c r="F24" s="432" t="s">
        <v>1150</v>
      </c>
      <c r="G24" s="433" t="s">
        <v>1167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1143</v>
      </c>
      <c r="D25" s="432" t="s">
        <v>1144</v>
      </c>
      <c r="E25" s="432" t="s">
        <v>1168</v>
      </c>
      <c r="F25" s="432" t="s">
        <v>1169</v>
      </c>
      <c r="G25" s="433" t="s">
        <v>1168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1143</v>
      </c>
      <c r="D26" s="432" t="s">
        <v>1144</v>
      </c>
      <c r="E26" s="432" t="s">
        <v>1170</v>
      </c>
      <c r="F26" s="432" t="s">
        <v>1171</v>
      </c>
      <c r="G26" s="433" t="s">
        <v>1172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1143</v>
      </c>
      <c r="D27" s="432" t="s">
        <v>1144</v>
      </c>
      <c r="E27" s="432" t="s">
        <v>1173</v>
      </c>
      <c r="F27" s="432" t="s">
        <v>1171</v>
      </c>
      <c r="G27" s="433" t="s">
        <v>1174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1143</v>
      </c>
      <c r="D28" s="432" t="s">
        <v>1144</v>
      </c>
      <c r="E28" s="432" t="s">
        <v>1175</v>
      </c>
      <c r="F28" s="432" t="s">
        <v>1171</v>
      </c>
      <c r="G28" s="433" t="s">
        <v>1176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1143</v>
      </c>
      <c r="D29" s="432" t="s">
        <v>1144</v>
      </c>
      <c r="E29" s="432" t="s">
        <v>1177</v>
      </c>
      <c r="F29" s="432" t="s">
        <v>1171</v>
      </c>
      <c r="G29" s="433" t="s">
        <v>1178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1143</v>
      </c>
      <c r="D30" s="432" t="s">
        <v>1144</v>
      </c>
      <c r="E30" s="432" t="s">
        <v>1179</v>
      </c>
      <c r="F30" s="432" t="s">
        <v>1180</v>
      </c>
      <c r="G30" s="433" t="s">
        <v>1181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1143</v>
      </c>
      <c r="D31" s="432" t="s">
        <v>1144</v>
      </c>
      <c r="E31" s="432" t="s">
        <v>1182</v>
      </c>
      <c r="F31" s="432" t="s">
        <v>1180</v>
      </c>
      <c r="G31" s="433" t="s">
        <v>1183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1143</v>
      </c>
      <c r="D32" s="432" t="s">
        <v>1144</v>
      </c>
      <c r="E32" s="432" t="s">
        <v>1184</v>
      </c>
      <c r="F32" s="432" t="s">
        <v>1180</v>
      </c>
      <c r="G32" s="438" t="s">
        <v>1185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1186</v>
      </c>
      <c r="D33" s="242" t="s">
        <v>1144</v>
      </c>
      <c r="E33" s="242" t="s">
        <v>1187</v>
      </c>
      <c r="F33" s="242" t="s">
        <v>1188</v>
      </c>
      <c r="G33" s="440" t="s">
        <v>1189</v>
      </c>
      <c r="H33" s="441" t="s">
        <v>1023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1190</v>
      </c>
      <c r="D34" s="242" t="s">
        <v>1144</v>
      </c>
      <c r="E34" s="242" t="s">
        <v>1191</v>
      </c>
      <c r="F34" s="242" t="s">
        <v>1188</v>
      </c>
      <c r="G34" s="440" t="s">
        <v>1192</v>
      </c>
      <c r="H34" s="441" t="s">
        <v>1023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1190</v>
      </c>
      <c r="D35" s="242" t="s">
        <v>1144</v>
      </c>
      <c r="E35" s="242" t="s">
        <v>1191</v>
      </c>
      <c r="F35" s="242" t="s">
        <v>1188</v>
      </c>
      <c r="G35" s="440" t="s">
        <v>1193</v>
      </c>
      <c r="H35" s="441" t="s">
        <v>1023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1194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921" t="s">
        <v>7</v>
      </c>
      <c r="H59" s="922"/>
      <c r="J59" s="967" t="s">
        <v>610</v>
      </c>
      <c r="K59" s="922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1195</v>
      </c>
      <c r="F61" s="432" t="s">
        <v>1146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1196</v>
      </c>
      <c r="F62" s="432" t="s">
        <v>1150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1169</v>
      </c>
      <c r="F63" s="432" t="s">
        <v>1169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1197</v>
      </c>
      <c r="F64" s="432" t="s">
        <v>1171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1198</v>
      </c>
      <c r="F65" s="432" t="s">
        <v>1180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1144</v>
      </c>
      <c r="L80" s="12" t="s">
        <v>1199</v>
      </c>
    </row>
    <row r="81" spans="5:15" ht="15.75" customHeight="1" x14ac:dyDescent="0.25">
      <c r="E81" s="447" t="s">
        <v>1143</v>
      </c>
      <c r="F81" s="359" t="s">
        <v>1200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1143</v>
      </c>
      <c r="F82" s="359" t="s">
        <v>1201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1202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1203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1143</v>
      </c>
      <c r="F85" s="359" t="s">
        <v>1204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1143</v>
      </c>
      <c r="F86" s="359" t="s">
        <v>1205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1143</v>
      </c>
      <c r="F87" s="359" t="s">
        <v>1206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1143</v>
      </c>
      <c r="F88" s="359" t="s">
        <v>1207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1202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1143</v>
      </c>
      <c r="F90" s="359" t="s">
        <v>1208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1209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1210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1143</v>
      </c>
      <c r="F93" s="359" t="s">
        <v>1211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921" t="s">
        <v>1212</v>
      </c>
      <c r="F103" s="922"/>
    </row>
    <row r="104" spans="5:15" ht="15.75" customHeight="1" x14ac:dyDescent="0.25">
      <c r="E104" s="14"/>
      <c r="F104" s="14" t="s">
        <v>1144</v>
      </c>
      <c r="G104" s="12" t="s">
        <v>1213</v>
      </c>
      <c r="H104" s="12" t="s">
        <v>1214</v>
      </c>
      <c r="I104" s="12" t="s">
        <v>1215</v>
      </c>
      <c r="J104" s="12" t="s">
        <v>1216</v>
      </c>
      <c r="K104" s="12" t="s">
        <v>1217</v>
      </c>
      <c r="L104" s="12" t="s">
        <v>1218</v>
      </c>
      <c r="M104" s="12" t="s">
        <v>1219</v>
      </c>
      <c r="N104" s="12" t="s">
        <v>1220</v>
      </c>
      <c r="O104" s="12" t="s">
        <v>1221</v>
      </c>
    </row>
    <row r="105" spans="5:15" ht="15.75" customHeight="1" x14ac:dyDescent="0.25">
      <c r="E105" s="14" t="s">
        <v>1222</v>
      </c>
      <c r="F105" s="14" t="s">
        <v>1223</v>
      </c>
    </row>
    <row r="106" spans="5:15" ht="15.75" customHeight="1" x14ac:dyDescent="0.25">
      <c r="E106" s="13" t="s">
        <v>1189</v>
      </c>
      <c r="F106" s="14" t="s">
        <v>1224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1225</v>
      </c>
      <c r="F107" s="14" t="s">
        <v>1226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1227</v>
      </c>
      <c r="F108" s="14" t="s">
        <v>1223</v>
      </c>
    </row>
    <row r="109" spans="5:15" ht="15.75" customHeight="1" x14ac:dyDescent="0.25">
      <c r="E109" s="14" t="s">
        <v>1228</v>
      </c>
      <c r="F109" s="14" t="s">
        <v>1223</v>
      </c>
    </row>
    <row r="110" spans="5:15" ht="15.75" customHeight="1" x14ac:dyDescent="0.25">
      <c r="E110" s="14" t="s">
        <v>1229</v>
      </c>
      <c r="F110" s="14" t="s">
        <v>1223</v>
      </c>
    </row>
    <row r="111" spans="5:15" ht="15.75" customHeight="1" x14ac:dyDescent="0.25">
      <c r="E111" s="14" t="s">
        <v>1230</v>
      </c>
      <c r="F111" s="14" t="s">
        <v>1223</v>
      </c>
    </row>
    <row r="112" spans="5:15" ht="15.75" customHeight="1" x14ac:dyDescent="0.25">
      <c r="E112" s="13" t="s">
        <v>1193</v>
      </c>
      <c r="F112" s="14" t="s">
        <v>1224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1231</v>
      </c>
      <c r="F113" s="14" t="s">
        <v>1223</v>
      </c>
    </row>
    <row r="114" spans="5:6" ht="15.75" customHeight="1" x14ac:dyDescent="0.25">
      <c r="E114" s="14" t="s">
        <v>1232</v>
      </c>
      <c r="F114" s="14"/>
    </row>
    <row r="115" spans="5:6" ht="15.75" customHeight="1" x14ac:dyDescent="0.25">
      <c r="E115" s="14" t="s">
        <v>1233</v>
      </c>
      <c r="F115" s="14" t="s">
        <v>1223</v>
      </c>
    </row>
    <row r="116" spans="5:6" ht="15.75" customHeight="1" x14ac:dyDescent="0.25">
      <c r="E116" s="14" t="s">
        <v>1234</v>
      </c>
      <c r="F116" s="14" t="s">
        <v>1223</v>
      </c>
    </row>
    <row r="117" spans="5:6" ht="15.75" customHeight="1" x14ac:dyDescent="0.25">
      <c r="E117" s="14" t="s">
        <v>1235</v>
      </c>
      <c r="F117" s="14" t="s">
        <v>1223</v>
      </c>
    </row>
    <row r="118" spans="5:6" ht="15.75" customHeight="1" x14ac:dyDescent="0.25">
      <c r="E118" s="14" t="s">
        <v>1236</v>
      </c>
      <c r="F118" s="14" t="s">
        <v>1223</v>
      </c>
    </row>
    <row r="119" spans="5:6" ht="15.75" customHeight="1" x14ac:dyDescent="0.25">
      <c r="E119" s="14" t="s">
        <v>1237</v>
      </c>
      <c r="F119" s="14" t="s">
        <v>1223</v>
      </c>
    </row>
    <row r="120" spans="5:6" ht="15.75" customHeight="1" x14ac:dyDescent="0.25">
      <c r="E120" s="14" t="s">
        <v>1238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topLeftCell="A4" workbookViewId="0">
      <selection activeCell="H7" sqref="H7"/>
    </sheetView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1239</v>
      </c>
      <c r="T1" s="12">
        <v>5.7</v>
      </c>
      <c r="U1" s="12" t="s">
        <v>1240</v>
      </c>
    </row>
    <row r="2" spans="8:61" x14ac:dyDescent="0.25">
      <c r="L2" s="306"/>
      <c r="M2" s="306"/>
      <c r="Q2" s="12">
        <f>+Q1/1000</f>
        <v>6.0871741676095338E-3</v>
      </c>
      <c r="R2" s="12" t="s">
        <v>1241</v>
      </c>
      <c r="T2" s="12">
        <f>+T1/1000</f>
        <v>5.7000000000000002E-3</v>
      </c>
      <c r="U2" s="12" t="s">
        <v>1241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1242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1243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1243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1123</v>
      </c>
      <c r="I5" s="456" t="s">
        <v>1124</v>
      </c>
      <c r="J5" s="426" t="s">
        <v>1125</v>
      </c>
      <c r="K5" s="456" t="s">
        <v>1126</v>
      </c>
      <c r="L5" s="456" t="s">
        <v>1127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1244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1245</v>
      </c>
      <c r="AT5" s="446" t="s">
        <v>1246</v>
      </c>
      <c r="AU5" s="12" t="s">
        <v>1247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1245</v>
      </c>
    </row>
    <row r="6" spans="8:61" ht="15.75" x14ac:dyDescent="0.25">
      <c r="H6" s="431" t="s">
        <v>1143</v>
      </c>
      <c r="I6" s="432" t="s">
        <v>1144</v>
      </c>
      <c r="J6" s="432" t="s">
        <v>1145</v>
      </c>
      <c r="K6" s="432" t="s">
        <v>1146</v>
      </c>
      <c r="L6" s="433" t="s">
        <v>1147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1147</v>
      </c>
      <c r="AS6" s="205"/>
      <c r="AT6" s="472" t="s">
        <v>1248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1143</v>
      </c>
      <c r="I7" s="432" t="s">
        <v>1144</v>
      </c>
      <c r="J7" s="432" t="s">
        <v>1145</v>
      </c>
      <c r="K7" s="432" t="s">
        <v>1146</v>
      </c>
      <c r="L7" s="433" t="s">
        <v>1148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1148</v>
      </c>
      <c r="AT7" s="476" t="s">
        <v>1249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1143</v>
      </c>
      <c r="I8" s="432" t="s">
        <v>1144</v>
      </c>
      <c r="J8" s="432" t="s">
        <v>1149</v>
      </c>
      <c r="K8" s="432" t="s">
        <v>1150</v>
      </c>
      <c r="L8" s="433" t="s">
        <v>1151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1151</v>
      </c>
      <c r="AT8" s="479" t="s">
        <v>1250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1143</v>
      </c>
      <c r="I9" s="432" t="s">
        <v>1144</v>
      </c>
      <c r="J9" s="432" t="s">
        <v>1152</v>
      </c>
      <c r="K9" s="432" t="s">
        <v>1150</v>
      </c>
      <c r="L9" s="433" t="s">
        <v>1153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1153</v>
      </c>
      <c r="AT9" s="479" t="s">
        <v>1251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1143</v>
      </c>
      <c r="I10" s="432" t="s">
        <v>1144</v>
      </c>
      <c r="J10" s="432" t="s">
        <v>1154</v>
      </c>
      <c r="K10" s="432" t="s">
        <v>1150</v>
      </c>
      <c r="L10" s="433" t="s">
        <v>1155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1155</v>
      </c>
      <c r="AT10" s="479" t="s">
        <v>1252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1143</v>
      </c>
      <c r="I11" s="432" t="s">
        <v>1144</v>
      </c>
      <c r="J11" s="432" t="s">
        <v>1156</v>
      </c>
      <c r="K11" s="432" t="s">
        <v>1150</v>
      </c>
      <c r="L11" s="433" t="s">
        <v>1157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1157</v>
      </c>
      <c r="AT11" s="480" t="s">
        <v>1253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1143</v>
      </c>
      <c r="I12" s="432" t="s">
        <v>1144</v>
      </c>
      <c r="J12" s="432" t="s">
        <v>1156</v>
      </c>
      <c r="K12" s="432" t="s">
        <v>1150</v>
      </c>
      <c r="L12" s="433" t="s">
        <v>1158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1158</v>
      </c>
      <c r="AT12" s="484"/>
    </row>
    <row r="13" spans="8:61" x14ac:dyDescent="0.25">
      <c r="H13" s="431" t="s">
        <v>1143</v>
      </c>
      <c r="I13" s="432" t="s">
        <v>1144</v>
      </c>
      <c r="J13" s="432" t="s">
        <v>1159</v>
      </c>
      <c r="K13" s="432" t="s">
        <v>1150</v>
      </c>
      <c r="L13" s="433" t="s">
        <v>1160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1160</v>
      </c>
      <c r="AV13" s="293">
        <f>+SUM(AV6:BH11)</f>
        <v>5175.1741990991441</v>
      </c>
    </row>
    <row r="14" spans="8:61" ht="25.5" x14ac:dyDescent="0.25">
      <c r="H14" s="431" t="s">
        <v>1143</v>
      </c>
      <c r="I14" s="432" t="s">
        <v>1144</v>
      </c>
      <c r="J14" s="432" t="s">
        <v>1161</v>
      </c>
      <c r="K14" s="432" t="s">
        <v>1150</v>
      </c>
      <c r="L14" s="433" t="s">
        <v>1162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1162</v>
      </c>
    </row>
    <row r="15" spans="8:61" x14ac:dyDescent="0.25">
      <c r="H15" s="431" t="s">
        <v>1143</v>
      </c>
      <c r="I15" s="432" t="s">
        <v>1144</v>
      </c>
      <c r="J15" s="432" t="s">
        <v>1163</v>
      </c>
      <c r="K15" s="432" t="s">
        <v>1150</v>
      </c>
      <c r="L15" s="433" t="s">
        <v>1164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1164</v>
      </c>
      <c r="BI15" s="12">
        <f>15*BI11</f>
        <v>-10.906059809289212</v>
      </c>
    </row>
    <row r="16" spans="8:61" x14ac:dyDescent="0.25">
      <c r="H16" s="431" t="s">
        <v>1143</v>
      </c>
      <c r="I16" s="432" t="s">
        <v>1144</v>
      </c>
      <c r="J16" s="432" t="s">
        <v>1163</v>
      </c>
      <c r="K16" s="432" t="s">
        <v>1150</v>
      </c>
      <c r="L16" s="433" t="s">
        <v>1165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1165</v>
      </c>
      <c r="BI16" s="293">
        <f>+AV11+BI15</f>
        <v>11.839307116564433</v>
      </c>
    </row>
    <row r="17" spans="1:61" x14ac:dyDescent="0.25">
      <c r="H17" s="431" t="s">
        <v>1143</v>
      </c>
      <c r="I17" s="432" t="s">
        <v>1144</v>
      </c>
      <c r="J17" s="432" t="s">
        <v>1166</v>
      </c>
      <c r="K17" s="432" t="s">
        <v>1150</v>
      </c>
      <c r="L17" s="433" t="s">
        <v>1167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1167</v>
      </c>
      <c r="BH17" s="293"/>
    </row>
    <row r="18" spans="1:61" x14ac:dyDescent="0.25">
      <c r="H18" s="431" t="s">
        <v>1143</v>
      </c>
      <c r="I18" s="432" t="s">
        <v>1144</v>
      </c>
      <c r="J18" s="432" t="s">
        <v>1168</v>
      </c>
      <c r="K18" s="432" t="s">
        <v>1169</v>
      </c>
      <c r="L18" s="433" t="s">
        <v>1168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1168</v>
      </c>
      <c r="BI18" s="485"/>
    </row>
    <row r="19" spans="1:61" x14ac:dyDescent="0.25">
      <c r="H19" s="431" t="s">
        <v>1143</v>
      </c>
      <c r="I19" s="432" t="s">
        <v>1144</v>
      </c>
      <c r="J19" s="432" t="s">
        <v>1170</v>
      </c>
      <c r="K19" s="432" t="s">
        <v>1171</v>
      </c>
      <c r="L19" s="433" t="s">
        <v>1172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1172</v>
      </c>
    </row>
    <row r="20" spans="1:61" x14ac:dyDescent="0.25">
      <c r="H20" s="431" t="s">
        <v>1143</v>
      </c>
      <c r="I20" s="432" t="s">
        <v>1144</v>
      </c>
      <c r="J20" s="432" t="s">
        <v>1173</v>
      </c>
      <c r="K20" s="432" t="s">
        <v>1171</v>
      </c>
      <c r="L20" s="433" t="s">
        <v>1174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1174</v>
      </c>
    </row>
    <row r="21" spans="1:61" ht="15.75" customHeight="1" x14ac:dyDescent="0.25">
      <c r="H21" s="431" t="s">
        <v>1143</v>
      </c>
      <c r="I21" s="432" t="s">
        <v>1144</v>
      </c>
      <c r="J21" s="432" t="s">
        <v>1175</v>
      </c>
      <c r="K21" s="432" t="s">
        <v>1171</v>
      </c>
      <c r="L21" s="433" t="s">
        <v>1176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1176</v>
      </c>
    </row>
    <row r="22" spans="1:61" ht="15.75" customHeight="1" x14ac:dyDescent="0.25">
      <c r="H22" s="431" t="s">
        <v>1143</v>
      </c>
      <c r="I22" s="432" t="s">
        <v>1144</v>
      </c>
      <c r="J22" s="432" t="s">
        <v>1177</v>
      </c>
      <c r="K22" s="432" t="s">
        <v>1171</v>
      </c>
      <c r="L22" s="433" t="s">
        <v>1178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1178</v>
      </c>
    </row>
    <row r="23" spans="1:61" ht="15.75" customHeight="1" x14ac:dyDescent="0.25">
      <c r="H23" s="431" t="s">
        <v>1143</v>
      </c>
      <c r="I23" s="432" t="s">
        <v>1144</v>
      </c>
      <c r="J23" s="432" t="s">
        <v>1179</v>
      </c>
      <c r="K23" s="432" t="s">
        <v>1180</v>
      </c>
      <c r="L23" s="433" t="s">
        <v>1181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1181</v>
      </c>
    </row>
    <row r="24" spans="1:61" ht="15.75" customHeight="1" x14ac:dyDescent="0.25">
      <c r="H24" s="431" t="s">
        <v>1143</v>
      </c>
      <c r="I24" s="432" t="s">
        <v>1144</v>
      </c>
      <c r="J24" s="432" t="s">
        <v>1182</v>
      </c>
      <c r="K24" s="432" t="s">
        <v>1180</v>
      </c>
      <c r="L24" s="433" t="s">
        <v>1183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1183</v>
      </c>
    </row>
    <row r="25" spans="1:61" ht="15.75" customHeight="1" x14ac:dyDescent="0.25">
      <c r="H25" s="431" t="s">
        <v>1143</v>
      </c>
      <c r="I25" s="432" t="s">
        <v>1144</v>
      </c>
      <c r="J25" s="432" t="s">
        <v>1184</v>
      </c>
      <c r="K25" s="432" t="s">
        <v>1180</v>
      </c>
      <c r="L25" s="438" t="s">
        <v>1185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1185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1189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1189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1192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1192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1193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1193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1247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667</v>
      </c>
      <c r="L33" s="306"/>
      <c r="M33" s="306"/>
    </row>
    <row r="34" spans="1:43" ht="15.75" customHeight="1" x14ac:dyDescent="0.25">
      <c r="I34" s="491">
        <v>5800000</v>
      </c>
      <c r="J34" s="12" t="s">
        <v>575</v>
      </c>
      <c r="L34" s="306"/>
      <c r="M34" s="306"/>
    </row>
    <row r="35" spans="1:43" ht="15.75" customHeight="1" x14ac:dyDescent="0.25">
      <c r="I35" s="12">
        <v>5.7</v>
      </c>
      <c r="J35" s="12" t="s">
        <v>1254</v>
      </c>
      <c r="L35" s="306"/>
      <c r="M35" s="306"/>
    </row>
    <row r="36" spans="1:43" ht="15.75" customHeight="1" x14ac:dyDescent="0.25">
      <c r="I36" s="12">
        <v>1</v>
      </c>
      <c r="J36" s="12" t="s">
        <v>1255</v>
      </c>
      <c r="L36" s="306"/>
      <c r="M36" s="306"/>
    </row>
    <row r="37" spans="1:43" ht="15.75" customHeight="1" x14ac:dyDescent="0.25">
      <c r="D37" s="14" t="s">
        <v>1247</v>
      </c>
      <c r="E37" s="14" t="s">
        <v>1247</v>
      </c>
      <c r="L37" s="306"/>
      <c r="M37" s="492"/>
      <c r="N37" s="968" t="s">
        <v>1256</v>
      </c>
      <c r="O37" s="919"/>
      <c r="P37" s="919"/>
      <c r="Q37" s="919"/>
      <c r="R37" s="919"/>
      <c r="S37" s="919"/>
      <c r="T37" s="919"/>
      <c r="U37" s="919"/>
      <c r="V37" s="919"/>
      <c r="W37" s="920"/>
      <c r="X37" s="492"/>
      <c r="Y37" s="492"/>
      <c r="Z37" s="492"/>
      <c r="AE37" s="969" t="s">
        <v>1257</v>
      </c>
      <c r="AF37" s="919"/>
      <c r="AG37" s="919"/>
      <c r="AH37" s="919"/>
      <c r="AI37" s="919"/>
      <c r="AJ37" s="919"/>
      <c r="AK37" s="919"/>
      <c r="AL37" s="919"/>
      <c r="AM37" s="919"/>
      <c r="AN37" s="920"/>
      <c r="AO37" s="216"/>
      <c r="AP37" s="216"/>
      <c r="AQ37" s="216"/>
    </row>
    <row r="38" spans="1:43" ht="15.75" customHeight="1" x14ac:dyDescent="0.25">
      <c r="D38" s="12" t="s">
        <v>1258</v>
      </c>
      <c r="E38" s="493" t="str">
        <f>"-RR2050"</f>
        <v>-RR2050</v>
      </c>
      <c r="F38" s="446" t="s">
        <v>1259</v>
      </c>
      <c r="G38" s="446" t="s">
        <v>1260</v>
      </c>
      <c r="H38" s="446" t="s">
        <v>1261</v>
      </c>
      <c r="I38" s="446" t="s">
        <v>1262</v>
      </c>
      <c r="J38" s="446" t="s">
        <v>1263</v>
      </c>
      <c r="K38" s="446" t="s">
        <v>1264</v>
      </c>
      <c r="L38" s="494" t="s">
        <v>1265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1266</v>
      </c>
      <c r="AB38" s="466" t="s">
        <v>1267</v>
      </c>
      <c r="AC38" s="499" t="s">
        <v>1268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1269</v>
      </c>
      <c r="C39" s="12" t="s">
        <v>1165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1165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1269</v>
      </c>
      <c r="C40" s="12" t="s">
        <v>1167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1167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1269</v>
      </c>
      <c r="C41" s="12" t="s">
        <v>1270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1270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1269</v>
      </c>
      <c r="C42" s="12" t="s">
        <v>1148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1148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1269</v>
      </c>
      <c r="C43" s="12" t="s">
        <v>1172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1172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1269</v>
      </c>
      <c r="C44" s="1" t="s">
        <v>1271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1271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1269</v>
      </c>
      <c r="C45" s="1" t="s">
        <v>1272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1272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552</v>
      </c>
      <c r="C46" s="1" t="s">
        <v>1273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1273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552</v>
      </c>
      <c r="C47" s="1" t="s">
        <v>1274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1274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552</v>
      </c>
      <c r="C48" s="1" t="s">
        <v>1164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1164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552</v>
      </c>
      <c r="C49" s="1" t="s">
        <v>1275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1275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552</v>
      </c>
      <c r="C50" s="1" t="s">
        <v>1147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1147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552</v>
      </c>
      <c r="C51" s="1" t="s">
        <v>1276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1276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1277</v>
      </c>
      <c r="C52" s="1" t="s">
        <v>1278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1278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552</v>
      </c>
      <c r="C53" s="1" t="s">
        <v>1279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1279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1277</v>
      </c>
      <c r="C54" s="1" t="s">
        <v>1280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1280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552</v>
      </c>
      <c r="C55" s="1" t="s">
        <v>1281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1281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1277</v>
      </c>
      <c r="C56" s="1" t="s">
        <v>1282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1282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1277</v>
      </c>
      <c r="C57" s="1" t="s">
        <v>1283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1283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552</v>
      </c>
      <c r="C58" s="1" t="s">
        <v>1284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1284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1277</v>
      </c>
      <c r="C59" s="1" t="s">
        <v>1285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1285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552</v>
      </c>
      <c r="C60" s="1" t="s">
        <v>1286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1286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552</v>
      </c>
      <c r="C61" s="1" t="s">
        <v>1151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1151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552</v>
      </c>
      <c r="C62" s="1" t="s">
        <v>1287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1287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552</v>
      </c>
      <c r="C63" s="1" t="s">
        <v>1178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1178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552</v>
      </c>
      <c r="C64" s="1" t="s">
        <v>1168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1168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552</v>
      </c>
      <c r="C65" s="1" t="s">
        <v>1288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1288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552</v>
      </c>
      <c r="C66" s="1" t="s">
        <v>1289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1289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552</v>
      </c>
      <c r="C67" s="1" t="s">
        <v>1160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1160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552</v>
      </c>
      <c r="C68" s="1" t="s">
        <v>1183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1183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552</v>
      </c>
      <c r="C69" s="1" t="s">
        <v>1290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1290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552</v>
      </c>
      <c r="C70" s="1" t="s">
        <v>1185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1185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552</v>
      </c>
      <c r="C71" s="12" t="s">
        <v>1176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1291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1189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1189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1192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1192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1193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1193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1292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1293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1294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1295</v>
      </c>
      <c r="M79" s="306"/>
    </row>
    <row r="80" spans="2:43" ht="15.75" customHeight="1" x14ac:dyDescent="0.25">
      <c r="F80" s="12" t="s">
        <v>1296</v>
      </c>
      <c r="G80" s="12">
        <f>+G65*N65*I33/1000000</f>
        <v>209.39642547425473</v>
      </c>
      <c r="H80" s="12" t="s">
        <v>670</v>
      </c>
      <c r="L80" s="306"/>
      <c r="M80" s="306"/>
    </row>
    <row r="81" spans="3:26" ht="15.75" customHeight="1" x14ac:dyDescent="0.25">
      <c r="F81" s="12" t="s">
        <v>1297</v>
      </c>
      <c r="G81" s="12">
        <f>+(H51*N51)*I33/1000000</f>
        <v>177.17312143246573</v>
      </c>
      <c r="H81" s="12" t="s">
        <v>670</v>
      </c>
      <c r="L81" s="306"/>
      <c r="M81" s="306"/>
    </row>
    <row r="82" spans="3:26" ht="15.75" customHeight="1" x14ac:dyDescent="0.25">
      <c r="F82" s="12" t="s">
        <v>1278</v>
      </c>
      <c r="G82" s="12">
        <f>+(H52*N52)*I33/1000000</f>
        <v>0</v>
      </c>
      <c r="H82" s="12" t="s">
        <v>670</v>
      </c>
      <c r="L82" s="306"/>
      <c r="M82" s="306"/>
    </row>
    <row r="83" spans="3:26" ht="15.75" customHeight="1" x14ac:dyDescent="0.25">
      <c r="F83" s="12" t="s">
        <v>1279</v>
      </c>
      <c r="G83" s="12">
        <f>+(H53*N53)*I33/1000000</f>
        <v>59.792875880758814</v>
      </c>
      <c r="H83" s="12" t="s">
        <v>670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968" t="s">
        <v>1256</v>
      </c>
      <c r="O86" s="919"/>
      <c r="P86" s="919"/>
      <c r="Q86" s="919"/>
      <c r="R86" s="919"/>
      <c r="S86" s="919"/>
      <c r="T86" s="919"/>
      <c r="U86" s="919"/>
      <c r="V86" s="919"/>
      <c r="W86" s="920"/>
      <c r="X86" s="492"/>
      <c r="Y86" s="492"/>
      <c r="Z86" s="492"/>
    </row>
    <row r="87" spans="3:26" ht="15.75" customHeight="1" x14ac:dyDescent="0.25">
      <c r="H87" s="456" t="s">
        <v>1123</v>
      </c>
      <c r="I87" s="456" t="s">
        <v>1124</v>
      </c>
      <c r="J87" s="426" t="s">
        <v>1125</v>
      </c>
      <c r="K87" s="456" t="s">
        <v>1126</v>
      </c>
      <c r="L87" s="456" t="s">
        <v>1127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1143</v>
      </c>
      <c r="I88" s="432" t="s">
        <v>1144</v>
      </c>
      <c r="J88" s="432" t="s">
        <v>1145</v>
      </c>
      <c r="K88" s="432" t="s">
        <v>1146</v>
      </c>
      <c r="L88" s="389" t="s">
        <v>1147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1143</v>
      </c>
      <c r="I89" s="432" t="s">
        <v>1144</v>
      </c>
      <c r="J89" s="432" t="s">
        <v>1145</v>
      </c>
      <c r="K89" s="432" t="s">
        <v>1146</v>
      </c>
      <c r="L89" s="389" t="s">
        <v>1148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1143</v>
      </c>
      <c r="I90" s="432" t="s">
        <v>1144</v>
      </c>
      <c r="J90" s="432" t="s">
        <v>1149</v>
      </c>
      <c r="K90" s="432" t="s">
        <v>1150</v>
      </c>
      <c r="L90" s="389" t="s">
        <v>1151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1143</v>
      </c>
      <c r="I91" s="432" t="s">
        <v>1144</v>
      </c>
      <c r="J91" s="432" t="s">
        <v>1152</v>
      </c>
      <c r="K91" s="432" t="s">
        <v>1150</v>
      </c>
      <c r="L91" s="389" t="s">
        <v>1153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1143</v>
      </c>
      <c r="I92" s="432" t="s">
        <v>1144</v>
      </c>
      <c r="J92" s="432" t="s">
        <v>1154</v>
      </c>
      <c r="K92" s="432" t="s">
        <v>1150</v>
      </c>
      <c r="L92" s="389" t="s">
        <v>1155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1143</v>
      </c>
      <c r="I93" s="432" t="s">
        <v>1144</v>
      </c>
      <c r="J93" s="432" t="s">
        <v>1156</v>
      </c>
      <c r="K93" s="432" t="s">
        <v>1150</v>
      </c>
      <c r="L93" s="389" t="s">
        <v>1157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1143</v>
      </c>
      <c r="I94" s="432" t="s">
        <v>1144</v>
      </c>
      <c r="J94" s="432" t="s">
        <v>1156</v>
      </c>
      <c r="K94" s="432" t="s">
        <v>1150</v>
      </c>
      <c r="L94" s="389" t="s">
        <v>1158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1143</v>
      </c>
      <c r="I95" s="432" t="s">
        <v>1144</v>
      </c>
      <c r="J95" s="432" t="s">
        <v>1159</v>
      </c>
      <c r="K95" s="432" t="s">
        <v>1150</v>
      </c>
      <c r="L95" s="389" t="s">
        <v>1160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1143</v>
      </c>
      <c r="I96" s="432" t="s">
        <v>1144</v>
      </c>
      <c r="J96" s="432" t="s">
        <v>1161</v>
      </c>
      <c r="K96" s="432" t="s">
        <v>1150</v>
      </c>
      <c r="L96" s="389" t="s">
        <v>1162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1143</v>
      </c>
      <c r="I97" s="432" t="s">
        <v>1144</v>
      </c>
      <c r="J97" s="432" t="s">
        <v>1163</v>
      </c>
      <c r="K97" s="432" t="s">
        <v>1150</v>
      </c>
      <c r="L97" s="389" t="s">
        <v>1164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1143</v>
      </c>
      <c r="I98" s="432" t="s">
        <v>1144</v>
      </c>
      <c r="J98" s="432" t="s">
        <v>1163</v>
      </c>
      <c r="K98" s="432" t="s">
        <v>1150</v>
      </c>
      <c r="L98" s="389" t="s">
        <v>1165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1143</v>
      </c>
      <c r="I99" s="432" t="s">
        <v>1144</v>
      </c>
      <c r="J99" s="432" t="s">
        <v>1166</v>
      </c>
      <c r="K99" s="432" t="s">
        <v>1150</v>
      </c>
      <c r="L99" s="389" t="s">
        <v>1167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1143</v>
      </c>
      <c r="I100" s="432" t="s">
        <v>1144</v>
      </c>
      <c r="J100" s="432" t="s">
        <v>1168</v>
      </c>
      <c r="K100" s="432" t="s">
        <v>1169</v>
      </c>
      <c r="L100" s="389" t="s">
        <v>1168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1143</v>
      </c>
      <c r="I101" s="432" t="s">
        <v>1144</v>
      </c>
      <c r="J101" s="432" t="s">
        <v>1170</v>
      </c>
      <c r="K101" s="432" t="s">
        <v>1171</v>
      </c>
      <c r="L101" s="389" t="s">
        <v>1172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1143</v>
      </c>
      <c r="I102" s="432" t="s">
        <v>1144</v>
      </c>
      <c r="J102" s="432" t="s">
        <v>1173</v>
      </c>
      <c r="K102" s="432" t="s">
        <v>1171</v>
      </c>
      <c r="L102" s="389" t="s">
        <v>1174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1143</v>
      </c>
      <c r="I103" s="432" t="s">
        <v>1144</v>
      </c>
      <c r="J103" s="432" t="s">
        <v>1175</v>
      </c>
      <c r="K103" s="432" t="s">
        <v>1171</v>
      </c>
      <c r="L103" s="389" t="s">
        <v>1176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1143</v>
      </c>
      <c r="I104" s="432" t="s">
        <v>1144</v>
      </c>
      <c r="J104" s="432" t="s">
        <v>1177</v>
      </c>
      <c r="K104" s="432" t="s">
        <v>1171</v>
      </c>
      <c r="L104" s="389" t="s">
        <v>1178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1143</v>
      </c>
      <c r="I105" s="432" t="s">
        <v>1144</v>
      </c>
      <c r="J105" s="432" t="s">
        <v>1179</v>
      </c>
      <c r="K105" s="432" t="s">
        <v>1180</v>
      </c>
      <c r="L105" s="389" t="s">
        <v>1181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1143</v>
      </c>
      <c r="I106" s="432" t="s">
        <v>1144</v>
      </c>
      <c r="J106" s="432" t="s">
        <v>1182</v>
      </c>
      <c r="K106" s="432" t="s">
        <v>1180</v>
      </c>
      <c r="L106" s="389" t="s">
        <v>1183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1143</v>
      </c>
      <c r="I107" s="432" t="s">
        <v>1144</v>
      </c>
      <c r="J107" s="432" t="s">
        <v>1184</v>
      </c>
      <c r="K107" s="432" t="s">
        <v>1180</v>
      </c>
      <c r="L107" s="389" t="s">
        <v>1185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1189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1192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1193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968" t="s">
        <v>1256</v>
      </c>
      <c r="O115" s="919"/>
      <c r="P115" s="919"/>
      <c r="Q115" s="919"/>
      <c r="R115" s="919"/>
      <c r="S115" s="919"/>
      <c r="T115" s="919"/>
      <c r="U115" s="919"/>
      <c r="V115" s="919"/>
      <c r="W115" s="920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1127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1147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1148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1151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1153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1155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1157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1158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1160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1162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1164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1165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1167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1168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1172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1174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1176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1178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1181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1183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1185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1189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1192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1193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M208" workbookViewId="0">
      <selection activeCell="AA210" sqref="AA210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1298</v>
      </c>
      <c r="O3" s="14" t="s">
        <v>1298</v>
      </c>
      <c r="P3" s="14" t="s">
        <v>1298</v>
      </c>
      <c r="Q3" s="14" t="s">
        <v>1298</v>
      </c>
      <c r="R3" s="14" t="s">
        <v>1298</v>
      </c>
      <c r="S3" s="14" t="s">
        <v>1298</v>
      </c>
      <c r="T3" s="14" t="s">
        <v>1298</v>
      </c>
      <c r="U3" s="14" t="s">
        <v>1298</v>
      </c>
      <c r="V3" s="14" t="s">
        <v>1298</v>
      </c>
      <c r="W3" s="14" t="s">
        <v>1298</v>
      </c>
      <c r="X3" s="14" t="s">
        <v>1298</v>
      </c>
      <c r="Y3" s="14" t="s">
        <v>1299</v>
      </c>
      <c r="Z3" s="14" t="s">
        <v>1298</v>
      </c>
      <c r="AA3" s="1"/>
      <c r="AB3" s="979">
        <v>2019</v>
      </c>
      <c r="AC3" s="919"/>
      <c r="AD3" s="919"/>
      <c r="AE3" s="919"/>
      <c r="AF3" s="920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477</v>
      </c>
      <c r="E4" s="14" t="s">
        <v>478</v>
      </c>
      <c r="I4" s="428" t="s">
        <v>1126</v>
      </c>
      <c r="J4" s="428" t="s">
        <v>1127</v>
      </c>
      <c r="K4" s="428" t="s">
        <v>1128</v>
      </c>
      <c r="L4" s="429"/>
      <c r="M4" s="428" t="str">
        <f>+'5. ANH'!J12</f>
        <v>Type of Oil producing</v>
      </c>
      <c r="N4" s="430" t="s">
        <v>1300</v>
      </c>
      <c r="O4" s="430" t="s">
        <v>1301</v>
      </c>
      <c r="P4" s="430" t="s">
        <v>1302</v>
      </c>
      <c r="Q4" s="428" t="s">
        <v>1303</v>
      </c>
      <c r="R4" s="428" t="s">
        <v>1304</v>
      </c>
      <c r="S4" s="428" t="s">
        <v>1305</v>
      </c>
      <c r="T4" s="428" t="s">
        <v>1306</v>
      </c>
      <c r="U4" s="428" t="s">
        <v>1307</v>
      </c>
      <c r="V4" s="428" t="s">
        <v>1308</v>
      </c>
      <c r="W4" s="428" t="s">
        <v>1309</v>
      </c>
      <c r="X4" s="428" t="s">
        <v>1310</v>
      </c>
      <c r="Y4" s="428" t="s">
        <v>1311</v>
      </c>
      <c r="Z4" s="430" t="s">
        <v>1312</v>
      </c>
      <c r="AA4" s="1"/>
      <c r="AB4" s="426" t="s">
        <v>1313</v>
      </c>
      <c r="AC4" s="214" t="s">
        <v>1314</v>
      </c>
      <c r="AD4" s="426" t="s">
        <v>1315</v>
      </c>
      <c r="AE4" s="426" t="s">
        <v>1316</v>
      </c>
      <c r="AF4" s="426" t="s">
        <v>1317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480</v>
      </c>
      <c r="I5" s="432" t="s">
        <v>1146</v>
      </c>
      <c r="J5" s="433" t="s">
        <v>1147</v>
      </c>
      <c r="K5" s="431" t="s">
        <v>1023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481</v>
      </c>
      <c r="D6" s="14" t="s">
        <v>485</v>
      </c>
      <c r="E6" s="14" t="s">
        <v>486</v>
      </c>
      <c r="I6" s="432" t="s">
        <v>1146</v>
      </c>
      <c r="J6" s="433" t="s">
        <v>1148</v>
      </c>
      <c r="K6" s="431" t="s">
        <v>1023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487</v>
      </c>
      <c r="D7" s="315">
        <v>1.0095573442026637</v>
      </c>
      <c r="E7" s="316">
        <v>55.539114956987063</v>
      </c>
      <c r="I7" s="432" t="s">
        <v>1150</v>
      </c>
      <c r="J7" s="433" t="s">
        <v>1151</v>
      </c>
      <c r="K7" s="431" t="s">
        <v>1023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490</v>
      </c>
      <c r="D8" s="315">
        <v>6.0871741676095334</v>
      </c>
      <c r="E8" s="316">
        <v>77.841777688967127</v>
      </c>
      <c r="I8" s="432" t="s">
        <v>1150</v>
      </c>
      <c r="J8" s="433" t="s">
        <v>1153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493</v>
      </c>
      <c r="D9" s="222">
        <v>6.0871741676095334</v>
      </c>
      <c r="E9" s="317">
        <v>77.841777688967127</v>
      </c>
      <c r="I9" s="432" t="s">
        <v>1150</v>
      </c>
      <c r="J9" s="433" t="s">
        <v>1155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495</v>
      </c>
      <c r="D10" s="318">
        <v>6.0871741676095334</v>
      </c>
      <c r="E10" s="319">
        <v>77.841777688967127</v>
      </c>
      <c r="I10" s="432" t="s">
        <v>1150</v>
      </c>
      <c r="J10" s="433" t="s">
        <v>1157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497</v>
      </c>
      <c r="D11" s="315">
        <v>5.3308987344700309</v>
      </c>
      <c r="E11" s="316">
        <v>69.193827140333724</v>
      </c>
      <c r="I11" s="432" t="s">
        <v>1150</v>
      </c>
      <c r="J11" s="433" t="s">
        <v>1158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500</v>
      </c>
      <c r="D12" s="222">
        <v>5.6708498400612823</v>
      </c>
      <c r="E12" s="317">
        <v>75.166375708662926</v>
      </c>
      <c r="I12" s="432" t="s">
        <v>1150</v>
      </c>
      <c r="J12" s="433" t="s">
        <v>1160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1150</v>
      </c>
      <c r="J13" s="433" t="s">
        <v>1162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505</v>
      </c>
      <c r="D14" s="315">
        <v>4.0562660463586173</v>
      </c>
      <c r="E14" s="316">
        <v>47.28933824683137</v>
      </c>
      <c r="I14" s="432" t="s">
        <v>1150</v>
      </c>
      <c r="J14" s="433" t="s">
        <v>1164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510</v>
      </c>
      <c r="D15" s="222">
        <v>5.4608206169323079</v>
      </c>
      <c r="E15" s="317">
        <v>78.281203343664757</v>
      </c>
      <c r="I15" s="432" t="s">
        <v>1150</v>
      </c>
      <c r="J15" s="433" t="s">
        <v>1165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528</v>
      </c>
      <c r="D16" s="222">
        <v>4.7615165047769556</v>
      </c>
      <c r="E16" s="317">
        <v>56.337812381502502</v>
      </c>
      <c r="I16" s="432" t="s">
        <v>1150</v>
      </c>
      <c r="J16" s="433" t="s">
        <v>1167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1169</v>
      </c>
      <c r="J17" s="433" t="s">
        <v>1168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524</v>
      </c>
      <c r="I18" s="432" t="s">
        <v>1171</v>
      </c>
      <c r="J18" s="433" t="s">
        <v>1172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1171</v>
      </c>
      <c r="J19" s="433" t="s">
        <v>1174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1255</v>
      </c>
      <c r="D20" s="343">
        <v>6117863200</v>
      </c>
      <c r="E20" s="12" t="s">
        <v>1318</v>
      </c>
      <c r="I20" s="432" t="s">
        <v>1171</v>
      </c>
      <c r="J20" s="433" t="s">
        <v>1176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1255</v>
      </c>
      <c r="D21" s="343">
        <f>+D20*1000/(1000000000000)</f>
        <v>6.1178632000000004</v>
      </c>
      <c r="E21" s="12" t="s">
        <v>1239</v>
      </c>
      <c r="I21" s="432" t="s">
        <v>1171</v>
      </c>
      <c r="J21" s="433" t="s">
        <v>1178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1319</v>
      </c>
      <c r="I22" s="432" t="s">
        <v>1180</v>
      </c>
      <c r="J22" s="433" t="s">
        <v>1181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1180</v>
      </c>
      <c r="J23" s="433" t="s">
        <v>1183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1180</v>
      </c>
      <c r="J24" s="438" t="s">
        <v>1185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1188</v>
      </c>
      <c r="J25" s="438" t="s">
        <v>1189</v>
      </c>
      <c r="K25" s="431" t="s">
        <v>1023</v>
      </c>
      <c r="L25" s="434" t="s">
        <v>7</v>
      </c>
      <c r="M25" s="434" t="s">
        <v>1320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1188</v>
      </c>
      <c r="J26" s="438" t="s">
        <v>1192</v>
      </c>
      <c r="K26" s="431" t="s">
        <v>1023</v>
      </c>
      <c r="L26" s="434" t="s">
        <v>7</v>
      </c>
      <c r="M26" s="434" t="s">
        <v>1320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1188</v>
      </c>
      <c r="J27" s="438" t="s">
        <v>1193</v>
      </c>
      <c r="K27" s="431" t="s">
        <v>1023</v>
      </c>
      <c r="L27" s="434" t="s">
        <v>7</v>
      </c>
      <c r="M27" s="434" t="s">
        <v>1320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N28" s="839">
        <f>+SUM(N5:N27)</f>
        <v>1814.1047397260272</v>
      </c>
      <c r="O28" s="839">
        <f t="shared" ref="O28:P28" si="8">+SUM(O5:O27)</f>
        <v>944.81832876712326</v>
      </c>
      <c r="P28" s="839">
        <f t="shared" si="8"/>
        <v>825.47967123287674</v>
      </c>
      <c r="Y28" s="839">
        <f>+SUM(Y5:Y27)</f>
        <v>463142.20578082197</v>
      </c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979"/>
      <c r="AB33" s="919"/>
      <c r="AC33" s="919"/>
      <c r="AD33" s="919"/>
      <c r="AE33" s="919"/>
      <c r="AF33" s="919"/>
      <c r="AG33" s="919"/>
      <c r="AH33" s="919"/>
      <c r="AI33" s="919"/>
      <c r="AJ33" s="919"/>
      <c r="AK33" s="919"/>
      <c r="AL33" s="919"/>
      <c r="AM33" s="920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1126</v>
      </c>
      <c r="J34" s="428" t="s">
        <v>1127</v>
      </c>
      <c r="K34" s="428" t="s">
        <v>1128</v>
      </c>
      <c r="L34" s="429"/>
      <c r="M34" s="428" t="str">
        <f>+'5. ANH'!J12</f>
        <v>Type of Oil producing</v>
      </c>
      <c r="N34" s="430" t="s">
        <v>1321</v>
      </c>
      <c r="O34" s="430" t="s">
        <v>1322</v>
      </c>
      <c r="P34" s="430" t="s">
        <v>1323</v>
      </c>
      <c r="Q34" s="428" t="s">
        <v>1324</v>
      </c>
      <c r="R34" s="428" t="s">
        <v>1325</v>
      </c>
      <c r="S34" s="428" t="s">
        <v>1326</v>
      </c>
      <c r="T34" s="428" t="s">
        <v>1327</v>
      </c>
      <c r="U34" s="428" t="s">
        <v>1328</v>
      </c>
      <c r="V34" s="428" t="s">
        <v>1329</v>
      </c>
      <c r="W34" s="428" t="s">
        <v>1330</v>
      </c>
      <c r="X34" s="428" t="s">
        <v>1331</v>
      </c>
      <c r="Y34" s="428" t="s">
        <v>1332</v>
      </c>
      <c r="Z34" s="430" t="s">
        <v>1333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1146</v>
      </c>
      <c r="J35" s="433" t="s">
        <v>1147</v>
      </c>
      <c r="K35" s="431" t="s">
        <v>1023</v>
      </c>
      <c r="L35" s="434" t="s">
        <v>7</v>
      </c>
      <c r="M35" s="434" t="str">
        <f>+'5. ANH'!J13</f>
        <v>Doesn't Apply</v>
      </c>
      <c r="N35" s="435">
        <f t="shared" ref="N35:X35" si="9">+N5*365*$D$7/1000</f>
        <v>60.04622961587031</v>
      </c>
      <c r="O35" s="435">
        <f t="shared" si="9"/>
        <v>2.4898308957132613</v>
      </c>
      <c r="P35" s="435">
        <f t="shared" si="9"/>
        <v>57.556398720157048</v>
      </c>
      <c r="Q35" s="436">
        <f t="shared" si="9"/>
        <v>60.04621952029688</v>
      </c>
      <c r="R35" s="436">
        <f t="shared" si="9"/>
        <v>0</v>
      </c>
      <c r="S35" s="436">
        <f t="shared" si="9"/>
        <v>0</v>
      </c>
      <c r="T35" s="436">
        <f t="shared" si="9"/>
        <v>2.4069462377542221</v>
      </c>
      <c r="U35" s="436">
        <f t="shared" si="9"/>
        <v>8.2884657959038696E-2</v>
      </c>
      <c r="V35" s="436">
        <f t="shared" si="9"/>
        <v>4.8961411123406373</v>
      </c>
      <c r="W35" s="436">
        <f t="shared" si="9"/>
        <v>0</v>
      </c>
      <c r="X35" s="436">
        <f t="shared" si="9"/>
        <v>52.660257607816412</v>
      </c>
      <c r="Y35" s="436">
        <f t="shared" ref="Y35:Y57" si="10">+Y5*365*(0.001)*$D$8/1000</f>
        <v>0</v>
      </c>
      <c r="Z35" s="437">
        <f t="shared" ref="Z35:Z57" si="11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1146</v>
      </c>
      <c r="J36" s="433" t="s">
        <v>1148</v>
      </c>
      <c r="K36" s="431" t="s">
        <v>1023</v>
      </c>
      <c r="L36" s="434" t="s">
        <v>7</v>
      </c>
      <c r="M36" s="434" t="str">
        <f>+'5. ANH'!J14</f>
        <v>Doesn't Apply</v>
      </c>
      <c r="N36" s="435">
        <f t="shared" ref="N36:X36" si="12">+N6*365*$D$7/1000</f>
        <v>8.539502325113304</v>
      </c>
      <c r="O36" s="435">
        <f t="shared" si="12"/>
        <v>5.3052238437849987E-2</v>
      </c>
      <c r="P36" s="435">
        <f t="shared" si="12"/>
        <v>8.4864500866754558</v>
      </c>
      <c r="Q36" s="436">
        <f t="shared" si="12"/>
        <v>8.5394619428195373</v>
      </c>
      <c r="R36" s="436">
        <f t="shared" si="12"/>
        <v>0</v>
      </c>
      <c r="S36" s="436">
        <f t="shared" si="12"/>
        <v>0</v>
      </c>
      <c r="T36" s="436">
        <f t="shared" si="12"/>
        <v>4.3098003024011712E-2</v>
      </c>
      <c r="U36" s="436">
        <f t="shared" si="12"/>
        <v>9.9542354138382663E-3</v>
      </c>
      <c r="V36" s="436">
        <f t="shared" si="12"/>
        <v>0.72254019124584645</v>
      </c>
      <c r="W36" s="436">
        <f t="shared" si="12"/>
        <v>0</v>
      </c>
      <c r="X36" s="436">
        <f t="shared" si="12"/>
        <v>7.7639098954296077</v>
      </c>
      <c r="Y36" s="436">
        <f t="shared" si="10"/>
        <v>0</v>
      </c>
      <c r="Z36" s="437">
        <f t="shared" si="11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1150</v>
      </c>
      <c r="J37" s="433" t="s">
        <v>1151</v>
      </c>
      <c r="K37" s="431" t="s">
        <v>1023</v>
      </c>
      <c r="L37" s="434" t="s">
        <v>7</v>
      </c>
      <c r="M37" s="434" t="str">
        <f>+'5. ANH'!J15</f>
        <v>Doesn't Apply</v>
      </c>
      <c r="N37" s="435">
        <f t="shared" ref="N37:X37" si="13">+N7*365*$D$7/1000</f>
        <v>13.106881088314344</v>
      </c>
      <c r="O37" s="435">
        <f t="shared" si="13"/>
        <v>0</v>
      </c>
      <c r="P37" s="435">
        <f t="shared" si="13"/>
        <v>11.790499076061607</v>
      </c>
      <c r="Q37" s="436">
        <f t="shared" si="13"/>
        <v>13.106881088314344</v>
      </c>
      <c r="R37" s="436">
        <f t="shared" si="13"/>
        <v>0</v>
      </c>
      <c r="S37" s="436">
        <f t="shared" si="13"/>
        <v>0</v>
      </c>
      <c r="T37" s="436">
        <f t="shared" si="13"/>
        <v>0</v>
      </c>
      <c r="U37" s="436">
        <f t="shared" si="13"/>
        <v>0</v>
      </c>
      <c r="V37" s="436">
        <f t="shared" si="13"/>
        <v>13.106881088314344</v>
      </c>
      <c r="W37" s="436">
        <f t="shared" si="13"/>
        <v>1.3163820122527377</v>
      </c>
      <c r="X37" s="436">
        <f t="shared" si="13"/>
        <v>0</v>
      </c>
      <c r="Y37" s="436">
        <f t="shared" si="10"/>
        <v>0</v>
      </c>
      <c r="Z37" s="437">
        <f t="shared" si="11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1150</v>
      </c>
      <c r="J38" s="433" t="s">
        <v>1153</v>
      </c>
      <c r="K38" s="431">
        <v>48</v>
      </c>
      <c r="L38" s="434"/>
      <c r="M38" s="434" t="str">
        <f>+'5. ANH'!J16</f>
        <v>Light Oil</v>
      </c>
      <c r="N38" s="435">
        <f t="shared" ref="N38:X38" si="14">+N8*365*$D$7/1000</f>
        <v>239.32819800561739</v>
      </c>
      <c r="O38" s="435">
        <f t="shared" si="14"/>
        <v>160.99168674237271</v>
      </c>
      <c r="P38" s="435">
        <f t="shared" si="14"/>
        <v>75.291444019366878</v>
      </c>
      <c r="Q38" s="436">
        <f t="shared" si="14"/>
        <v>239.32817781447051</v>
      </c>
      <c r="R38" s="436">
        <f t="shared" si="14"/>
        <v>0</v>
      </c>
      <c r="S38" s="436">
        <f t="shared" si="14"/>
        <v>146.06287770612269</v>
      </c>
      <c r="T38" s="436">
        <f t="shared" si="14"/>
        <v>14.103990590462988</v>
      </c>
      <c r="U38" s="436">
        <f t="shared" si="14"/>
        <v>0.82481844578701846</v>
      </c>
      <c r="V38" s="436">
        <f t="shared" si="14"/>
        <v>6.0840367613967006</v>
      </c>
      <c r="W38" s="436">
        <f t="shared" si="14"/>
        <v>3.0450672438778423</v>
      </c>
      <c r="X38" s="436">
        <f t="shared" si="14"/>
        <v>72.252474501848027</v>
      </c>
      <c r="Y38" s="436">
        <f t="shared" si="10"/>
        <v>22.733323234776581</v>
      </c>
      <c r="Z38" s="437">
        <f t="shared" si="11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1150</v>
      </c>
      <c r="J39" s="433" t="s">
        <v>1155</v>
      </c>
      <c r="K39" s="431">
        <v>52</v>
      </c>
      <c r="L39" s="434"/>
      <c r="M39" s="434" t="str">
        <f>+'5. ANH'!J17</f>
        <v>Light Oil</v>
      </c>
      <c r="N39" s="435">
        <f t="shared" ref="N39:X39" si="15">+N9*365*$D$7/1000</f>
        <v>102.2089585250658</v>
      </c>
      <c r="O39" s="435">
        <f t="shared" si="15"/>
        <v>30.216717619832895</v>
      </c>
      <c r="P39" s="435">
        <f t="shared" si="15"/>
        <v>60.807849771910249</v>
      </c>
      <c r="Q39" s="436">
        <f t="shared" si="15"/>
        <v>102.20910995866744</v>
      </c>
      <c r="R39" s="436">
        <f t="shared" si="15"/>
        <v>0</v>
      </c>
      <c r="S39" s="436">
        <f t="shared" si="15"/>
        <v>18.608807085043786</v>
      </c>
      <c r="T39" s="436">
        <f t="shared" si="15"/>
        <v>11.187076555858232</v>
      </c>
      <c r="U39" s="436">
        <f t="shared" si="15"/>
        <v>0.42083397893088031</v>
      </c>
      <c r="V39" s="436">
        <f t="shared" si="15"/>
        <v>11.193699252036202</v>
      </c>
      <c r="W39" s="436">
        <f t="shared" si="15"/>
        <v>11.184391133322654</v>
      </c>
      <c r="X39" s="436">
        <f t="shared" si="15"/>
        <v>60.798541653196693</v>
      </c>
      <c r="Y39" s="436">
        <f t="shared" si="10"/>
        <v>7.0712088472532377</v>
      </c>
      <c r="Z39" s="437">
        <f t="shared" si="11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1150</v>
      </c>
      <c r="J40" s="433" t="s">
        <v>1157</v>
      </c>
      <c r="K40" s="431">
        <v>46</v>
      </c>
      <c r="L40" s="434"/>
      <c r="M40" s="434" t="str">
        <f>+'5. ANH'!J18</f>
        <v>Light Oil</v>
      </c>
      <c r="N40" s="435">
        <f t="shared" ref="N40:X40" si="16">+N10*365*$D$7/1000</f>
        <v>160.44027661654269</v>
      </c>
      <c r="O40" s="435">
        <f t="shared" si="16"/>
        <v>86.793482275469458</v>
      </c>
      <c r="P40" s="435">
        <f t="shared" si="16"/>
        <v>73.646794341073218</v>
      </c>
      <c r="Q40" s="436">
        <f t="shared" si="16"/>
        <v>160.44018575638168</v>
      </c>
      <c r="R40" s="436">
        <f t="shared" si="16"/>
        <v>0</v>
      </c>
      <c r="S40" s="436">
        <f t="shared" si="16"/>
        <v>82.998717747786728</v>
      </c>
      <c r="T40" s="436">
        <f t="shared" si="16"/>
        <v>3.345117782148316</v>
      </c>
      <c r="U40" s="436">
        <f t="shared" si="16"/>
        <v>0.44964674553442446</v>
      </c>
      <c r="V40" s="436">
        <f t="shared" si="16"/>
        <v>52.360166687252182</v>
      </c>
      <c r="W40" s="436">
        <f t="shared" si="16"/>
        <v>0</v>
      </c>
      <c r="X40" s="436">
        <f t="shared" si="16"/>
        <v>21.286627653821029</v>
      </c>
      <c r="Y40" s="436">
        <f t="shared" si="10"/>
        <v>60.007782289723188</v>
      </c>
      <c r="Z40" s="437">
        <f t="shared" si="11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1150</v>
      </c>
      <c r="J41" s="433" t="s">
        <v>1158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7">+N11*365*$D$7/1000</f>
        <v>61.393403127121232</v>
      </c>
      <c r="O41" s="435">
        <f t="shared" si="17"/>
        <v>61.393403127121232</v>
      </c>
      <c r="P41" s="435">
        <f t="shared" si="17"/>
        <v>0</v>
      </c>
      <c r="Q41" s="436">
        <f t="shared" si="17"/>
        <v>61.3933728404009</v>
      </c>
      <c r="R41" s="436">
        <f t="shared" si="17"/>
        <v>0</v>
      </c>
      <c r="S41" s="436">
        <f t="shared" si="17"/>
        <v>59.623921683216899</v>
      </c>
      <c r="T41" s="436">
        <f t="shared" si="17"/>
        <v>0.2018105131061125</v>
      </c>
      <c r="U41" s="436">
        <f t="shared" si="17"/>
        <v>1.5676709307982222</v>
      </c>
      <c r="V41" s="436">
        <f t="shared" si="17"/>
        <v>0</v>
      </c>
      <c r="W41" s="436">
        <f t="shared" si="17"/>
        <v>0</v>
      </c>
      <c r="X41" s="436">
        <f t="shared" si="17"/>
        <v>0</v>
      </c>
      <c r="Y41" s="436">
        <f t="shared" si="10"/>
        <v>17.796808939248596</v>
      </c>
      <c r="Z41" s="437">
        <f t="shared" si="11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1150</v>
      </c>
      <c r="J42" s="433" t="s">
        <v>1160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8">+N12*365*$D$7/1000</f>
        <v>0</v>
      </c>
      <c r="O42" s="435">
        <f t="shared" si="18"/>
        <v>0</v>
      </c>
      <c r="P42" s="435">
        <f t="shared" si="18"/>
        <v>0</v>
      </c>
      <c r="Q42" s="436">
        <f t="shared" si="18"/>
        <v>0</v>
      </c>
      <c r="R42" s="436">
        <f t="shared" si="18"/>
        <v>0</v>
      </c>
      <c r="S42" s="436">
        <f t="shared" si="18"/>
        <v>0</v>
      </c>
      <c r="T42" s="436">
        <f t="shared" si="18"/>
        <v>0</v>
      </c>
      <c r="U42" s="436">
        <f t="shared" si="18"/>
        <v>0</v>
      </c>
      <c r="V42" s="436">
        <f t="shared" si="18"/>
        <v>0</v>
      </c>
      <c r="W42" s="436">
        <f t="shared" si="18"/>
        <v>0</v>
      </c>
      <c r="X42" s="436">
        <f t="shared" si="18"/>
        <v>0</v>
      </c>
      <c r="Y42" s="436">
        <f t="shared" si="10"/>
        <v>265.08224689210181</v>
      </c>
      <c r="Z42" s="437">
        <f t="shared" si="11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1150</v>
      </c>
      <c r="J43" s="433" t="s">
        <v>1162</v>
      </c>
      <c r="K43" s="431">
        <v>13.7</v>
      </c>
      <c r="L43" s="434"/>
      <c r="M43" s="434" t="str">
        <f>+'5. ANH'!J21</f>
        <v>Heavy Oil</v>
      </c>
      <c r="N43" s="435">
        <f t="shared" ref="N43:X43" si="19">+N13*365*$D$7/1000</f>
        <v>0</v>
      </c>
      <c r="O43" s="435">
        <f t="shared" si="19"/>
        <v>0</v>
      </c>
      <c r="P43" s="435">
        <f t="shared" si="19"/>
        <v>0</v>
      </c>
      <c r="Q43" s="436">
        <f t="shared" si="19"/>
        <v>0</v>
      </c>
      <c r="R43" s="436">
        <f t="shared" si="19"/>
        <v>0</v>
      </c>
      <c r="S43" s="436">
        <f t="shared" si="19"/>
        <v>0</v>
      </c>
      <c r="T43" s="436">
        <f t="shared" si="19"/>
        <v>0</v>
      </c>
      <c r="U43" s="436">
        <f t="shared" si="19"/>
        <v>0</v>
      </c>
      <c r="V43" s="436">
        <f t="shared" si="19"/>
        <v>0</v>
      </c>
      <c r="W43" s="436">
        <f t="shared" si="19"/>
        <v>0</v>
      </c>
      <c r="X43" s="436">
        <f t="shared" si="19"/>
        <v>0</v>
      </c>
      <c r="Y43" s="436">
        <f t="shared" si="10"/>
        <v>253.41187670697005</v>
      </c>
      <c r="Z43" s="437">
        <f t="shared" si="11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1150</v>
      </c>
      <c r="J44" s="433" t="s">
        <v>1164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20">+N14*365*$D$7/1000</f>
        <v>1.3978936722236606</v>
      </c>
      <c r="O44" s="435">
        <f t="shared" si="20"/>
        <v>1.3978936722236606</v>
      </c>
      <c r="P44" s="435">
        <f t="shared" si="20"/>
        <v>0</v>
      </c>
      <c r="Q44" s="436">
        <f t="shared" si="20"/>
        <v>1.3978835766502182</v>
      </c>
      <c r="R44" s="436">
        <f t="shared" si="20"/>
        <v>0</v>
      </c>
      <c r="S44" s="436">
        <f t="shared" si="20"/>
        <v>0</v>
      </c>
      <c r="T44" s="436">
        <f t="shared" si="20"/>
        <v>0.32109980889709927</v>
      </c>
      <c r="U44" s="436">
        <f t="shared" si="20"/>
        <v>1.0767938633265612</v>
      </c>
      <c r="V44" s="436">
        <f t="shared" si="20"/>
        <v>0</v>
      </c>
      <c r="W44" s="436">
        <f t="shared" si="20"/>
        <v>0</v>
      </c>
      <c r="X44" s="436">
        <f t="shared" si="20"/>
        <v>0</v>
      </c>
      <c r="Y44" s="436">
        <f t="shared" si="10"/>
        <v>153.50718826671843</v>
      </c>
      <c r="Z44" s="437">
        <f t="shared" si="11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1150</v>
      </c>
      <c r="J45" s="433" t="s">
        <v>1165</v>
      </c>
      <c r="K45" s="431">
        <v>8</v>
      </c>
      <c r="L45" s="434"/>
      <c r="M45" s="434" t="str">
        <f>+'5. ANH'!J23</f>
        <v>Heavy Oil</v>
      </c>
      <c r="N45" s="435">
        <f t="shared" ref="N45:X45" si="21">+N15*365*$D$7/1000</f>
        <v>0.21448045777585595</v>
      </c>
      <c r="O45" s="435">
        <f t="shared" si="21"/>
        <v>0.21448045777585595</v>
      </c>
      <c r="P45" s="435">
        <f t="shared" si="21"/>
        <v>0</v>
      </c>
      <c r="Q45" s="436">
        <f t="shared" si="21"/>
        <v>0.21448045777585595</v>
      </c>
      <c r="R45" s="436">
        <f t="shared" si="21"/>
        <v>0</v>
      </c>
      <c r="S45" s="436">
        <f t="shared" si="21"/>
        <v>0</v>
      </c>
      <c r="T45" s="436">
        <f t="shared" si="21"/>
        <v>0</v>
      </c>
      <c r="U45" s="436">
        <f t="shared" si="21"/>
        <v>0.21448045777585595</v>
      </c>
      <c r="V45" s="436">
        <f t="shared" si="21"/>
        <v>0</v>
      </c>
      <c r="W45" s="436">
        <f t="shared" si="21"/>
        <v>0</v>
      </c>
      <c r="X45" s="436">
        <f t="shared" si="21"/>
        <v>0</v>
      </c>
      <c r="Y45" s="436">
        <f t="shared" si="10"/>
        <v>43.895597705669182</v>
      </c>
      <c r="Z45" s="437">
        <f t="shared" si="11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1150</v>
      </c>
      <c r="J46" s="433" t="s">
        <v>1167</v>
      </c>
      <c r="K46" s="431">
        <v>13.5</v>
      </c>
      <c r="L46" s="434"/>
      <c r="M46" s="434" t="str">
        <f>+'5. ANH'!J24</f>
        <v>Heavy Oil</v>
      </c>
      <c r="N46" s="435">
        <f t="shared" ref="N46:X46" si="22">+N16*365*$D$7/1000</f>
        <v>0.43874352621703561</v>
      </c>
      <c r="O46" s="435">
        <f t="shared" si="22"/>
        <v>5.7140945681870784E-3</v>
      </c>
      <c r="P46" s="435">
        <f t="shared" si="22"/>
        <v>0.23786180586758957</v>
      </c>
      <c r="Q46" s="436">
        <f t="shared" si="22"/>
        <v>0.4388141952311298</v>
      </c>
      <c r="R46" s="436">
        <f t="shared" si="22"/>
        <v>0</v>
      </c>
      <c r="S46" s="436">
        <f t="shared" si="22"/>
        <v>0</v>
      </c>
      <c r="T46" s="436">
        <f t="shared" si="22"/>
        <v>5.7140945681870784E-3</v>
      </c>
      <c r="U46" s="436">
        <f t="shared" si="22"/>
        <v>0</v>
      </c>
      <c r="V46" s="436">
        <f t="shared" si="22"/>
        <v>0.4330294316488485</v>
      </c>
      <c r="W46" s="436">
        <f t="shared" si="22"/>
        <v>0.19516762578125896</v>
      </c>
      <c r="X46" s="436">
        <f t="shared" si="22"/>
        <v>0</v>
      </c>
      <c r="Y46" s="436">
        <f t="shared" si="10"/>
        <v>8.7564836170076354</v>
      </c>
      <c r="Z46" s="437">
        <f t="shared" si="11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1169</v>
      </c>
      <c r="J47" s="433" t="s">
        <v>1168</v>
      </c>
      <c r="K47" s="431">
        <v>35</v>
      </c>
      <c r="L47" s="434"/>
      <c r="M47" s="434" t="str">
        <f>+'5. ANH'!J25</f>
        <v>Light Oil</v>
      </c>
      <c r="N47" s="435">
        <f t="shared" ref="N47:X47" si="23">+N17*365*$D$7/1000</f>
        <v>1.2759391450439788</v>
      </c>
      <c r="O47" s="435">
        <f t="shared" si="23"/>
        <v>1.2759391450439788</v>
      </c>
      <c r="P47" s="435">
        <f t="shared" si="23"/>
        <v>0</v>
      </c>
      <c r="Q47" s="436">
        <f t="shared" si="23"/>
        <v>1.2759391450439788</v>
      </c>
      <c r="R47" s="436">
        <f t="shared" si="23"/>
        <v>0</v>
      </c>
      <c r="S47" s="436">
        <f t="shared" si="23"/>
        <v>0</v>
      </c>
      <c r="T47" s="436">
        <f t="shared" si="23"/>
        <v>0</v>
      </c>
      <c r="U47" s="436">
        <f t="shared" si="23"/>
        <v>1.2759391450439788</v>
      </c>
      <c r="V47" s="436">
        <f t="shared" si="23"/>
        <v>0</v>
      </c>
      <c r="W47" s="436">
        <f t="shared" si="23"/>
        <v>0</v>
      </c>
      <c r="X47" s="436">
        <f t="shared" si="23"/>
        <v>0</v>
      </c>
      <c r="Y47" s="436">
        <f t="shared" si="10"/>
        <v>4.3593517548323124</v>
      </c>
      <c r="Z47" s="437">
        <f t="shared" si="11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1171</v>
      </c>
      <c r="J48" s="433" t="s">
        <v>1172</v>
      </c>
      <c r="K48" s="431">
        <v>21</v>
      </c>
      <c r="L48" s="434"/>
      <c r="M48" s="434" t="str">
        <f>+'5. ANH'!J26</f>
        <v>Medium Oil</v>
      </c>
      <c r="N48" s="435">
        <f t="shared" ref="N48:X48" si="24">+N18*365*$D$7/1000</f>
        <v>0.43827912983870243</v>
      </c>
      <c r="O48" s="435">
        <f t="shared" si="24"/>
        <v>0.43827912983870243</v>
      </c>
      <c r="P48" s="435">
        <f t="shared" si="24"/>
        <v>0</v>
      </c>
      <c r="Q48" s="436">
        <f t="shared" si="24"/>
        <v>0.43830941655902855</v>
      </c>
      <c r="R48" s="436">
        <f t="shared" si="24"/>
        <v>0</v>
      </c>
      <c r="S48" s="436">
        <f t="shared" si="24"/>
        <v>0</v>
      </c>
      <c r="T48" s="436">
        <f t="shared" si="24"/>
        <v>0.35206293264379496</v>
      </c>
      <c r="U48" s="436">
        <f t="shared" si="24"/>
        <v>8.621619719490746E-2</v>
      </c>
      <c r="V48" s="436">
        <f t="shared" si="24"/>
        <v>0</v>
      </c>
      <c r="W48" s="436">
        <f t="shared" si="24"/>
        <v>0</v>
      </c>
      <c r="X48" s="436">
        <f t="shared" si="24"/>
        <v>0</v>
      </c>
      <c r="Y48" s="436">
        <f t="shared" si="10"/>
        <v>26.927100382560717</v>
      </c>
      <c r="Z48" s="437">
        <f t="shared" si="11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1171</v>
      </c>
      <c r="J49" s="433" t="s">
        <v>1174</v>
      </c>
      <c r="K49" s="431">
        <v>12.5</v>
      </c>
      <c r="L49" s="434"/>
      <c r="M49" s="434" t="str">
        <f>+'5. ANH'!J27</f>
        <v>Heavy Oil</v>
      </c>
      <c r="N49" s="435">
        <f t="shared" ref="N49:X49" si="25">+N19*365*$D$7/1000</f>
        <v>8.7791106651863626E-2</v>
      </c>
      <c r="O49" s="435">
        <f t="shared" si="25"/>
        <v>8.7791106651863626E-2</v>
      </c>
      <c r="P49" s="435">
        <f t="shared" si="25"/>
        <v>0</v>
      </c>
      <c r="Q49" s="436">
        <f t="shared" si="25"/>
        <v>8.7801202225305658E-2</v>
      </c>
      <c r="R49" s="436">
        <f t="shared" si="25"/>
        <v>0</v>
      </c>
      <c r="S49" s="436">
        <f t="shared" si="25"/>
        <v>0</v>
      </c>
      <c r="T49" s="436">
        <f t="shared" si="25"/>
        <v>3.6990181091585597E-2</v>
      </c>
      <c r="U49" s="436">
        <f t="shared" si="25"/>
        <v>5.0800925560278022E-2</v>
      </c>
      <c r="V49" s="436">
        <f t="shared" si="25"/>
        <v>0</v>
      </c>
      <c r="W49" s="436">
        <f t="shared" si="25"/>
        <v>0</v>
      </c>
      <c r="X49" s="436">
        <f t="shared" si="25"/>
        <v>0</v>
      </c>
      <c r="Y49" s="436">
        <f t="shared" si="10"/>
        <v>3.2805677744000978</v>
      </c>
      <c r="Z49" s="437">
        <f t="shared" si="11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1171</v>
      </c>
      <c r="J50" s="433" t="s">
        <v>1176</v>
      </c>
      <c r="K50" s="431">
        <v>21</v>
      </c>
      <c r="L50" s="434"/>
      <c r="M50" s="434" t="str">
        <f>+'5. ANH'!J28</f>
        <v>Medium Oil</v>
      </c>
      <c r="N50" s="435">
        <f t="shared" ref="N50:X50" si="26">+N20*365*$D$7/1000</f>
        <v>1.8634611370761611</v>
      </c>
      <c r="O50" s="435">
        <f t="shared" si="26"/>
        <v>0.96320856653031961</v>
      </c>
      <c r="P50" s="435">
        <f t="shared" si="26"/>
        <v>0.90025257054584151</v>
      </c>
      <c r="Q50" s="436">
        <f t="shared" si="26"/>
        <v>1.8635217105168129</v>
      </c>
      <c r="R50" s="436">
        <f t="shared" si="26"/>
        <v>0</v>
      </c>
      <c r="S50" s="436">
        <f t="shared" si="26"/>
        <v>0</v>
      </c>
      <c r="T50" s="436">
        <f t="shared" si="26"/>
        <v>0.8853716952922942</v>
      </c>
      <c r="U50" s="436">
        <f t="shared" si="26"/>
        <v>7.7836871238025379E-2</v>
      </c>
      <c r="V50" s="436">
        <f t="shared" si="26"/>
        <v>0</v>
      </c>
      <c r="W50" s="436">
        <f t="shared" si="26"/>
        <v>0</v>
      </c>
      <c r="X50" s="436">
        <f t="shared" si="26"/>
        <v>0.90025257054584151</v>
      </c>
      <c r="Y50" s="436">
        <f t="shared" si="10"/>
        <v>39.659458817161386</v>
      </c>
      <c r="Z50" s="437">
        <f t="shared" si="11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1171</v>
      </c>
      <c r="J51" s="433" t="s">
        <v>1178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7">+N21*365*$D$7/1000</f>
        <v>2.497140090885289</v>
      </c>
      <c r="O51" s="435">
        <f t="shared" si="27"/>
        <v>1.1205177919039784</v>
      </c>
      <c r="P51" s="435">
        <f t="shared" si="27"/>
        <v>1.3766222989813104</v>
      </c>
      <c r="Q51" s="436">
        <f t="shared" si="27"/>
        <v>2.497140090885289</v>
      </c>
      <c r="R51" s="436">
        <f t="shared" si="27"/>
        <v>0</v>
      </c>
      <c r="S51" s="436">
        <f t="shared" si="27"/>
        <v>0</v>
      </c>
      <c r="T51" s="436">
        <f t="shared" si="27"/>
        <v>0.51468242964795996</v>
      </c>
      <c r="U51" s="436">
        <f t="shared" si="27"/>
        <v>0.60583536225601842</v>
      </c>
      <c r="V51" s="436">
        <f t="shared" si="27"/>
        <v>1.3766222989813104</v>
      </c>
      <c r="W51" s="436">
        <f t="shared" si="27"/>
        <v>0</v>
      </c>
      <c r="X51" s="436">
        <f t="shared" si="27"/>
        <v>0</v>
      </c>
      <c r="Y51" s="436">
        <f t="shared" si="10"/>
        <v>94.059349180277351</v>
      </c>
      <c r="Z51" s="437">
        <f t="shared" si="11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1180</v>
      </c>
      <c r="J52" s="433" t="s">
        <v>1181</v>
      </c>
      <c r="K52" s="431">
        <v>23</v>
      </c>
      <c r="L52" s="434"/>
      <c r="M52" s="434" t="str">
        <f>+'5. ANH'!J30</f>
        <v>Medium Oil</v>
      </c>
      <c r="N52" s="435">
        <f t="shared" ref="N52:X52" si="28">+N22*365*$D$7/1000</f>
        <v>0.71025387836690013</v>
      </c>
      <c r="O52" s="435">
        <f t="shared" si="28"/>
        <v>0.12213624750163826</v>
      </c>
      <c r="P52" s="435">
        <f t="shared" si="28"/>
        <v>0.38201649904628793</v>
      </c>
      <c r="Q52" s="436">
        <f t="shared" si="28"/>
        <v>0.71027406951378402</v>
      </c>
      <c r="R52" s="436">
        <f t="shared" si="28"/>
        <v>0</v>
      </c>
      <c r="S52" s="436">
        <f t="shared" si="28"/>
        <v>0</v>
      </c>
      <c r="T52" s="436">
        <f t="shared" si="28"/>
        <v>3.8100694170208539E-2</v>
      </c>
      <c r="U52" s="436">
        <f t="shared" si="28"/>
        <v>8.403555333142973E-2</v>
      </c>
      <c r="V52" s="436">
        <f t="shared" si="28"/>
        <v>0.58683549303812432</v>
      </c>
      <c r="W52" s="436">
        <f t="shared" si="28"/>
        <v>0.2061011318189738</v>
      </c>
      <c r="X52" s="436">
        <f t="shared" si="28"/>
        <v>1.2821378271373829E-3</v>
      </c>
      <c r="Y52" s="436">
        <f t="shared" si="10"/>
        <v>10.408512554584734</v>
      </c>
      <c r="Z52" s="437">
        <f t="shared" si="11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1180</v>
      </c>
      <c r="J53" s="433" t="s">
        <v>1183</v>
      </c>
      <c r="K53" s="431">
        <v>25.5</v>
      </c>
      <c r="L53" s="434"/>
      <c r="M53" s="434" t="str">
        <f>+'5. ANH'!J31</f>
        <v>Medium Oil</v>
      </c>
      <c r="N53" s="435">
        <f t="shared" ref="N53:X53" si="29">+N23*365*$D$7/1000</f>
        <v>0.31949461271981699</v>
      </c>
      <c r="O53" s="435">
        <f t="shared" si="29"/>
        <v>0.31949461271981699</v>
      </c>
      <c r="P53" s="435">
        <f t="shared" si="29"/>
        <v>0</v>
      </c>
      <c r="Q53" s="436">
        <f t="shared" si="29"/>
        <v>0.31951480386670106</v>
      </c>
      <c r="R53" s="436">
        <f t="shared" si="29"/>
        <v>0</v>
      </c>
      <c r="S53" s="436">
        <f t="shared" si="29"/>
        <v>0</v>
      </c>
      <c r="T53" s="436">
        <f t="shared" si="29"/>
        <v>0.16765718815173636</v>
      </c>
      <c r="U53" s="436">
        <f t="shared" si="29"/>
        <v>0.15183742456808058</v>
      </c>
      <c r="V53" s="436">
        <f t="shared" si="29"/>
        <v>0</v>
      </c>
      <c r="W53" s="436">
        <f t="shared" si="29"/>
        <v>0</v>
      </c>
      <c r="X53" s="436">
        <f t="shared" si="29"/>
        <v>0</v>
      </c>
      <c r="Y53" s="436">
        <f t="shared" si="10"/>
        <v>9.2296903712167389</v>
      </c>
      <c r="Z53" s="437">
        <f t="shared" si="11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1180</v>
      </c>
      <c r="J54" s="438" t="s">
        <v>1185</v>
      </c>
      <c r="K54" s="431">
        <v>21</v>
      </c>
      <c r="L54" s="434"/>
      <c r="M54" s="434" t="str">
        <f>+'5. ANH'!J32</f>
        <v>Medium Oil</v>
      </c>
      <c r="N54" s="435">
        <f t="shared" ref="N54:X54" si="30">+N24*365*$D$7/1000</f>
        <v>0.43874352621703561</v>
      </c>
      <c r="O54" s="435">
        <f t="shared" si="30"/>
        <v>5.7140945681870784E-3</v>
      </c>
      <c r="P54" s="435">
        <f t="shared" si="30"/>
        <v>0.23786180586758957</v>
      </c>
      <c r="Q54" s="436">
        <f t="shared" si="30"/>
        <v>0.4388141952311298</v>
      </c>
      <c r="R54" s="436">
        <f t="shared" si="30"/>
        <v>0</v>
      </c>
      <c r="S54" s="436">
        <f t="shared" si="30"/>
        <v>0</v>
      </c>
      <c r="T54" s="436">
        <f t="shared" si="30"/>
        <v>0</v>
      </c>
      <c r="U54" s="436">
        <f t="shared" si="30"/>
        <v>5.7140945681870784E-3</v>
      </c>
      <c r="V54" s="436">
        <f t="shared" si="30"/>
        <v>0.4330294316488485</v>
      </c>
      <c r="W54" s="436">
        <f t="shared" si="30"/>
        <v>0.19516762578125896</v>
      </c>
      <c r="X54" s="436">
        <f t="shared" si="30"/>
        <v>0</v>
      </c>
      <c r="Y54" s="436">
        <f t="shared" si="10"/>
        <v>8.7564836170076354</v>
      </c>
      <c r="Z54" s="437">
        <f t="shared" si="11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1188</v>
      </c>
      <c r="J55" s="440" t="s">
        <v>1189</v>
      </c>
      <c r="K55" s="431" t="s">
        <v>1023</v>
      </c>
      <c r="L55" s="434" t="s">
        <v>7</v>
      </c>
      <c r="M55" s="434" t="s">
        <v>1320</v>
      </c>
      <c r="N55" s="435">
        <f t="shared" ref="N55:X55" si="31">+N25*365*$D$7/1000</f>
        <v>1.0840525806313783</v>
      </c>
      <c r="O55" s="435">
        <f t="shared" si="31"/>
        <v>0</v>
      </c>
      <c r="P55" s="435">
        <f t="shared" si="31"/>
        <v>1.0840525806313783</v>
      </c>
      <c r="Q55" s="436">
        <f t="shared" si="31"/>
        <v>1.0840525806313783</v>
      </c>
      <c r="R55" s="436">
        <f t="shared" si="31"/>
        <v>0</v>
      </c>
      <c r="S55" s="436">
        <f t="shared" si="31"/>
        <v>0</v>
      </c>
      <c r="T55" s="436">
        <f t="shared" si="31"/>
        <v>0</v>
      </c>
      <c r="U55" s="436">
        <f t="shared" si="31"/>
        <v>0</v>
      </c>
      <c r="V55" s="436">
        <f t="shared" si="31"/>
        <v>0</v>
      </c>
      <c r="W55" s="436">
        <f t="shared" si="31"/>
        <v>0</v>
      </c>
      <c r="X55" s="436">
        <f t="shared" si="31"/>
        <v>1.0840525806313783</v>
      </c>
      <c r="Y55" s="436">
        <f t="shared" si="10"/>
        <v>0</v>
      </c>
      <c r="Z55" s="437">
        <f t="shared" si="11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1188</v>
      </c>
      <c r="J56" s="440" t="s">
        <v>1192</v>
      </c>
      <c r="K56" s="431" t="s">
        <v>1023</v>
      </c>
      <c r="L56" s="434" t="s">
        <v>7</v>
      </c>
      <c r="M56" s="434" t="s">
        <v>1320</v>
      </c>
      <c r="N56" s="435">
        <f t="shared" ref="N56:X56" si="32">+N26*365*$D$7/1000</f>
        <v>2.2925734862295029</v>
      </c>
      <c r="O56" s="435">
        <f t="shared" si="32"/>
        <v>4.8539517109264067E-2</v>
      </c>
      <c r="P56" s="435">
        <f t="shared" si="32"/>
        <v>2.2440339691202391</v>
      </c>
      <c r="Q56" s="436">
        <f t="shared" si="32"/>
        <v>2.292583581802945</v>
      </c>
      <c r="R56" s="436">
        <f t="shared" si="32"/>
        <v>0</v>
      </c>
      <c r="S56" s="436">
        <f t="shared" si="32"/>
        <v>0</v>
      </c>
      <c r="T56" s="436">
        <f t="shared" si="32"/>
        <v>4.2906187128613207E-3</v>
      </c>
      <c r="U56" s="436">
        <f t="shared" si="32"/>
        <v>4.4248898396402753E-2</v>
      </c>
      <c r="V56" s="436">
        <f t="shared" si="32"/>
        <v>0</v>
      </c>
      <c r="W56" s="436">
        <f t="shared" si="32"/>
        <v>0</v>
      </c>
      <c r="X56" s="436">
        <f t="shared" si="32"/>
        <v>2.2440339691202391</v>
      </c>
      <c r="Y56" s="537">
        <f t="shared" si="10"/>
        <v>1.3579511620070052E-2</v>
      </c>
      <c r="Z56" s="437">
        <f t="shared" si="11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1188</v>
      </c>
      <c r="J57" s="440" t="s">
        <v>1193</v>
      </c>
      <c r="K57" s="431" t="s">
        <v>1023</v>
      </c>
      <c r="L57" s="434" t="s">
        <v>7</v>
      </c>
      <c r="M57" s="434" t="s">
        <v>1320</v>
      </c>
      <c r="N57" s="435">
        <f t="shared" ref="N57:X57" si="33">+N27*365*$D$7/1000</f>
        <v>10.354312893772342</v>
      </c>
      <c r="O57" s="435">
        <f t="shared" si="33"/>
        <v>0.21674186622686989</v>
      </c>
      <c r="P57" s="435">
        <f t="shared" si="33"/>
        <v>10.137571027545471</v>
      </c>
      <c r="Q57" s="436">
        <f t="shared" si="33"/>
        <v>10.35427251147857</v>
      </c>
      <c r="R57" s="436">
        <f t="shared" si="33"/>
        <v>0</v>
      </c>
      <c r="S57" s="436">
        <f t="shared" si="33"/>
        <v>0</v>
      </c>
      <c r="T57" s="436">
        <f t="shared" si="33"/>
        <v>1.8616237427097122E-2</v>
      </c>
      <c r="U57" s="436">
        <f t="shared" si="33"/>
        <v>0.19812562879977277</v>
      </c>
      <c r="V57" s="436">
        <f t="shared" si="33"/>
        <v>0</v>
      </c>
      <c r="W57" s="436">
        <f t="shared" si="33"/>
        <v>0</v>
      </c>
      <c r="X57" s="436">
        <f t="shared" si="33"/>
        <v>10.137571027545471</v>
      </c>
      <c r="Y57" s="537">
        <f t="shared" si="10"/>
        <v>6.1343436802343387E-2</v>
      </c>
      <c r="Z57" s="437">
        <f t="shared" si="11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1334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975" t="s">
        <v>1335</v>
      </c>
      <c r="S64" s="919"/>
      <c r="T64" s="919"/>
      <c r="U64" s="919"/>
      <c r="V64" s="920"/>
      <c r="W64" s="977" t="s">
        <v>1336</v>
      </c>
      <c r="X64" s="919"/>
      <c r="Y64" s="919"/>
      <c r="Z64" s="920"/>
      <c r="AA64" s="541" t="s">
        <v>1337</v>
      </c>
      <c r="AB64" s="12" t="s">
        <v>1338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4">Y33</f>
        <v>PJ</v>
      </c>
      <c r="O65" s="14" t="str">
        <f t="shared" si="34"/>
        <v>PJ</v>
      </c>
      <c r="P65" s="542" t="s">
        <v>1339</v>
      </c>
      <c r="Q65" s="542" t="s">
        <v>59</v>
      </c>
      <c r="R65" s="543" t="str">
        <f t="shared" ref="R65:V65" si="35">T33</f>
        <v>PJ</v>
      </c>
      <c r="S65" s="543" t="str">
        <f t="shared" si="35"/>
        <v>PJ</v>
      </c>
      <c r="T65" s="543" t="str">
        <f t="shared" si="35"/>
        <v>PJ</v>
      </c>
      <c r="U65" s="543" t="str">
        <f t="shared" si="35"/>
        <v>PJ</v>
      </c>
      <c r="V65" s="543" t="str">
        <f t="shared" si="35"/>
        <v>PJ</v>
      </c>
      <c r="W65" s="544" t="s">
        <v>1339</v>
      </c>
      <c r="X65" s="544" t="s">
        <v>1339</v>
      </c>
      <c r="Y65" s="544" t="s">
        <v>1339</v>
      </c>
      <c r="Z65" s="544" t="s">
        <v>1339</v>
      </c>
      <c r="AA65" s="263" t="s">
        <v>1339</v>
      </c>
      <c r="AB65" s="439" t="s">
        <v>59</v>
      </c>
      <c r="AC65" s="439" t="s">
        <v>1340</v>
      </c>
      <c r="AD65" s="542" t="s">
        <v>59</v>
      </c>
      <c r="AE65" s="542" t="s">
        <v>1340</v>
      </c>
      <c r="AF65" s="542" t="s">
        <v>59</v>
      </c>
      <c r="AG65" s="542" t="s">
        <v>1340</v>
      </c>
      <c r="AH65" s="14" t="s">
        <v>59</v>
      </c>
      <c r="AI65" s="976" t="s">
        <v>1341</v>
      </c>
      <c r="AJ65" s="955"/>
      <c r="AK65" s="955"/>
      <c r="AL65" s="955"/>
      <c r="AM65" s="955"/>
      <c r="AN65" s="955"/>
      <c r="AO65" s="955"/>
      <c r="AP65" s="955"/>
      <c r="AQ65" s="955"/>
      <c r="AR65" s="955"/>
      <c r="AS65" s="955"/>
      <c r="AT65" s="955"/>
      <c r="AU65" s="955"/>
      <c r="AV65" s="945"/>
      <c r="AW65" s="976" t="s">
        <v>1342</v>
      </c>
      <c r="AX65" s="955"/>
      <c r="AY65" s="955"/>
      <c r="AZ65" s="955"/>
      <c r="BA65" s="955"/>
      <c r="BB65" s="955"/>
      <c r="BC65" s="955"/>
      <c r="BD65" s="955"/>
      <c r="BE65" s="955"/>
      <c r="BF65" s="955"/>
      <c r="BG65" s="955"/>
      <c r="BH65" s="955"/>
      <c r="BI65" s="955"/>
      <c r="BJ65" s="945"/>
      <c r="BK65" s="976" t="s">
        <v>1343</v>
      </c>
      <c r="BL65" s="955"/>
      <c r="BM65" s="955"/>
      <c r="BN65" s="955"/>
      <c r="BO65" s="955"/>
      <c r="BP65" s="955"/>
      <c r="BQ65" s="955"/>
      <c r="BR65" s="955"/>
      <c r="BS65" s="955"/>
      <c r="BT65" s="955"/>
      <c r="BU65" s="955"/>
      <c r="BV65" s="955"/>
      <c r="BW65" s="955"/>
      <c r="BX65" s="945"/>
      <c r="BY65" s="545"/>
      <c r="BZ65" s="545"/>
      <c r="CA65" s="545"/>
      <c r="CB65" s="546" t="s">
        <v>1341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1342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1343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1126</v>
      </c>
      <c r="J66" s="428" t="s">
        <v>1127</v>
      </c>
      <c r="K66" s="428" t="s">
        <v>1128</v>
      </c>
      <c r="L66" s="429"/>
      <c r="M66" s="428" t="str">
        <f t="shared" ref="M66:M86" si="36">M34</f>
        <v>Type of Oil producing</v>
      </c>
      <c r="N66" s="428" t="s">
        <v>1344</v>
      </c>
      <c r="O66" s="428" t="s">
        <v>1345</v>
      </c>
      <c r="P66" s="549" t="s">
        <v>1346</v>
      </c>
      <c r="Q66" s="549" t="s">
        <v>1347</v>
      </c>
      <c r="R66" s="430" t="s">
        <v>1348</v>
      </c>
      <c r="S66" s="430" t="s">
        <v>1349</v>
      </c>
      <c r="T66" s="430" t="s">
        <v>1350</v>
      </c>
      <c r="U66" s="430" t="s">
        <v>1351</v>
      </c>
      <c r="V66" s="430" t="s">
        <v>1352</v>
      </c>
      <c r="W66" s="550" t="s">
        <v>1353</v>
      </c>
      <c r="X66" s="550" t="s">
        <v>1354</v>
      </c>
      <c r="Y66" s="550" t="s">
        <v>1355</v>
      </c>
      <c r="Z66" s="550" t="s">
        <v>1356</v>
      </c>
      <c r="AA66" s="551" t="s">
        <v>1357</v>
      </c>
      <c r="AB66" s="552" t="s">
        <v>1358</v>
      </c>
      <c r="AC66" s="552" t="s">
        <v>1359</v>
      </c>
      <c r="AD66" s="549" t="s">
        <v>1360</v>
      </c>
      <c r="AE66" s="549" t="s">
        <v>1361</v>
      </c>
      <c r="AF66" s="549" t="s">
        <v>1362</v>
      </c>
      <c r="AG66" s="549" t="s">
        <v>1363</v>
      </c>
      <c r="AH66" s="553" t="s">
        <v>1364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1146</v>
      </c>
      <c r="J67" s="433" t="s">
        <v>1147</v>
      </c>
      <c r="K67" s="431" t="s">
        <v>1023</v>
      </c>
      <c r="L67" s="434" t="s">
        <v>7</v>
      </c>
      <c r="M67" s="434" t="str">
        <f t="shared" si="36"/>
        <v>Doesn't Apply</v>
      </c>
      <c r="N67" s="436">
        <f t="shared" ref="N67:O67" si="37">Y35</f>
        <v>0</v>
      </c>
      <c r="O67" s="556">
        <f t="shared" si="37"/>
        <v>60.04622961587031</v>
      </c>
      <c r="P67" s="557">
        <f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1365</v>
      </c>
      <c r="DJ67" s="573" t="s">
        <v>1365</v>
      </c>
      <c r="DK67" s="573" t="s">
        <v>1365</v>
      </c>
      <c r="DL67" s="573" t="s">
        <v>1365</v>
      </c>
      <c r="DM67" s="573" t="s">
        <v>1365</v>
      </c>
      <c r="DN67" s="573" t="s">
        <v>1365</v>
      </c>
      <c r="DO67" s="573" t="s">
        <v>1365</v>
      </c>
      <c r="DP67" s="573" t="s">
        <v>1365</v>
      </c>
      <c r="DQ67" s="574" t="s">
        <v>1365</v>
      </c>
    </row>
    <row r="68" spans="1:121" ht="15.75" customHeight="1" x14ac:dyDescent="0.25">
      <c r="I68" s="432" t="s">
        <v>1146</v>
      </c>
      <c r="J68" s="433" t="s">
        <v>1148</v>
      </c>
      <c r="K68" s="431" t="s">
        <v>1023</v>
      </c>
      <c r="L68" s="434" t="s">
        <v>7</v>
      </c>
      <c r="M68" s="434" t="str">
        <f t="shared" si="36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ref="P68:P89" si="52">+O68/(N68+O68)</f>
        <v>1</v>
      </c>
      <c r="Q68" s="558">
        <f t="shared" si="38"/>
        <v>8.486450086675454</v>
      </c>
      <c r="R68" s="435">
        <f t="shared" ref="R68:V68" si="53">T36</f>
        <v>4.3098003024011712E-2</v>
      </c>
      <c r="S68" s="435">
        <f t="shared" si="53"/>
        <v>9.9542354138382663E-3</v>
      </c>
      <c r="T68" s="435">
        <f t="shared" si="53"/>
        <v>0.72254019124584645</v>
      </c>
      <c r="U68" s="435">
        <f t="shared" si="53"/>
        <v>0</v>
      </c>
      <c r="V68" s="435">
        <f t="shared" si="53"/>
        <v>7.7639098954296077</v>
      </c>
      <c r="W68" s="559">
        <f t="shared" ref="W68:Y68" si="54">+IF($O68=0,"-",R68/$O68)</f>
        <v>5.046898681351419E-3</v>
      </c>
      <c r="X68" s="559">
        <f t="shared" si="54"/>
        <v>1.1656692667632936E-3</v>
      </c>
      <c r="Y68" s="559">
        <f t="shared" si="54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5">+IF(AI68="","",AI68*$AH68)</f>
        <v>8.539502325113304</v>
      </c>
      <c r="AX68" s="570">
        <f t="shared" si="55"/>
        <v>6.1215702962567402</v>
      </c>
      <c r="AY68" s="570">
        <f t="shared" si="55"/>
        <v>9.1861642860328487</v>
      </c>
      <c r="AZ68" s="570">
        <f t="shared" si="55"/>
        <v>6.5979294250014515</v>
      </c>
      <c r="BA68" s="570">
        <f t="shared" si="55"/>
        <v>5.7975648334218421</v>
      </c>
      <c r="BB68" s="570">
        <f t="shared" si="55"/>
        <v>5.2673740760556509</v>
      </c>
      <c r="BC68" s="570">
        <f t="shared" si="55"/>
        <v>3.6668988156729534</v>
      </c>
      <c r="BD68" s="570">
        <f t="shared" si="55"/>
        <v>2.86729599242289</v>
      </c>
      <c r="BE68" s="570">
        <f t="shared" si="55"/>
        <v>2.3371052350566992</v>
      </c>
      <c r="BF68" s="570">
        <f t="shared" si="55"/>
        <v>1.5418190990073675</v>
      </c>
      <c r="BG68" s="570">
        <f t="shared" si="55"/>
        <v>0.74653296295810601</v>
      </c>
      <c r="BH68" s="570">
        <f t="shared" si="55"/>
        <v>0.21634220559186546</v>
      </c>
      <c r="BI68" s="570">
        <f t="shared" si="55"/>
        <v>0</v>
      </c>
      <c r="BJ68" s="571">
        <f t="shared" si="55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6">+IF(CB68="","",CB68*$AH68)</f>
        <v/>
      </c>
      <c r="CQ68" s="570" t="str">
        <f t="shared" si="56"/>
        <v/>
      </c>
      <c r="CR68" s="570" t="str">
        <f t="shared" si="56"/>
        <v/>
      </c>
      <c r="CS68" s="570" t="str">
        <f t="shared" si="56"/>
        <v/>
      </c>
      <c r="CT68" s="570" t="str">
        <f t="shared" si="56"/>
        <v/>
      </c>
      <c r="CU68" s="570" t="str">
        <f t="shared" si="56"/>
        <v/>
      </c>
      <c r="CV68" s="570" t="str">
        <f t="shared" si="56"/>
        <v/>
      </c>
      <c r="CW68" s="570" t="str">
        <f t="shared" si="56"/>
        <v/>
      </c>
      <c r="CX68" s="570" t="str">
        <f t="shared" si="56"/>
        <v/>
      </c>
      <c r="CY68" s="570" t="str">
        <f t="shared" si="56"/>
        <v/>
      </c>
      <c r="CZ68" s="570" t="str">
        <f t="shared" si="56"/>
        <v/>
      </c>
      <c r="DA68" s="570" t="str">
        <f t="shared" si="56"/>
        <v/>
      </c>
      <c r="DB68" s="570" t="str">
        <f t="shared" si="56"/>
        <v/>
      </c>
      <c r="DC68" s="571" t="str">
        <f t="shared" si="56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1365</v>
      </c>
      <c r="DN68" s="573" t="s">
        <v>1365</v>
      </c>
      <c r="DO68" s="573" t="s">
        <v>1365</v>
      </c>
      <c r="DP68" s="573" t="s">
        <v>1365</v>
      </c>
      <c r="DQ68" s="574" t="s">
        <v>1365</v>
      </c>
    </row>
    <row r="69" spans="1:121" ht="15.75" customHeight="1" x14ac:dyDescent="0.25">
      <c r="I69" s="432" t="s">
        <v>1150</v>
      </c>
      <c r="J69" s="433" t="s">
        <v>1151</v>
      </c>
      <c r="K69" s="431" t="s">
        <v>1023</v>
      </c>
      <c r="L69" s="434" t="s">
        <v>7</v>
      </c>
      <c r="M69" s="434" t="str">
        <f t="shared" si="36"/>
        <v>Doesn't Apply</v>
      </c>
      <c r="N69" s="436">
        <f t="shared" ref="N69:O69" si="57">Y37</f>
        <v>0</v>
      </c>
      <c r="O69" s="556">
        <f t="shared" si="57"/>
        <v>13.106881088314344</v>
      </c>
      <c r="P69" s="557">
        <f t="shared" si="52"/>
        <v>1</v>
      </c>
      <c r="Q69" s="558">
        <f t="shared" si="38"/>
        <v>11.790499076061606</v>
      </c>
      <c r="R69" s="435">
        <f t="shared" ref="R69:V69" si="58">T37</f>
        <v>0</v>
      </c>
      <c r="S69" s="435">
        <f t="shared" si="58"/>
        <v>0</v>
      </c>
      <c r="T69" s="435">
        <f t="shared" si="58"/>
        <v>13.106881088314344</v>
      </c>
      <c r="U69" s="435">
        <f t="shared" si="58"/>
        <v>1.3163820122527377</v>
      </c>
      <c r="V69" s="435">
        <f t="shared" si="58"/>
        <v>0</v>
      </c>
      <c r="W69" s="559">
        <f t="shared" ref="W69:Y69" si="59">+IF($O69=0,"-",R69/$O69)</f>
        <v>0</v>
      </c>
      <c r="X69" s="559">
        <f t="shared" si="59"/>
        <v>0</v>
      </c>
      <c r="Y69" s="559">
        <f t="shared" si="59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60">+IF(AI69="","",AI69*$AH69)</f>
        <v>13.106881088314344</v>
      </c>
      <c r="AX69" s="570">
        <f t="shared" si="60"/>
        <v>12.559113345881718</v>
      </c>
      <c r="AY69" s="570">
        <f t="shared" si="60"/>
        <v>3.9984115958317328</v>
      </c>
      <c r="AZ69" s="570">
        <f t="shared" si="60"/>
        <v>2.1529908592940092</v>
      </c>
      <c r="BA69" s="570">
        <f t="shared" si="60"/>
        <v>1.0764954296470057</v>
      </c>
      <c r="BB69" s="570">
        <f t="shared" si="60"/>
        <v>0</v>
      </c>
      <c r="BC69" s="570">
        <f t="shared" si="60"/>
        <v>0</v>
      </c>
      <c r="BD69" s="570">
        <f t="shared" si="60"/>
        <v>0</v>
      </c>
      <c r="BE69" s="570">
        <f t="shared" si="60"/>
        <v>0</v>
      </c>
      <c r="BF69" s="570">
        <f t="shared" si="60"/>
        <v>0</v>
      </c>
      <c r="BG69" s="570">
        <f t="shared" si="60"/>
        <v>0</v>
      </c>
      <c r="BH69" s="570">
        <f t="shared" si="60"/>
        <v>0</v>
      </c>
      <c r="BI69" s="570">
        <f t="shared" si="60"/>
        <v>0</v>
      </c>
      <c r="BJ69" s="571">
        <f t="shared" si="60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1">+IF(CB69="","",CB69*$AH69)</f>
        <v/>
      </c>
      <c r="CQ69" s="570" t="str">
        <f t="shared" si="61"/>
        <v/>
      </c>
      <c r="CR69" s="570" t="str">
        <f t="shared" si="61"/>
        <v/>
      </c>
      <c r="CS69" s="570" t="str">
        <f t="shared" si="61"/>
        <v/>
      </c>
      <c r="CT69" s="570" t="str">
        <f t="shared" si="61"/>
        <v/>
      </c>
      <c r="CU69" s="570" t="str">
        <f t="shared" si="61"/>
        <v/>
      </c>
      <c r="CV69" s="570" t="str">
        <f t="shared" si="61"/>
        <v/>
      </c>
      <c r="CW69" s="570" t="str">
        <f t="shared" si="61"/>
        <v/>
      </c>
      <c r="CX69" s="570" t="str">
        <f t="shared" si="61"/>
        <v/>
      </c>
      <c r="CY69" s="570" t="str">
        <f t="shared" si="61"/>
        <v/>
      </c>
      <c r="CZ69" s="570" t="str">
        <f t="shared" si="61"/>
        <v/>
      </c>
      <c r="DA69" s="570" t="str">
        <f t="shared" si="61"/>
        <v/>
      </c>
      <c r="DB69" s="570" t="str">
        <f t="shared" si="61"/>
        <v/>
      </c>
      <c r="DC69" s="571" t="str">
        <f t="shared" si="61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1365</v>
      </c>
      <c r="DJ69" s="573" t="s">
        <v>1365</v>
      </c>
      <c r="DK69" s="573" t="s">
        <v>1365</v>
      </c>
      <c r="DL69" s="573" t="s">
        <v>1365</v>
      </c>
      <c r="DM69" s="573" t="s">
        <v>1365</v>
      </c>
      <c r="DN69" s="573" t="s">
        <v>1365</v>
      </c>
      <c r="DO69" s="573" t="s">
        <v>1365</v>
      </c>
      <c r="DP69" s="573" t="s">
        <v>1365</v>
      </c>
      <c r="DQ69" s="574" t="s">
        <v>1365</v>
      </c>
    </row>
    <row r="70" spans="1:121" ht="15.75" customHeight="1" x14ac:dyDescent="0.25">
      <c r="I70" s="431" t="s">
        <v>1150</v>
      </c>
      <c r="J70" s="434" t="s">
        <v>1153</v>
      </c>
      <c r="K70" s="431">
        <v>48</v>
      </c>
      <c r="L70" s="434"/>
      <c r="M70" s="434" t="str">
        <f t="shared" si="36"/>
        <v>Light Oil</v>
      </c>
      <c r="N70" s="575">
        <f t="shared" ref="N70:O70" si="62">Y38</f>
        <v>22.733323234776581</v>
      </c>
      <c r="O70" s="576">
        <f t="shared" si="62"/>
        <v>93.265320299494704</v>
      </c>
      <c r="P70" s="577">
        <f t="shared" si="52"/>
        <v>0.80402078384597564</v>
      </c>
      <c r="Q70" s="578">
        <f t="shared" si="38"/>
        <v>75.291444019366892</v>
      </c>
      <c r="R70" s="579">
        <f t="shared" ref="R70:V70" si="63">T38</f>
        <v>14.103990590462988</v>
      </c>
      <c r="S70" s="579">
        <f t="shared" si="63"/>
        <v>0.82481844578701846</v>
      </c>
      <c r="T70" s="579">
        <f t="shared" si="63"/>
        <v>6.0840367613967006</v>
      </c>
      <c r="U70" s="579">
        <f t="shared" si="63"/>
        <v>3.0450672438778423</v>
      </c>
      <c r="V70" s="579">
        <f t="shared" si="63"/>
        <v>72.252474501848027</v>
      </c>
      <c r="W70" s="580">
        <f t="shared" ref="W70:Y70" si="64">+IF($O70=0,"-",R70/$O70)</f>
        <v>0.15122438378136788</v>
      </c>
      <c r="X70" s="580">
        <f t="shared" si="64"/>
        <v>8.8437850547057762E-3</v>
      </c>
      <c r="Y70" s="580">
        <f t="shared" si="64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5">+IF(AI70="","",AI70*$AH70)</f>
        <v>115.99864353427128</v>
      </c>
      <c r="AX70" s="570">
        <f t="shared" si="65"/>
        <v>132.94121098469506</v>
      </c>
      <c r="AY70" s="570">
        <f t="shared" si="65"/>
        <v>119.10468340735252</v>
      </c>
      <c r="AZ70" s="570">
        <f t="shared" si="65"/>
        <v>92.378134685449467</v>
      </c>
      <c r="BA70" s="570">
        <f t="shared" si="65"/>
        <v>77.394243457523118</v>
      </c>
      <c r="BB70" s="570">
        <f t="shared" si="65"/>
        <v>54.918406615633529</v>
      </c>
      <c r="BC70" s="570">
        <f t="shared" si="65"/>
        <v>40.979716270495516</v>
      </c>
      <c r="BD70" s="570">
        <f t="shared" si="65"/>
        <v>31.687256040403504</v>
      </c>
      <c r="BE70" s="570">
        <f t="shared" si="65"/>
        <v>23.496332591475504</v>
      </c>
      <c r="BF70" s="570">
        <f t="shared" si="65"/>
        <v>11.902086442499098</v>
      </c>
      <c r="BG70" s="570">
        <f t="shared" si="65"/>
        <v>9.595573256011189</v>
      </c>
      <c r="BH70" s="570">
        <f t="shared" si="65"/>
        <v>8.0578977983525846</v>
      </c>
      <c r="BI70" s="570">
        <f t="shared" si="65"/>
        <v>7.2206857158341826</v>
      </c>
      <c r="BJ70" s="571">
        <f t="shared" si="65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6">+IF(CB70="","",CB70*$AH70)</f>
        <v/>
      </c>
      <c r="CQ70" s="570" t="str">
        <f t="shared" si="66"/>
        <v/>
      </c>
      <c r="CR70" s="570" t="str">
        <f t="shared" si="66"/>
        <v/>
      </c>
      <c r="CS70" s="570" t="str">
        <f t="shared" si="66"/>
        <v/>
      </c>
      <c r="CT70" s="570" t="str">
        <f t="shared" si="66"/>
        <v/>
      </c>
      <c r="CU70" s="570" t="str">
        <f t="shared" si="66"/>
        <v/>
      </c>
      <c r="CV70" s="570" t="str">
        <f t="shared" si="66"/>
        <v/>
      </c>
      <c r="CW70" s="570" t="str">
        <f t="shared" si="66"/>
        <v/>
      </c>
      <c r="CX70" s="570" t="str">
        <f t="shared" si="66"/>
        <v/>
      </c>
      <c r="CY70" s="570" t="str">
        <f t="shared" si="66"/>
        <v/>
      </c>
      <c r="CZ70" s="570" t="str">
        <f t="shared" si="66"/>
        <v/>
      </c>
      <c r="DA70" s="570" t="str">
        <f t="shared" si="66"/>
        <v/>
      </c>
      <c r="DB70" s="570" t="str">
        <f t="shared" si="66"/>
        <v/>
      </c>
      <c r="DC70" s="571" t="str">
        <f t="shared" si="66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1150</v>
      </c>
      <c r="J71" s="434" t="s">
        <v>1155</v>
      </c>
      <c r="K71" s="431">
        <v>52</v>
      </c>
      <c r="L71" s="434"/>
      <c r="M71" s="434" t="str">
        <f t="shared" si="36"/>
        <v>Light Oil</v>
      </c>
      <c r="N71" s="575">
        <f t="shared" ref="N71:O71" si="67">Y39</f>
        <v>7.0712088472532377</v>
      </c>
      <c r="O71" s="576">
        <f t="shared" si="67"/>
        <v>83.600151440022017</v>
      </c>
      <c r="P71" s="577">
        <f t="shared" si="52"/>
        <v>0.92201276318289005</v>
      </c>
      <c r="Q71" s="578">
        <f t="shared" si="38"/>
        <v>60.807849771910234</v>
      </c>
      <c r="R71" s="579">
        <f t="shared" ref="R71:V71" si="68">T39</f>
        <v>11.187076555858232</v>
      </c>
      <c r="S71" s="579">
        <f t="shared" si="68"/>
        <v>0.42083397893088031</v>
      </c>
      <c r="T71" s="579">
        <f t="shared" si="68"/>
        <v>11.193699252036202</v>
      </c>
      <c r="U71" s="579">
        <f t="shared" si="68"/>
        <v>11.184391133322654</v>
      </c>
      <c r="V71" s="579">
        <f t="shared" si="68"/>
        <v>60.798541653196693</v>
      </c>
      <c r="W71" s="580">
        <f t="shared" ref="W71:Y71" si="69">+IF($O71=0,"-",R71/$O71)</f>
        <v>0.13381646280729853</v>
      </c>
      <c r="X71" s="580">
        <f t="shared" si="69"/>
        <v>5.0338901506991034E-3</v>
      </c>
      <c r="Y71" s="580">
        <f t="shared" si="69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70">+IF(AI71="","",AI71*$AH71)</f>
        <v>90.671360287275249</v>
      </c>
      <c r="AX71" s="570">
        <f t="shared" si="70"/>
        <v>78.345503612492678</v>
      </c>
      <c r="AY71" s="570">
        <f t="shared" si="70"/>
        <v>56.123066775775108</v>
      </c>
      <c r="AZ71" s="570">
        <f t="shared" si="70"/>
        <v>41.308108884630059</v>
      </c>
      <c r="BA71" s="570">
        <f t="shared" si="70"/>
        <v>40.386590191190876</v>
      </c>
      <c r="BB71" s="570">
        <f t="shared" si="70"/>
        <v>18.094063028502479</v>
      </c>
      <c r="BC71" s="570">
        <f t="shared" si="70"/>
        <v>4.0209028952213517</v>
      </c>
      <c r="BD71" s="570">
        <f t="shared" si="70"/>
        <v>0</v>
      </c>
      <c r="BE71" s="570">
        <f t="shared" si="70"/>
        <v>0</v>
      </c>
      <c r="BF71" s="570">
        <f t="shared" si="70"/>
        <v>0</v>
      </c>
      <c r="BG71" s="570">
        <f t="shared" si="70"/>
        <v>0</v>
      </c>
      <c r="BH71" s="570">
        <f t="shared" si="70"/>
        <v>0</v>
      </c>
      <c r="BI71" s="570">
        <f t="shared" si="70"/>
        <v>0</v>
      </c>
      <c r="BJ71" s="571">
        <f t="shared" si="70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1">+IF(CB71="","",CB71*$AH71)</f>
        <v/>
      </c>
      <c r="CQ71" s="570" t="str">
        <f t="shared" si="71"/>
        <v/>
      </c>
      <c r="CR71" s="570" t="str">
        <f t="shared" si="71"/>
        <v/>
      </c>
      <c r="CS71" s="570" t="str">
        <f t="shared" si="71"/>
        <v/>
      </c>
      <c r="CT71" s="570" t="str">
        <f t="shared" si="71"/>
        <v/>
      </c>
      <c r="CU71" s="570" t="str">
        <f t="shared" si="71"/>
        <v/>
      </c>
      <c r="CV71" s="570" t="str">
        <f t="shared" si="71"/>
        <v/>
      </c>
      <c r="CW71" s="570" t="str">
        <f t="shared" si="71"/>
        <v/>
      </c>
      <c r="CX71" s="570" t="str">
        <f t="shared" si="71"/>
        <v/>
      </c>
      <c r="CY71" s="570" t="str">
        <f t="shared" si="71"/>
        <v/>
      </c>
      <c r="CZ71" s="570" t="str">
        <f t="shared" si="71"/>
        <v/>
      </c>
      <c r="DA71" s="570" t="str">
        <f t="shared" si="71"/>
        <v/>
      </c>
      <c r="DB71" s="570" t="str">
        <f t="shared" si="71"/>
        <v/>
      </c>
      <c r="DC71" s="571" t="str">
        <f t="shared" si="71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1365</v>
      </c>
      <c r="DI71" s="573" t="s">
        <v>1365</v>
      </c>
      <c r="DJ71" s="573" t="s">
        <v>1365</v>
      </c>
      <c r="DK71" s="573" t="s">
        <v>1365</v>
      </c>
      <c r="DL71" s="573" t="s">
        <v>1365</v>
      </c>
      <c r="DM71" s="573" t="s">
        <v>1365</v>
      </c>
      <c r="DN71" s="573" t="s">
        <v>1365</v>
      </c>
      <c r="DO71" s="573" t="s">
        <v>1365</v>
      </c>
      <c r="DP71" s="573" t="s">
        <v>1365</v>
      </c>
      <c r="DQ71" s="574" t="s">
        <v>1365</v>
      </c>
    </row>
    <row r="72" spans="1:121" ht="15.75" customHeight="1" x14ac:dyDescent="0.25">
      <c r="I72" s="431" t="s">
        <v>1150</v>
      </c>
      <c r="J72" s="434" t="s">
        <v>1157</v>
      </c>
      <c r="K72" s="431">
        <v>46</v>
      </c>
      <c r="L72" s="434"/>
      <c r="M72" s="434" t="str">
        <f t="shared" si="36"/>
        <v>Light Oil</v>
      </c>
      <c r="N72" s="575">
        <f t="shared" ref="N72:O72" si="72">Y40</f>
        <v>60.007782289723188</v>
      </c>
      <c r="O72" s="576">
        <f t="shared" si="72"/>
        <v>77.441558868755962</v>
      </c>
      <c r="P72" s="577">
        <f t="shared" si="52"/>
        <v>0.56341891649713927</v>
      </c>
      <c r="Q72" s="578">
        <f t="shared" si="38"/>
        <v>73.646794341073218</v>
      </c>
      <c r="R72" s="579">
        <f t="shared" ref="R72:V72" si="73">T40</f>
        <v>3.345117782148316</v>
      </c>
      <c r="S72" s="579">
        <f t="shared" si="73"/>
        <v>0.44964674553442446</v>
      </c>
      <c r="T72" s="579">
        <f t="shared" si="73"/>
        <v>52.360166687252182</v>
      </c>
      <c r="U72" s="579">
        <f t="shared" si="73"/>
        <v>0</v>
      </c>
      <c r="V72" s="579">
        <f t="shared" si="73"/>
        <v>21.286627653821029</v>
      </c>
      <c r="W72" s="580">
        <f t="shared" ref="W72:Y72" si="74">+IF($O72=0,"-",R72/$O72)</f>
        <v>4.3195382828197612E-2</v>
      </c>
      <c r="X72" s="580">
        <f t="shared" si="74"/>
        <v>5.8062718791141981E-3</v>
      </c>
      <c r="Y72" s="580">
        <f t="shared" si="74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5">+IF(AI72="","",AI72*$AH72)</f>
        <v>137.44934115847914</v>
      </c>
      <c r="AX72" s="570">
        <f t="shared" si="75"/>
        <v>132.01246309372399</v>
      </c>
      <c r="AY72" s="570">
        <f t="shared" si="75"/>
        <v>105.01644464224017</v>
      </c>
      <c r="AZ72" s="570">
        <f t="shared" si="75"/>
        <v>77.001349319514489</v>
      </c>
      <c r="BA72" s="570">
        <f t="shared" si="75"/>
        <v>47.101612548910218</v>
      </c>
      <c r="BB72" s="570">
        <f t="shared" si="75"/>
        <v>34.769927672183989</v>
      </c>
      <c r="BC72" s="570">
        <f t="shared" si="75"/>
        <v>24.189671897843734</v>
      </c>
      <c r="BD72" s="570">
        <f t="shared" si="75"/>
        <v>18.011882599476529</v>
      </c>
      <c r="BE72" s="570">
        <f t="shared" si="75"/>
        <v>13.585522403495304</v>
      </c>
      <c r="BF72" s="570">
        <f t="shared" si="75"/>
        <v>10.070717338719309</v>
      </c>
      <c r="BG72" s="570">
        <f t="shared" si="75"/>
        <v>6.567859133947354</v>
      </c>
      <c r="BH72" s="570">
        <f t="shared" si="75"/>
        <v>4.232620330766097</v>
      </c>
      <c r="BI72" s="570">
        <f t="shared" si="75"/>
        <v>1.8973815275848391</v>
      </c>
      <c r="BJ72" s="571">
        <f t="shared" si="75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6">+IF(CB72="","",CB72*$AH72)</f>
        <v/>
      </c>
      <c r="CQ72" s="570" t="str">
        <f t="shared" si="76"/>
        <v/>
      </c>
      <c r="CR72" s="570" t="str">
        <f t="shared" si="76"/>
        <v/>
      </c>
      <c r="CS72" s="570" t="str">
        <f t="shared" si="76"/>
        <v/>
      </c>
      <c r="CT72" s="570" t="str">
        <f t="shared" si="76"/>
        <v/>
      </c>
      <c r="CU72" s="570" t="str">
        <f t="shared" si="76"/>
        <v/>
      </c>
      <c r="CV72" s="570" t="str">
        <f t="shared" si="76"/>
        <v/>
      </c>
      <c r="CW72" s="570" t="str">
        <f t="shared" si="76"/>
        <v/>
      </c>
      <c r="CX72" s="570" t="str">
        <f t="shared" si="76"/>
        <v/>
      </c>
      <c r="CY72" s="570" t="str">
        <f t="shared" si="76"/>
        <v/>
      </c>
      <c r="CZ72" s="570" t="str">
        <f t="shared" si="76"/>
        <v/>
      </c>
      <c r="DA72" s="570" t="str">
        <f t="shared" si="76"/>
        <v/>
      </c>
      <c r="DB72" s="570" t="str">
        <f t="shared" si="76"/>
        <v/>
      </c>
      <c r="DC72" s="571" t="str">
        <f t="shared" si="76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1365</v>
      </c>
      <c r="DO72" s="573" t="s">
        <v>1365</v>
      </c>
      <c r="DP72" s="573" t="s">
        <v>1365</v>
      </c>
      <c r="DQ72" s="574" t="s">
        <v>1365</v>
      </c>
    </row>
    <row r="73" spans="1:121" ht="15.75" customHeight="1" x14ac:dyDescent="0.25">
      <c r="I73" s="431" t="s">
        <v>1150</v>
      </c>
      <c r="J73" s="434" t="s">
        <v>1158</v>
      </c>
      <c r="K73" s="431">
        <f>44+((47-44)/2)</f>
        <v>45.5</v>
      </c>
      <c r="L73" s="434"/>
      <c r="M73" s="434" t="str">
        <f t="shared" si="36"/>
        <v>Light Oil</v>
      </c>
      <c r="N73" s="575">
        <f t="shared" ref="N73:O73" si="77">Y41</f>
        <v>17.796808939248596</v>
      </c>
      <c r="O73" s="583">
        <f t="shared" si="77"/>
        <v>1.7694814439043327</v>
      </c>
      <c r="P73" s="577">
        <f t="shared" si="52"/>
        <v>9.0435203058618671E-2</v>
      </c>
      <c r="Q73" s="578">
        <f t="shared" si="38"/>
        <v>0</v>
      </c>
      <c r="R73" s="584">
        <f t="shared" ref="R73:V73" si="78">T41</f>
        <v>0.2018105131061125</v>
      </c>
      <c r="S73" s="584">
        <f t="shared" si="78"/>
        <v>1.5676709307982222</v>
      </c>
      <c r="T73" s="579">
        <f t="shared" si="78"/>
        <v>0</v>
      </c>
      <c r="U73" s="579">
        <f t="shared" si="78"/>
        <v>0</v>
      </c>
      <c r="V73" s="579">
        <f t="shared" si="78"/>
        <v>0</v>
      </c>
      <c r="W73" s="580">
        <f t="shared" ref="W73:Y73" si="79">+IF($O73=0,"-",R73/$O73)</f>
        <v>0.11405065241081071</v>
      </c>
      <c r="X73" s="580">
        <f t="shared" si="79"/>
        <v>0.88594934758919042</v>
      </c>
      <c r="Y73" s="580">
        <f t="shared" si="79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80">+IF(AI73="","",AI73*$AH73)</f>
        <v>19.566290383152928</v>
      </c>
      <c r="AX73" s="570">
        <f t="shared" si="80"/>
        <v>13.740457757961105</v>
      </c>
      <c r="AY73" s="570">
        <f t="shared" si="80"/>
        <v>11.469144829754304</v>
      </c>
      <c r="AZ73" s="570">
        <f t="shared" si="80"/>
        <v>8.3778233151679586</v>
      </c>
      <c r="BA73" s="570">
        <f t="shared" si="80"/>
        <v>5.3527514800288261</v>
      </c>
      <c r="BB73" s="570">
        <f t="shared" si="80"/>
        <v>4.170215030466454</v>
      </c>
      <c r="BC73" s="570">
        <f t="shared" si="80"/>
        <v>3.1896407819590231</v>
      </c>
      <c r="BD73" s="570">
        <f t="shared" si="80"/>
        <v>2.5359246162873696</v>
      </c>
      <c r="BE73" s="570">
        <f t="shared" si="80"/>
        <v>1.9961358460825875</v>
      </c>
      <c r="BF73" s="570">
        <f t="shared" si="80"/>
        <v>1.4240924433358944</v>
      </c>
      <c r="BG73" s="570">
        <f t="shared" si="80"/>
        <v>1.1910591344263837</v>
      </c>
      <c r="BH73" s="570">
        <f t="shared" si="80"/>
        <v>1.0357035951533768</v>
      </c>
      <c r="BI73" s="570">
        <f t="shared" si="80"/>
        <v>0.91141916373497178</v>
      </c>
      <c r="BJ73" s="571">
        <f t="shared" si="80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1">+IF(CB73="","",CB73*$AH73)</f>
        <v/>
      </c>
      <c r="CQ73" s="570" t="str">
        <f t="shared" si="81"/>
        <v/>
      </c>
      <c r="CR73" s="570" t="str">
        <f t="shared" si="81"/>
        <v/>
      </c>
      <c r="CS73" s="570" t="str">
        <f t="shared" si="81"/>
        <v/>
      </c>
      <c r="CT73" s="570" t="str">
        <f t="shared" si="81"/>
        <v/>
      </c>
      <c r="CU73" s="570" t="str">
        <f t="shared" si="81"/>
        <v/>
      </c>
      <c r="CV73" s="570" t="str">
        <f t="shared" si="81"/>
        <v/>
      </c>
      <c r="CW73" s="570" t="str">
        <f t="shared" si="81"/>
        <v/>
      </c>
      <c r="CX73" s="570" t="str">
        <f t="shared" si="81"/>
        <v/>
      </c>
      <c r="CY73" s="570" t="str">
        <f t="shared" si="81"/>
        <v/>
      </c>
      <c r="CZ73" s="570" t="str">
        <f t="shared" si="81"/>
        <v/>
      </c>
      <c r="DA73" s="570" t="str">
        <f t="shared" si="81"/>
        <v/>
      </c>
      <c r="DB73" s="570" t="str">
        <f t="shared" si="81"/>
        <v/>
      </c>
      <c r="DC73" s="571" t="str">
        <f t="shared" si="81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2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1150</v>
      </c>
      <c r="J74" s="434" t="s">
        <v>1160</v>
      </c>
      <c r="K74" s="431">
        <f>11.3+(14.4-11.3)/2</f>
        <v>12.850000000000001</v>
      </c>
      <c r="L74" s="434"/>
      <c r="M74" s="434" t="str">
        <f t="shared" si="36"/>
        <v>Heavy Oil</v>
      </c>
      <c r="N74" s="575">
        <f t="shared" ref="N74:O74" si="83">Y42</f>
        <v>265.08224689210181</v>
      </c>
      <c r="O74" s="576">
        <f t="shared" si="83"/>
        <v>0</v>
      </c>
      <c r="P74" s="577">
        <f t="shared" si="52"/>
        <v>0</v>
      </c>
      <c r="Q74" s="578">
        <f t="shared" si="38"/>
        <v>0</v>
      </c>
      <c r="R74" s="579">
        <f t="shared" ref="R74:V74" si="84">T42</f>
        <v>0</v>
      </c>
      <c r="S74" s="579">
        <f t="shared" si="84"/>
        <v>0</v>
      </c>
      <c r="T74" s="579">
        <f t="shared" si="84"/>
        <v>0</v>
      </c>
      <c r="U74" s="579">
        <f t="shared" si="84"/>
        <v>0</v>
      </c>
      <c r="V74" s="579">
        <f t="shared" si="84"/>
        <v>0</v>
      </c>
      <c r="W74" s="580" t="str">
        <f t="shared" ref="W74:Y74" si="85">+IF($O74=0,"-",R74/$O74)</f>
        <v>-</v>
      </c>
      <c r="X74" s="580" t="str">
        <f t="shared" si="85"/>
        <v>-</v>
      </c>
      <c r="Y74" s="580" t="str">
        <f t="shared" si="85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6">+IF(AI74="","",AI74*$AH74)</f>
        <v>265.08224689210181</v>
      </c>
      <c r="AX74" s="570">
        <f t="shared" si="86"/>
        <v>249.9574340063663</v>
      </c>
      <c r="AY74" s="570">
        <f t="shared" si="86"/>
        <v>200.28436431847692</v>
      </c>
      <c r="AZ74" s="570">
        <f t="shared" si="86"/>
        <v>167.1689845265507</v>
      </c>
      <c r="BA74" s="570">
        <f t="shared" si="86"/>
        <v>135.32727318816009</v>
      </c>
      <c r="BB74" s="570">
        <f t="shared" si="86"/>
        <v>87.564706180574163</v>
      </c>
      <c r="BC74" s="570">
        <f t="shared" si="86"/>
        <v>68.4596793775398</v>
      </c>
      <c r="BD74" s="570">
        <f t="shared" si="86"/>
        <v>55.722994842183546</v>
      </c>
      <c r="BE74" s="570">
        <f t="shared" si="86"/>
        <v>42.986310306828031</v>
      </c>
      <c r="BF74" s="570">
        <f t="shared" si="86"/>
        <v>23.881283503794084</v>
      </c>
      <c r="BG74" s="570">
        <f t="shared" si="86"/>
        <v>4.7762567007601335</v>
      </c>
      <c r="BH74" s="570">
        <f t="shared" si="86"/>
        <v>0</v>
      </c>
      <c r="BI74" s="570">
        <f t="shared" si="86"/>
        <v>0</v>
      </c>
      <c r="BJ74" s="571">
        <f t="shared" si="86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7">+IF(CB74="","",CB74*$AH74)</f>
        <v/>
      </c>
      <c r="CQ74" s="570" t="str">
        <f t="shared" si="87"/>
        <v/>
      </c>
      <c r="CR74" s="570" t="str">
        <f t="shared" si="87"/>
        <v/>
      </c>
      <c r="CS74" s="570" t="str">
        <f t="shared" si="87"/>
        <v/>
      </c>
      <c r="CT74" s="570" t="str">
        <f t="shared" si="87"/>
        <v/>
      </c>
      <c r="CU74" s="570" t="str">
        <f t="shared" si="87"/>
        <v/>
      </c>
      <c r="CV74" s="570" t="str">
        <f t="shared" si="87"/>
        <v/>
      </c>
      <c r="CW74" s="570" t="str">
        <f t="shared" si="87"/>
        <v/>
      </c>
      <c r="CX74" s="570" t="str">
        <f t="shared" si="87"/>
        <v/>
      </c>
      <c r="CY74" s="570" t="str">
        <f t="shared" si="87"/>
        <v/>
      </c>
      <c r="CZ74" s="570" t="str">
        <f t="shared" si="87"/>
        <v/>
      </c>
      <c r="DA74" s="570" t="str">
        <f t="shared" si="87"/>
        <v/>
      </c>
      <c r="DB74" s="570" t="str">
        <f t="shared" si="87"/>
        <v/>
      </c>
      <c r="DC74" s="571" t="str">
        <f t="shared" si="87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8">+DG74+(DI74-DG74)*(2027-2025)/(2030-2025)</f>
        <v>135.32727318816009</v>
      </c>
      <c r="DI74" s="570">
        <v>87.564706180574163</v>
      </c>
      <c r="DJ74" s="572">
        <f t="shared" si="82"/>
        <v>68.4596793775398</v>
      </c>
      <c r="DK74" s="570">
        <v>55.722994842183546</v>
      </c>
      <c r="DL74" s="573" t="s">
        <v>1365</v>
      </c>
      <c r="DM74" s="573" t="s">
        <v>1365</v>
      </c>
      <c r="DN74" s="573" t="s">
        <v>1365</v>
      </c>
      <c r="DO74" s="573" t="s">
        <v>1365</v>
      </c>
      <c r="DP74" s="573" t="s">
        <v>1365</v>
      </c>
      <c r="DQ74" s="574" t="s">
        <v>1365</v>
      </c>
    </row>
    <row r="75" spans="1:121" ht="15.75" customHeight="1" x14ac:dyDescent="0.25">
      <c r="I75" s="431" t="s">
        <v>1150</v>
      </c>
      <c r="J75" s="434" t="s">
        <v>1162</v>
      </c>
      <c r="K75" s="431">
        <v>13.7</v>
      </c>
      <c r="L75" s="434"/>
      <c r="M75" s="434" t="str">
        <f t="shared" si="36"/>
        <v>Heavy Oil</v>
      </c>
      <c r="N75" s="575">
        <f t="shared" ref="N75:O75" si="89">Y43</f>
        <v>253.41187670697005</v>
      </c>
      <c r="O75" s="576">
        <f t="shared" si="89"/>
        <v>0</v>
      </c>
      <c r="P75" s="577">
        <f t="shared" si="52"/>
        <v>0</v>
      </c>
      <c r="Q75" s="578">
        <f t="shared" si="38"/>
        <v>0</v>
      </c>
      <c r="R75" s="579">
        <f t="shared" ref="R75:V75" si="90">T43</f>
        <v>0</v>
      </c>
      <c r="S75" s="579">
        <f t="shared" si="90"/>
        <v>0</v>
      </c>
      <c r="T75" s="579">
        <f t="shared" si="90"/>
        <v>0</v>
      </c>
      <c r="U75" s="579">
        <f t="shared" si="90"/>
        <v>0</v>
      </c>
      <c r="V75" s="579">
        <f t="shared" si="90"/>
        <v>0</v>
      </c>
      <c r="W75" s="580" t="str">
        <f t="shared" ref="W75:Y75" si="91">+IF($O75=0,"-",R75/$O75)</f>
        <v>-</v>
      </c>
      <c r="X75" s="580" t="str">
        <f t="shared" si="91"/>
        <v>-</v>
      </c>
      <c r="Y75" s="580" t="str">
        <f t="shared" si="91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2">+IF(AI75="","",AI75*$AH75)</f>
        <v>253.41187670697005</v>
      </c>
      <c r="AX75" s="570">
        <f t="shared" si="92"/>
        <v>253.73863141463579</v>
      </c>
      <c r="AY75" s="570">
        <f t="shared" si="92"/>
        <v>201.09439133035221</v>
      </c>
      <c r="AZ75" s="570">
        <f t="shared" si="92"/>
        <v>170.91612518703496</v>
      </c>
      <c r="BA75" s="570">
        <f t="shared" si="92"/>
        <v>152.99058897831154</v>
      </c>
      <c r="BB75" s="570">
        <f t="shared" si="92"/>
        <v>126.10228466522641</v>
      </c>
      <c r="BC75" s="570">
        <f t="shared" si="92"/>
        <v>109.80051468914307</v>
      </c>
      <c r="BD75" s="570">
        <f t="shared" si="92"/>
        <v>98.932668038420843</v>
      </c>
      <c r="BE75" s="570">
        <f t="shared" si="92"/>
        <v>88.077570685563884</v>
      </c>
      <c r="BF75" s="570">
        <f t="shared" si="92"/>
        <v>71.812406576554963</v>
      </c>
      <c r="BG75" s="570">
        <f t="shared" si="92"/>
        <v>56.553999534154904</v>
      </c>
      <c r="BH75" s="570">
        <f t="shared" si="92"/>
        <v>53.726680615404732</v>
      </c>
      <c r="BI75" s="570">
        <f t="shared" si="92"/>
        <v>51.389025192843988</v>
      </c>
      <c r="BJ75" s="571">
        <f t="shared" si="92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3">+IF(CB75="","",CB75*$AH75)</f>
        <v/>
      </c>
      <c r="CQ75" s="570" t="str">
        <f t="shared" si="93"/>
        <v/>
      </c>
      <c r="CR75" s="570" t="str">
        <f t="shared" si="93"/>
        <v/>
      </c>
      <c r="CS75" s="570" t="str">
        <f t="shared" si="93"/>
        <v/>
      </c>
      <c r="CT75" s="570" t="str">
        <f t="shared" si="93"/>
        <v/>
      </c>
      <c r="CU75" s="570" t="str">
        <f t="shared" si="93"/>
        <v/>
      </c>
      <c r="CV75" s="570" t="str">
        <f t="shared" si="93"/>
        <v/>
      </c>
      <c r="CW75" s="570" t="str">
        <f t="shared" si="93"/>
        <v/>
      </c>
      <c r="CX75" s="570" t="str">
        <f t="shared" si="93"/>
        <v/>
      </c>
      <c r="CY75" s="570" t="str">
        <f t="shared" si="93"/>
        <v/>
      </c>
      <c r="CZ75" s="570" t="str">
        <f t="shared" si="93"/>
        <v/>
      </c>
      <c r="DA75" s="570" t="str">
        <f t="shared" si="93"/>
        <v/>
      </c>
      <c r="DB75" s="570" t="str">
        <f t="shared" si="93"/>
        <v/>
      </c>
      <c r="DC75" s="571" t="str">
        <f t="shared" si="93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8"/>
        <v>101.77717145046412</v>
      </c>
      <c r="DI75" s="570">
        <v>126.10228466522641</v>
      </c>
      <c r="DJ75" s="572">
        <f t="shared" si="82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1150</v>
      </c>
      <c r="J76" s="434" t="s">
        <v>1164</v>
      </c>
      <c r="K76" s="431">
        <f>7+(20-7)/2</f>
        <v>13.5</v>
      </c>
      <c r="L76" s="434"/>
      <c r="M76" s="434" t="str">
        <f t="shared" si="36"/>
        <v>Heavy Oil</v>
      </c>
      <c r="N76" s="575">
        <f t="shared" ref="N76:O76" si="94">Y44</f>
        <v>153.50718826671843</v>
      </c>
      <c r="O76" s="576">
        <f t="shared" si="94"/>
        <v>1.3978936722236606</v>
      </c>
      <c r="P76" s="577">
        <f t="shared" si="52"/>
        <v>9.0241950407712185E-3</v>
      </c>
      <c r="Q76" s="578">
        <f t="shared" si="38"/>
        <v>0</v>
      </c>
      <c r="R76" s="579">
        <f t="shared" ref="R76:V76" si="95">T44</f>
        <v>0.32109980889709927</v>
      </c>
      <c r="S76" s="579">
        <f t="shared" si="95"/>
        <v>1.0767938633265612</v>
      </c>
      <c r="T76" s="579">
        <f t="shared" si="95"/>
        <v>0</v>
      </c>
      <c r="U76" s="579">
        <f t="shared" si="95"/>
        <v>0</v>
      </c>
      <c r="V76" s="579">
        <f t="shared" si="95"/>
        <v>0</v>
      </c>
      <c r="W76" s="580">
        <f t="shared" ref="W76:Y76" si="96">+IF($O76=0,"-",R76/$O76)</f>
        <v>0.22970259847182703</v>
      </c>
      <c r="X76" s="580">
        <f t="shared" si="96"/>
        <v>0.77029740152817294</v>
      </c>
      <c r="Y76" s="580">
        <f t="shared" si="96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7">+IF(AI76="","",AI76*$AH76)</f>
        <v>154.90508193894209</v>
      </c>
      <c r="AX76" s="570">
        <f t="shared" si="97"/>
        <v>154.72434684201744</v>
      </c>
      <c r="AY76" s="570">
        <f t="shared" si="97"/>
        <v>138.8663199640701</v>
      </c>
      <c r="AZ76" s="570">
        <f t="shared" si="97"/>
        <v>117.04626235484743</v>
      </c>
      <c r="BA76" s="570">
        <f t="shared" si="97"/>
        <v>98.014063016637479</v>
      </c>
      <c r="BB76" s="570">
        <f t="shared" si="97"/>
        <v>69.465764009322527</v>
      </c>
      <c r="BC76" s="570">
        <f t="shared" si="97"/>
        <v>58.093071312660456</v>
      </c>
      <c r="BD76" s="570">
        <f t="shared" si="97"/>
        <v>45.658770636501401</v>
      </c>
      <c r="BE76" s="570">
        <f t="shared" si="97"/>
        <v>35.000997912746357</v>
      </c>
      <c r="BF76" s="570">
        <f t="shared" si="97"/>
        <v>19.014338827113264</v>
      </c>
      <c r="BG76" s="570">
        <f t="shared" si="97"/>
        <v>9.7304444223874231</v>
      </c>
      <c r="BH76" s="570">
        <f t="shared" si="97"/>
        <v>7.6771498704377867</v>
      </c>
      <c r="BI76" s="570">
        <f t="shared" si="97"/>
        <v>5.6238553184884772</v>
      </c>
      <c r="BJ76" s="571">
        <f t="shared" si="97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8">+IF(CB76="","",CB76*$AH76)</f>
        <v/>
      </c>
      <c r="CQ76" s="570" t="str">
        <f t="shared" si="98"/>
        <v/>
      </c>
      <c r="CR76" s="570" t="str">
        <f t="shared" si="98"/>
        <v/>
      </c>
      <c r="CS76" s="570" t="str">
        <f t="shared" si="98"/>
        <v/>
      </c>
      <c r="CT76" s="570" t="str">
        <f t="shared" si="98"/>
        <v/>
      </c>
      <c r="CU76" s="570" t="str">
        <f t="shared" si="98"/>
        <v/>
      </c>
      <c r="CV76" s="570" t="str">
        <f t="shared" si="98"/>
        <v/>
      </c>
      <c r="CW76" s="570" t="str">
        <f t="shared" si="98"/>
        <v/>
      </c>
      <c r="CX76" s="570" t="str">
        <f t="shared" si="98"/>
        <v/>
      </c>
      <c r="CY76" s="570" t="str">
        <f t="shared" si="98"/>
        <v/>
      </c>
      <c r="CZ76" s="570" t="str">
        <f t="shared" si="98"/>
        <v/>
      </c>
      <c r="DA76" s="570" t="str">
        <f t="shared" si="98"/>
        <v/>
      </c>
      <c r="DB76" s="570" t="str">
        <f t="shared" si="98"/>
        <v/>
      </c>
      <c r="DC76" s="571" t="str">
        <f t="shared" si="98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8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1365</v>
      </c>
      <c r="DP76" s="573" t="s">
        <v>1365</v>
      </c>
      <c r="DQ76" s="574" t="s">
        <v>1365</v>
      </c>
    </row>
    <row r="77" spans="1:121" ht="15.75" customHeight="1" x14ac:dyDescent="0.25">
      <c r="I77" s="431" t="s">
        <v>1150</v>
      </c>
      <c r="J77" s="434" t="s">
        <v>1165</v>
      </c>
      <c r="K77" s="431">
        <v>8</v>
      </c>
      <c r="L77" s="434"/>
      <c r="M77" s="434" t="str">
        <f t="shared" si="36"/>
        <v>Heavy Oil</v>
      </c>
      <c r="N77" s="575">
        <f t="shared" ref="N77:O77" si="99">Y45</f>
        <v>43.895597705669182</v>
      </c>
      <c r="O77" s="576">
        <f t="shared" si="99"/>
        <v>0.21448045777585595</v>
      </c>
      <c r="P77" s="577">
        <f t="shared" si="52"/>
        <v>4.8623912426797849E-3</v>
      </c>
      <c r="Q77" s="578">
        <f t="shared" si="38"/>
        <v>0</v>
      </c>
      <c r="R77" s="579">
        <f t="shared" ref="R77:V77" si="100">T45</f>
        <v>0</v>
      </c>
      <c r="S77" s="579">
        <f t="shared" si="100"/>
        <v>0.21448045777585595</v>
      </c>
      <c r="T77" s="579">
        <f t="shared" si="100"/>
        <v>0</v>
      </c>
      <c r="U77" s="579">
        <f t="shared" si="100"/>
        <v>0</v>
      </c>
      <c r="V77" s="579">
        <f t="shared" si="100"/>
        <v>0</v>
      </c>
      <c r="W77" s="580">
        <f t="shared" ref="W77:Y77" si="101">+IF($O77=0,"-",R77/$O77)</f>
        <v>0</v>
      </c>
      <c r="X77" s="580">
        <f t="shared" si="101"/>
        <v>1</v>
      </c>
      <c r="Y77" s="580">
        <f t="shared" si="101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2">+IF(AI77="","",AI77*$AH77)</f>
        <v>44.110078163445039</v>
      </c>
      <c r="AX77" s="570">
        <f t="shared" si="102"/>
        <v>22.264362144620662</v>
      </c>
      <c r="AY77" s="570">
        <f t="shared" si="102"/>
        <v>44.148136902153794</v>
      </c>
      <c r="AZ77" s="570">
        <f t="shared" si="102"/>
        <v>37.297563934578207</v>
      </c>
      <c r="BA77" s="570">
        <f t="shared" si="102"/>
        <v>32.654397812110311</v>
      </c>
      <c r="BB77" s="570">
        <f t="shared" si="102"/>
        <v>25.689648628408463</v>
      </c>
      <c r="BC77" s="570">
        <f t="shared" si="102"/>
        <v>21.122599983358072</v>
      </c>
      <c r="BD77" s="570">
        <f t="shared" si="102"/>
        <v>18.077900886657808</v>
      </c>
      <c r="BE77" s="570">
        <f t="shared" si="102"/>
        <v>15.870494041550115</v>
      </c>
      <c r="BF77" s="570">
        <f t="shared" si="102"/>
        <v>12.559383773888579</v>
      </c>
      <c r="BG77" s="570">
        <f t="shared" si="102"/>
        <v>10.390035667489647</v>
      </c>
      <c r="BH77" s="570">
        <f t="shared" si="102"/>
        <v>8.9438035965570233</v>
      </c>
      <c r="BI77" s="570">
        <f t="shared" si="102"/>
        <v>7.231160354663122</v>
      </c>
      <c r="BJ77" s="571">
        <f t="shared" si="102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3">+IF(CB77="","",CB77*$AH77)</f>
        <v/>
      </c>
      <c r="CQ77" s="570" t="str">
        <f t="shared" si="103"/>
        <v/>
      </c>
      <c r="CR77" s="570" t="str">
        <f t="shared" si="103"/>
        <v/>
      </c>
      <c r="CS77" s="570" t="str">
        <f t="shared" si="103"/>
        <v/>
      </c>
      <c r="CT77" s="570" t="str">
        <f t="shared" si="103"/>
        <v/>
      </c>
      <c r="CU77" s="570" t="str">
        <f t="shared" si="103"/>
        <v/>
      </c>
      <c r="CV77" s="570" t="str">
        <f t="shared" si="103"/>
        <v/>
      </c>
      <c r="CW77" s="570" t="str">
        <f t="shared" si="103"/>
        <v/>
      </c>
      <c r="CX77" s="570" t="str">
        <f t="shared" si="103"/>
        <v/>
      </c>
      <c r="CY77" s="570" t="str">
        <f t="shared" si="103"/>
        <v/>
      </c>
      <c r="CZ77" s="570" t="str">
        <f t="shared" si="103"/>
        <v/>
      </c>
      <c r="DA77" s="570" t="str">
        <f t="shared" si="103"/>
        <v/>
      </c>
      <c r="DB77" s="570" t="str">
        <f t="shared" si="103"/>
        <v/>
      </c>
      <c r="DC77" s="571" t="str">
        <f t="shared" si="103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8"/>
        <v>32.654397812110311</v>
      </c>
      <c r="DI77" s="570">
        <v>25.689648628408463</v>
      </c>
      <c r="DJ77" s="572">
        <f t="shared" ref="DJ77:DJ80" si="104">+DI77+(DK77-DI77)*(2033-2030)/(2035-2030)</f>
        <v>21.122599983358072</v>
      </c>
      <c r="DK77" s="570">
        <v>18.077900886657808</v>
      </c>
      <c r="DL77" s="572">
        <f t="shared" ref="DL77:DL83" si="105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1365</v>
      </c>
    </row>
    <row r="78" spans="1:121" ht="15.75" customHeight="1" x14ac:dyDescent="0.25">
      <c r="I78" s="431" t="s">
        <v>1150</v>
      </c>
      <c r="J78" s="434" t="s">
        <v>1167</v>
      </c>
      <c r="K78" s="431">
        <v>13.5</v>
      </c>
      <c r="L78" s="434"/>
      <c r="M78" s="434" t="str">
        <f t="shared" si="36"/>
        <v>Heavy Oil</v>
      </c>
      <c r="N78" s="575">
        <f t="shared" ref="N78:O78" si="106">Y46</f>
        <v>8.7564836170076354</v>
      </c>
      <c r="O78" s="575">
        <f t="shared" si="106"/>
        <v>0.43874352621703561</v>
      </c>
      <c r="P78" s="577">
        <f t="shared" si="52"/>
        <v>4.771426734578444E-2</v>
      </c>
      <c r="Q78" s="578">
        <f t="shared" si="38"/>
        <v>0.23786180586758954</v>
      </c>
      <c r="R78" s="579">
        <f t="shared" ref="R78:V78" si="107">T46</f>
        <v>5.7140945681870784E-3</v>
      </c>
      <c r="S78" s="579">
        <f t="shared" si="107"/>
        <v>0</v>
      </c>
      <c r="T78" s="579">
        <f t="shared" si="107"/>
        <v>0.4330294316488485</v>
      </c>
      <c r="U78" s="579">
        <f t="shared" si="107"/>
        <v>0.19516762578125896</v>
      </c>
      <c r="V78" s="579">
        <f t="shared" si="107"/>
        <v>0</v>
      </c>
      <c r="W78" s="580">
        <f t="shared" ref="W78:Y78" si="108">+IF($O78=0,"-",R78/$O78)</f>
        <v>1.302376952990175E-2</v>
      </c>
      <c r="X78" s="580">
        <f t="shared" si="108"/>
        <v>0</v>
      </c>
      <c r="Y78" s="580">
        <f t="shared" si="108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9">+IF(AI78="","",AI78*$AH78)</f>
        <v>9.1952271432246704</v>
      </c>
      <c r="AX78" s="570">
        <f t="shared" si="109"/>
        <v>7.1774766229618319</v>
      </c>
      <c r="AY78" s="570">
        <f t="shared" si="109"/>
        <v>3.1642957323075032</v>
      </c>
      <c r="AZ78" s="570">
        <f t="shared" si="109"/>
        <v>1.9957773526773965</v>
      </c>
      <c r="BA78" s="570">
        <f t="shared" si="109"/>
        <v>1.584932033120062</v>
      </c>
      <c r="BB78" s="570">
        <f t="shared" si="109"/>
        <v>0.96866405378406029</v>
      </c>
      <c r="BC78" s="570">
        <f t="shared" si="109"/>
        <v>0.35614784474023137</v>
      </c>
      <c r="BD78" s="570">
        <f t="shared" si="109"/>
        <v>0.26939479209415684</v>
      </c>
      <c r="BE78" s="570">
        <f t="shared" si="109"/>
        <v>0.21398480822274127</v>
      </c>
      <c r="BF78" s="570">
        <f t="shared" si="109"/>
        <v>0.13086983241561789</v>
      </c>
      <c r="BG78" s="570">
        <f t="shared" si="109"/>
        <v>4.7754856608500817E-2</v>
      </c>
      <c r="BH78" s="570">
        <f t="shared" si="109"/>
        <v>0</v>
      </c>
      <c r="BI78" s="570">
        <f t="shared" si="109"/>
        <v>0</v>
      </c>
      <c r="BJ78" s="571">
        <f t="shared" si="109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10">+IF(CB78="","",CB78*$AH78)</f>
        <v/>
      </c>
      <c r="CQ78" s="570" t="str">
        <f t="shared" si="110"/>
        <v/>
      </c>
      <c r="CR78" s="570" t="str">
        <f t="shared" si="110"/>
        <v/>
      </c>
      <c r="CS78" s="570" t="str">
        <f t="shared" si="110"/>
        <v/>
      </c>
      <c r="CT78" s="570" t="str">
        <f t="shared" si="110"/>
        <v/>
      </c>
      <c r="CU78" s="570" t="str">
        <f t="shared" si="110"/>
        <v/>
      </c>
      <c r="CV78" s="570" t="str">
        <f t="shared" si="110"/>
        <v/>
      </c>
      <c r="CW78" s="570" t="str">
        <f t="shared" si="110"/>
        <v/>
      </c>
      <c r="CX78" s="570" t="str">
        <f t="shared" si="110"/>
        <v/>
      </c>
      <c r="CY78" s="570" t="str">
        <f t="shared" si="110"/>
        <v/>
      </c>
      <c r="CZ78" s="570" t="str">
        <f t="shared" si="110"/>
        <v/>
      </c>
      <c r="DA78" s="570" t="str">
        <f t="shared" si="110"/>
        <v/>
      </c>
      <c r="DB78" s="570" t="str">
        <f t="shared" si="110"/>
        <v/>
      </c>
      <c r="DC78" s="571" t="str">
        <f t="shared" si="110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8"/>
        <v>1.584932033120062</v>
      </c>
      <c r="DI78" s="570">
        <v>0.96866405378406029</v>
      </c>
      <c r="DJ78" s="572">
        <f t="shared" si="104"/>
        <v>0.54910249677011824</v>
      </c>
      <c r="DK78" s="570">
        <v>0.26939479209415684</v>
      </c>
      <c r="DL78" s="572">
        <f t="shared" si="105"/>
        <v>0.21398480822274127</v>
      </c>
      <c r="DM78" s="570">
        <v>0.13086983241561789</v>
      </c>
      <c r="DN78" s="573" t="s">
        <v>1365</v>
      </c>
      <c r="DO78" s="573" t="s">
        <v>1365</v>
      </c>
      <c r="DP78" s="573" t="s">
        <v>1365</v>
      </c>
      <c r="DQ78" s="574" t="s">
        <v>1365</v>
      </c>
    </row>
    <row r="79" spans="1:121" ht="15.75" customHeight="1" x14ac:dyDescent="0.25">
      <c r="I79" s="431" t="s">
        <v>1169</v>
      </c>
      <c r="J79" s="434" t="s">
        <v>1168</v>
      </c>
      <c r="K79" s="431">
        <v>35</v>
      </c>
      <c r="L79" s="434"/>
      <c r="M79" s="434" t="str">
        <f t="shared" si="36"/>
        <v>Light Oil</v>
      </c>
      <c r="N79" s="575">
        <f t="shared" ref="N79:O79" si="111">Y47</f>
        <v>4.3593517548323124</v>
      </c>
      <c r="O79" s="576">
        <f t="shared" si="111"/>
        <v>1.2759391450439788</v>
      </c>
      <c r="P79" s="577">
        <f t="shared" si="52"/>
        <v>0.2264193930205074</v>
      </c>
      <c r="Q79" s="578">
        <f t="shared" si="38"/>
        <v>0</v>
      </c>
      <c r="R79" s="579">
        <f t="shared" ref="R79:V79" si="112">T47</f>
        <v>0</v>
      </c>
      <c r="S79" s="579">
        <f t="shared" si="112"/>
        <v>1.2759391450439788</v>
      </c>
      <c r="T79" s="579">
        <f t="shared" si="112"/>
        <v>0</v>
      </c>
      <c r="U79" s="579">
        <f t="shared" si="112"/>
        <v>0</v>
      </c>
      <c r="V79" s="579">
        <f t="shared" si="112"/>
        <v>0</v>
      </c>
      <c r="W79" s="580">
        <f t="shared" ref="W79:Y79" si="113">+IF($O79=0,"-",R79/$O79)</f>
        <v>0</v>
      </c>
      <c r="X79" s="580">
        <f t="shared" si="113"/>
        <v>1</v>
      </c>
      <c r="Y79" s="580">
        <f t="shared" si="113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4">+IF(AI79="","",AI79*$AH79)</f>
        <v>5.6352908998762912</v>
      </c>
      <c r="AX79" s="570">
        <f t="shared" si="114"/>
        <v>5.3251450871105153</v>
      </c>
      <c r="AY79" s="570">
        <f t="shared" si="114"/>
        <v>4.6229281525464918</v>
      </c>
      <c r="AZ79" s="570">
        <f t="shared" si="114"/>
        <v>4.1547835295038089</v>
      </c>
      <c r="BA79" s="570">
        <f t="shared" si="114"/>
        <v>3.4993810572440527</v>
      </c>
      <c r="BB79" s="570">
        <f t="shared" si="114"/>
        <v>2.5162773488544192</v>
      </c>
      <c r="BC79" s="570">
        <f t="shared" si="114"/>
        <v>2.0247254946596041</v>
      </c>
      <c r="BD79" s="570">
        <f t="shared" si="114"/>
        <v>1.6970242585297266</v>
      </c>
      <c r="BE79" s="570">
        <f t="shared" si="114"/>
        <v>1.4629519470083854</v>
      </c>
      <c r="BF79" s="570">
        <f t="shared" si="114"/>
        <v>1.1118434797263739</v>
      </c>
      <c r="BG79" s="570">
        <f t="shared" si="114"/>
        <v>0.99480732396570282</v>
      </c>
      <c r="BH79" s="570">
        <f t="shared" si="114"/>
        <v>0.9167832201252627</v>
      </c>
      <c r="BI79" s="570">
        <f t="shared" si="114"/>
        <v>0.83875911628481048</v>
      </c>
      <c r="BJ79" s="571">
        <f t="shared" si="114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5">+IF(CB79="","",CB79*$AH79)</f>
        <v/>
      </c>
      <c r="CQ79" s="570" t="str">
        <f t="shared" si="115"/>
        <v/>
      </c>
      <c r="CR79" s="570" t="str">
        <f t="shared" si="115"/>
        <v/>
      </c>
      <c r="CS79" s="570" t="str">
        <f t="shared" si="115"/>
        <v/>
      </c>
      <c r="CT79" s="570" t="str">
        <f t="shared" si="115"/>
        <v/>
      </c>
      <c r="CU79" s="570" t="str">
        <f t="shared" si="115"/>
        <v/>
      </c>
      <c r="CV79" s="570" t="str">
        <f t="shared" si="115"/>
        <v/>
      </c>
      <c r="CW79" s="570" t="str">
        <f t="shared" si="115"/>
        <v/>
      </c>
      <c r="CX79" s="570" t="str">
        <f t="shared" si="115"/>
        <v/>
      </c>
      <c r="CY79" s="570" t="str">
        <f t="shared" si="115"/>
        <v/>
      </c>
      <c r="CZ79" s="570" t="str">
        <f t="shared" si="115"/>
        <v/>
      </c>
      <c r="DA79" s="570" t="str">
        <f t="shared" si="115"/>
        <v/>
      </c>
      <c r="DB79" s="570" t="str">
        <f t="shared" si="115"/>
        <v/>
      </c>
      <c r="DC79" s="571" t="str">
        <f t="shared" si="115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8"/>
        <v>3.4993810572440531</v>
      </c>
      <c r="DI79" s="570">
        <v>2.5162773488544192</v>
      </c>
      <c r="DJ79" s="572">
        <f t="shared" si="104"/>
        <v>2.0247254946596036</v>
      </c>
      <c r="DK79" s="570">
        <v>1.6970242585297266</v>
      </c>
      <c r="DL79" s="572">
        <f t="shared" si="105"/>
        <v>1.4629519470083856</v>
      </c>
      <c r="DM79" s="570">
        <v>1.1118434797263739</v>
      </c>
      <c r="DN79" s="570">
        <v>0.99480732396570282</v>
      </c>
      <c r="DO79" s="573" t="s">
        <v>1365</v>
      </c>
      <c r="DP79" s="573" t="s">
        <v>1365</v>
      </c>
      <c r="DQ79" s="574" t="s">
        <v>1365</v>
      </c>
    </row>
    <row r="80" spans="1:121" ht="15.75" customHeight="1" x14ac:dyDescent="0.25">
      <c r="I80" s="431" t="s">
        <v>1171</v>
      </c>
      <c r="J80" s="434" t="s">
        <v>1172</v>
      </c>
      <c r="K80" s="431">
        <v>21</v>
      </c>
      <c r="L80" s="434"/>
      <c r="M80" s="434" t="str">
        <f t="shared" si="36"/>
        <v>Medium Oil</v>
      </c>
      <c r="N80" s="575">
        <f t="shared" ref="N80:O80" si="116">Y48</f>
        <v>26.927100382560717</v>
      </c>
      <c r="O80" s="576">
        <f t="shared" si="116"/>
        <v>0.43827912983870243</v>
      </c>
      <c r="P80" s="577">
        <f t="shared" si="52"/>
        <v>1.601582501861944E-2</v>
      </c>
      <c r="Q80" s="578">
        <f t="shared" si="38"/>
        <v>0</v>
      </c>
      <c r="R80" s="579">
        <f t="shared" ref="R80:V80" si="117">T48</f>
        <v>0.35206293264379496</v>
      </c>
      <c r="S80" s="579">
        <f t="shared" si="117"/>
        <v>8.621619719490746E-2</v>
      </c>
      <c r="T80" s="579">
        <f t="shared" si="117"/>
        <v>0</v>
      </c>
      <c r="U80" s="579">
        <f t="shared" si="117"/>
        <v>0</v>
      </c>
      <c r="V80" s="579">
        <f t="shared" si="117"/>
        <v>0</v>
      </c>
      <c r="W80" s="580">
        <f t="shared" ref="W80:Y80" si="118">+IF($O80=0,"-",R80/$O80)</f>
        <v>0.8032847303803009</v>
      </c>
      <c r="X80" s="580">
        <f t="shared" si="118"/>
        <v>0.1967152696196991</v>
      </c>
      <c r="Y80" s="580">
        <f t="shared" si="118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9">+IF(AI80="","",AI80*$AH80)</f>
        <v>27.365379512399418</v>
      </c>
      <c r="AX80" s="570">
        <f t="shared" si="119"/>
        <v>28.214405378298327</v>
      </c>
      <c r="AY80" s="570">
        <f t="shared" si="119"/>
        <v>23.187914467663987</v>
      </c>
      <c r="AZ80" s="570">
        <f t="shared" si="119"/>
        <v>18.086386423895764</v>
      </c>
      <c r="BA80" s="570">
        <f t="shared" si="119"/>
        <v>14.514847573328842</v>
      </c>
      <c r="BB80" s="570">
        <f t="shared" si="119"/>
        <v>9.1575392974784613</v>
      </c>
      <c r="BC80" s="570">
        <f t="shared" si="119"/>
        <v>7.0076274069901325</v>
      </c>
      <c r="BD80" s="570">
        <f t="shared" si="119"/>
        <v>5.5743528133312461</v>
      </c>
      <c r="BE80" s="570">
        <f t="shared" si="119"/>
        <v>4.1964559728169801</v>
      </c>
      <c r="BF80" s="570">
        <f t="shared" si="119"/>
        <v>2.129610712045356</v>
      </c>
      <c r="BG80" s="570">
        <f t="shared" si="119"/>
        <v>0.8013936387007935</v>
      </c>
      <c r="BH80" s="570">
        <f t="shared" si="119"/>
        <v>0.65153510356415978</v>
      </c>
      <c r="BI80" s="570">
        <f t="shared" si="119"/>
        <v>0.38065378640755937</v>
      </c>
      <c r="BJ80" s="571">
        <f t="shared" si="119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20">+IF(CB80="","",CB80*$AH80)</f>
        <v/>
      </c>
      <c r="CQ80" s="570" t="str">
        <f t="shared" si="120"/>
        <v/>
      </c>
      <c r="CR80" s="570" t="str">
        <f t="shared" si="120"/>
        <v/>
      </c>
      <c r="CS80" s="570" t="str">
        <f t="shared" si="120"/>
        <v/>
      </c>
      <c r="CT80" s="570" t="str">
        <f t="shared" si="120"/>
        <v/>
      </c>
      <c r="CU80" s="570" t="str">
        <f t="shared" si="120"/>
        <v/>
      </c>
      <c r="CV80" s="570" t="str">
        <f t="shared" si="120"/>
        <v/>
      </c>
      <c r="CW80" s="570" t="str">
        <f t="shared" si="120"/>
        <v/>
      </c>
      <c r="CX80" s="570" t="str">
        <f t="shared" si="120"/>
        <v/>
      </c>
      <c r="CY80" s="570" t="str">
        <f t="shared" si="120"/>
        <v/>
      </c>
      <c r="CZ80" s="570" t="str">
        <f t="shared" si="120"/>
        <v/>
      </c>
      <c r="DA80" s="570" t="str">
        <f t="shared" si="120"/>
        <v/>
      </c>
      <c r="DB80" s="570" t="str">
        <f t="shared" si="120"/>
        <v/>
      </c>
      <c r="DC80" s="571" t="str">
        <f t="shared" si="120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8"/>
        <v>14.514847573328844</v>
      </c>
      <c r="DI80" s="570">
        <v>9.1575392974784613</v>
      </c>
      <c r="DJ80" s="572">
        <f t="shared" si="104"/>
        <v>7.0076274069901325</v>
      </c>
      <c r="DK80" s="570">
        <v>5.5743528133312461</v>
      </c>
      <c r="DL80" s="572">
        <f t="shared" si="105"/>
        <v>3.7550842645610452</v>
      </c>
      <c r="DM80" s="570">
        <v>1.026181441405744</v>
      </c>
      <c r="DN80" s="572">
        <f t="shared" ref="DN80:DN82" si="121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1365</v>
      </c>
    </row>
    <row r="81" spans="9:121" ht="15.75" customHeight="1" x14ac:dyDescent="0.25">
      <c r="I81" s="431" t="s">
        <v>1171</v>
      </c>
      <c r="J81" s="434" t="s">
        <v>1174</v>
      </c>
      <c r="K81" s="431">
        <v>12.5</v>
      </c>
      <c r="L81" s="434"/>
      <c r="M81" s="434" t="str">
        <f t="shared" si="36"/>
        <v>Heavy Oil</v>
      </c>
      <c r="N81" s="575">
        <f t="shared" ref="N81:O81" si="122">Y49</f>
        <v>3.2805677744000978</v>
      </c>
      <c r="O81" s="576">
        <f t="shared" si="122"/>
        <v>8.7791106651863626E-2</v>
      </c>
      <c r="P81" s="577">
        <f t="shared" si="52"/>
        <v>2.6063465845553212E-2</v>
      </c>
      <c r="Q81" s="578">
        <f t="shared" si="38"/>
        <v>0</v>
      </c>
      <c r="R81" s="579">
        <f t="shared" ref="R81:V81" si="123">T49</f>
        <v>3.6990181091585597E-2</v>
      </c>
      <c r="S81" s="579">
        <f t="shared" si="123"/>
        <v>5.0800925560278022E-2</v>
      </c>
      <c r="T81" s="579">
        <f t="shared" si="123"/>
        <v>0</v>
      </c>
      <c r="U81" s="579">
        <f t="shared" si="123"/>
        <v>0</v>
      </c>
      <c r="V81" s="579">
        <f t="shared" si="123"/>
        <v>0</v>
      </c>
      <c r="W81" s="580">
        <f t="shared" ref="W81:Y81" si="124">+IF($O81=0,"-",R81/$O81)</f>
        <v>0.42134314627414909</v>
      </c>
      <c r="X81" s="580">
        <f t="shared" si="124"/>
        <v>0.57865685372585085</v>
      </c>
      <c r="Y81" s="580">
        <f t="shared" si="124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5">+IF(AI81="","",AI81*$AH81)</f>
        <v>3.3683588810519614</v>
      </c>
      <c r="AX81" s="570">
        <f t="shared" si="125"/>
        <v>3.0751987685605915</v>
      </c>
      <c r="AY81" s="570">
        <f t="shared" si="125"/>
        <v>3.4930679115729726</v>
      </c>
      <c r="AZ81" s="570">
        <f t="shared" si="125"/>
        <v>2.7288246831254654</v>
      </c>
      <c r="BA81" s="570">
        <f t="shared" si="125"/>
        <v>0</v>
      </c>
      <c r="BB81" s="570">
        <f t="shared" si="125"/>
        <v>0</v>
      </c>
      <c r="BC81" s="570">
        <f t="shared" si="125"/>
        <v>1.6467059785204439</v>
      </c>
      <c r="BD81" s="570">
        <f t="shared" si="125"/>
        <v>0.98038529706751343</v>
      </c>
      <c r="BE81" s="570">
        <f t="shared" si="125"/>
        <v>0.82911070247183327</v>
      </c>
      <c r="BF81" s="570">
        <f t="shared" si="125"/>
        <v>0.60219881057831304</v>
      </c>
      <c r="BG81" s="570">
        <f t="shared" si="125"/>
        <v>0.4903086312459346</v>
      </c>
      <c r="BH81" s="570">
        <f t="shared" si="125"/>
        <v>0.41571517835768235</v>
      </c>
      <c r="BI81" s="570">
        <f t="shared" si="125"/>
        <v>0.34112172546943498</v>
      </c>
      <c r="BJ81" s="571">
        <f t="shared" si="125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6">+IF(CB81="","",CB81*$AH81)</f>
        <v/>
      </c>
      <c r="CQ81" s="570" t="str">
        <f t="shared" si="126"/>
        <v/>
      </c>
      <c r="CR81" s="570" t="str">
        <f t="shared" si="126"/>
        <v/>
      </c>
      <c r="CS81" s="570" t="str">
        <f t="shared" si="126"/>
        <v/>
      </c>
      <c r="CT81" s="570" t="str">
        <f t="shared" si="126"/>
        <v/>
      </c>
      <c r="CU81" s="570" t="str">
        <f t="shared" si="126"/>
        <v/>
      </c>
      <c r="CV81" s="570" t="str">
        <f t="shared" si="126"/>
        <v/>
      </c>
      <c r="CW81" s="570" t="str">
        <f t="shared" si="126"/>
        <v/>
      </c>
      <c r="CX81" s="570" t="str">
        <f t="shared" si="126"/>
        <v/>
      </c>
      <c r="CY81" s="570" t="str">
        <f t="shared" si="126"/>
        <v/>
      </c>
      <c r="CZ81" s="570" t="str">
        <f t="shared" si="126"/>
        <v/>
      </c>
      <c r="DA81" s="570" t="str">
        <f t="shared" si="126"/>
        <v/>
      </c>
      <c r="DB81" s="570" t="str">
        <f t="shared" si="126"/>
        <v/>
      </c>
      <c r="DC81" s="571" t="str">
        <f t="shared" si="126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5"/>
        <v>0.82911070247183327</v>
      </c>
      <c r="DM81" s="570">
        <v>0.60219881057831304</v>
      </c>
      <c r="DN81" s="572">
        <f t="shared" si="121"/>
        <v>0.4903086312459346</v>
      </c>
      <c r="DO81" s="570">
        <v>0.41571517835768235</v>
      </c>
      <c r="DP81" s="573" t="s">
        <v>1365</v>
      </c>
      <c r="DQ81" s="574" t="s">
        <v>1365</v>
      </c>
    </row>
    <row r="82" spans="9:121" ht="15.75" customHeight="1" x14ac:dyDescent="0.25">
      <c r="I82" s="431" t="s">
        <v>1171</v>
      </c>
      <c r="J82" s="434" t="s">
        <v>1176</v>
      </c>
      <c r="K82" s="431">
        <v>21</v>
      </c>
      <c r="L82" s="434"/>
      <c r="M82" s="434" t="str">
        <f t="shared" si="36"/>
        <v>Medium Oil</v>
      </c>
      <c r="N82" s="575">
        <f t="shared" ref="N82:O82" si="127">Y50</f>
        <v>39.659458817161386</v>
      </c>
      <c r="O82" s="576">
        <f t="shared" si="127"/>
        <v>1.8634611370761611</v>
      </c>
      <c r="P82" s="577">
        <f t="shared" si="52"/>
        <v>4.4877892477934681E-2</v>
      </c>
      <c r="Q82" s="578">
        <f t="shared" si="38"/>
        <v>0.90025257054584151</v>
      </c>
      <c r="R82" s="579">
        <f t="shared" ref="R82:V82" si="128">T50</f>
        <v>0.8853716952922942</v>
      </c>
      <c r="S82" s="579">
        <f t="shared" si="128"/>
        <v>7.7836871238025379E-2</v>
      </c>
      <c r="T82" s="579">
        <f t="shared" si="128"/>
        <v>0</v>
      </c>
      <c r="U82" s="579">
        <f t="shared" si="128"/>
        <v>0</v>
      </c>
      <c r="V82" s="579">
        <f t="shared" si="128"/>
        <v>0.90025257054584151</v>
      </c>
      <c r="W82" s="580">
        <f t="shared" ref="W82:Y82" si="129">+IF($O82=0,"-",R82/$O82)</f>
        <v>0.47512216792536649</v>
      </c>
      <c r="X82" s="580">
        <f t="shared" si="129"/>
        <v>4.1770053417993079E-2</v>
      </c>
      <c r="Y82" s="580">
        <f t="shared" si="129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30">+IF(AI82="","",AI82*$AH82)</f>
        <v>41.522919954237551</v>
      </c>
      <c r="AX82" s="570">
        <f t="shared" si="130"/>
        <v>44.291114617853395</v>
      </c>
      <c r="AY82" s="570">
        <f t="shared" si="130"/>
        <v>40.009640204794231</v>
      </c>
      <c r="AZ82" s="570">
        <f t="shared" si="130"/>
        <v>37.155323929421456</v>
      </c>
      <c r="BA82" s="570">
        <f t="shared" si="130"/>
        <v>32.037239573580628</v>
      </c>
      <c r="BB82" s="570">
        <f t="shared" si="130"/>
        <v>24.360113039819371</v>
      </c>
      <c r="BC82" s="570">
        <f t="shared" si="130"/>
        <v>18.971360761313871</v>
      </c>
      <c r="BD82" s="570">
        <f t="shared" si="130"/>
        <v>15.378859242310208</v>
      </c>
      <c r="BE82" s="570">
        <f t="shared" si="130"/>
        <v>13.508789958445286</v>
      </c>
      <c r="BF82" s="570">
        <f t="shared" si="130"/>
        <v>10.70368603264791</v>
      </c>
      <c r="BG82" s="570">
        <f t="shared" si="130"/>
        <v>8.8582229235706826</v>
      </c>
      <c r="BH82" s="570">
        <f t="shared" si="130"/>
        <v>7.6279141841858635</v>
      </c>
      <c r="BI82" s="570">
        <f t="shared" si="130"/>
        <v>6.6928795422534044</v>
      </c>
      <c r="BJ82" s="571">
        <f t="shared" si="130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1">+IF(CB82="","",CB82*$AH82)</f>
        <v/>
      </c>
      <c r="CQ82" s="570" t="str">
        <f t="shared" si="131"/>
        <v/>
      </c>
      <c r="CR82" s="570" t="str">
        <f t="shared" si="131"/>
        <v/>
      </c>
      <c r="CS82" s="570" t="str">
        <f t="shared" si="131"/>
        <v/>
      </c>
      <c r="CT82" s="570" t="str">
        <f t="shared" si="131"/>
        <v/>
      </c>
      <c r="CU82" s="570" t="str">
        <f t="shared" si="131"/>
        <v/>
      </c>
      <c r="CV82" s="570" t="str">
        <f t="shared" si="131"/>
        <v/>
      </c>
      <c r="CW82" s="570" t="str">
        <f t="shared" si="131"/>
        <v/>
      </c>
      <c r="CX82" s="570" t="str">
        <f t="shared" si="131"/>
        <v/>
      </c>
      <c r="CY82" s="570" t="str">
        <f t="shared" si="131"/>
        <v/>
      </c>
      <c r="CZ82" s="570" t="str">
        <f t="shared" si="131"/>
        <v/>
      </c>
      <c r="DA82" s="570" t="str">
        <f t="shared" si="131"/>
        <v/>
      </c>
      <c r="DB82" s="570" t="str">
        <f t="shared" si="131"/>
        <v/>
      </c>
      <c r="DC82" s="571" t="str">
        <f t="shared" si="131"/>
        <v/>
      </c>
      <c r="DD82" s="569">
        <v>41.522919954237551</v>
      </c>
      <c r="DE82" s="570">
        <v>44.291114617853395</v>
      </c>
      <c r="DF82" s="572">
        <f t="shared" ref="DF82:DF83" si="132">+DE82+(DG82-DE82)*(2023-2020)/(2025-2020)</f>
        <v>40.009640204794231</v>
      </c>
      <c r="DG82" s="570">
        <v>37.155323929421456</v>
      </c>
      <c r="DH82" s="572">
        <f t="shared" ref="DH82:DH83" si="133">+DG82+(DI82-DG82)*(2027-2025)/(2030-2025)</f>
        <v>32.037239573580621</v>
      </c>
      <c r="DI82" s="570">
        <v>24.360113039819371</v>
      </c>
      <c r="DJ82" s="572">
        <f t="shared" ref="DJ82:DJ83" si="134">+DI82+(DK82-DI82)*(2033-2030)/(2035-2030)</f>
        <v>18.971360761313875</v>
      </c>
      <c r="DK82" s="570">
        <v>15.378859242310208</v>
      </c>
      <c r="DL82" s="572">
        <f t="shared" si="105"/>
        <v>13.50878995844529</v>
      </c>
      <c r="DM82" s="570">
        <v>10.70368603264791</v>
      </c>
      <c r="DN82" s="572">
        <f t="shared" si="121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1171</v>
      </c>
      <c r="J83" s="434" t="s">
        <v>1178</v>
      </c>
      <c r="K83" s="431">
        <f>20+(25-20)/2</f>
        <v>22.5</v>
      </c>
      <c r="L83" s="434"/>
      <c r="M83" s="434" t="str">
        <f t="shared" si="36"/>
        <v>Medium Oil</v>
      </c>
      <c r="N83" s="575">
        <f t="shared" ref="N83:O83" si="135">Y51</f>
        <v>94.059349180277351</v>
      </c>
      <c r="O83" s="576">
        <f t="shared" si="135"/>
        <v>2.497140090885289</v>
      </c>
      <c r="P83" s="577">
        <f t="shared" si="52"/>
        <v>2.5861960285988563E-2</v>
      </c>
      <c r="Q83" s="578">
        <f t="shared" si="38"/>
        <v>1.3766222989813104</v>
      </c>
      <c r="R83" s="579">
        <f t="shared" ref="R83:V83" si="136">T51</f>
        <v>0.51468242964795996</v>
      </c>
      <c r="S83" s="579">
        <f t="shared" si="136"/>
        <v>0.60583536225601842</v>
      </c>
      <c r="T83" s="579">
        <f t="shared" si="136"/>
        <v>1.3766222989813104</v>
      </c>
      <c r="U83" s="579">
        <f t="shared" si="136"/>
        <v>0</v>
      </c>
      <c r="V83" s="579">
        <f t="shared" si="136"/>
        <v>0</v>
      </c>
      <c r="W83" s="580">
        <f t="shared" ref="W83:Y83" si="137">+IF($O83=0,"-",R83/$O83)</f>
        <v>0.20610875277946228</v>
      </c>
      <c r="X83" s="580">
        <f t="shared" si="137"/>
        <v>0.24261168384879719</v>
      </c>
      <c r="Y83" s="580">
        <f t="shared" si="137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8">+IF(AI83="","",AI83*$AH83)</f>
        <v>96.556489271162647</v>
      </c>
      <c r="AX83" s="570">
        <f t="shared" si="138"/>
        <v>81.38555121486084</v>
      </c>
      <c r="AY83" s="570">
        <f t="shared" si="138"/>
        <v>54.147600689252947</v>
      </c>
      <c r="AZ83" s="570">
        <f t="shared" si="138"/>
        <v>35.988967005514347</v>
      </c>
      <c r="BA83" s="570">
        <f t="shared" si="138"/>
        <v>26.641465620621492</v>
      </c>
      <c r="BB83" s="570">
        <f t="shared" si="138"/>
        <v>12.620213543282201</v>
      </c>
      <c r="BC83" s="570">
        <f t="shared" si="138"/>
        <v>8.9591411203930633</v>
      </c>
      <c r="BD83" s="570">
        <f t="shared" si="138"/>
        <v>6.5184261718003045</v>
      </c>
      <c r="BE83" s="570">
        <f t="shared" si="138"/>
        <v>5.5102155280171621</v>
      </c>
      <c r="BF83" s="570">
        <f t="shared" si="138"/>
        <v>3.997899562342448</v>
      </c>
      <c r="BG83" s="570">
        <f t="shared" si="138"/>
        <v>2.4855835966676652</v>
      </c>
      <c r="BH83" s="570">
        <f t="shared" si="138"/>
        <v>1.4773729528845878</v>
      </c>
      <c r="BI83" s="570">
        <f t="shared" si="138"/>
        <v>0.68322261785777083</v>
      </c>
      <c r="BJ83" s="571">
        <f t="shared" si="138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9">+IF(CB83="","",CB83*$AH83)</f>
        <v/>
      </c>
      <c r="CQ83" s="570" t="str">
        <f t="shared" si="139"/>
        <v/>
      </c>
      <c r="CR83" s="570" t="str">
        <f t="shared" si="139"/>
        <v/>
      </c>
      <c r="CS83" s="570" t="str">
        <f t="shared" si="139"/>
        <v/>
      </c>
      <c r="CT83" s="570" t="str">
        <f t="shared" si="139"/>
        <v/>
      </c>
      <c r="CU83" s="570" t="str">
        <f t="shared" si="139"/>
        <v/>
      </c>
      <c r="CV83" s="570" t="str">
        <f t="shared" si="139"/>
        <v/>
      </c>
      <c r="CW83" s="570" t="str">
        <f t="shared" si="139"/>
        <v/>
      </c>
      <c r="CX83" s="570" t="str">
        <f t="shared" si="139"/>
        <v/>
      </c>
      <c r="CY83" s="570" t="str">
        <f t="shared" si="139"/>
        <v/>
      </c>
      <c r="CZ83" s="570" t="str">
        <f t="shared" si="139"/>
        <v/>
      </c>
      <c r="DA83" s="570" t="str">
        <f t="shared" si="139"/>
        <v/>
      </c>
      <c r="DB83" s="570" t="str">
        <f t="shared" si="139"/>
        <v/>
      </c>
      <c r="DC83" s="571" t="str">
        <f t="shared" si="139"/>
        <v/>
      </c>
      <c r="DD83" s="569">
        <v>96.556489271162647</v>
      </c>
      <c r="DE83" s="570">
        <v>81.38555121486084</v>
      </c>
      <c r="DF83" s="572">
        <f t="shared" si="132"/>
        <v>54.14760068925294</v>
      </c>
      <c r="DG83" s="570">
        <v>35.988967005514347</v>
      </c>
      <c r="DH83" s="572">
        <f t="shared" si="133"/>
        <v>26.641465620621489</v>
      </c>
      <c r="DI83" s="570">
        <v>12.620213543282201</v>
      </c>
      <c r="DJ83" s="572">
        <f t="shared" si="134"/>
        <v>8.9591411203930633</v>
      </c>
      <c r="DK83" s="570">
        <v>6.5184261718003045</v>
      </c>
      <c r="DL83" s="572">
        <f t="shared" si="105"/>
        <v>5.5102155280171621</v>
      </c>
      <c r="DM83" s="570">
        <v>3.997899562342448</v>
      </c>
      <c r="DN83" s="573" t="s">
        <v>1365</v>
      </c>
      <c r="DO83" s="573" t="s">
        <v>1365</v>
      </c>
      <c r="DP83" s="573" t="s">
        <v>1365</v>
      </c>
      <c r="DQ83" s="574" t="s">
        <v>1365</v>
      </c>
    </row>
    <row r="84" spans="9:121" ht="15.75" customHeight="1" x14ac:dyDescent="0.25">
      <c r="I84" s="431" t="s">
        <v>1180</v>
      </c>
      <c r="J84" s="434" t="s">
        <v>1181</v>
      </c>
      <c r="K84" s="431">
        <v>23</v>
      </c>
      <c r="L84" s="434"/>
      <c r="M84" s="434" t="str">
        <f t="shared" si="36"/>
        <v>Medium Oil</v>
      </c>
      <c r="N84" s="575">
        <f t="shared" ref="N84:O84" si="140">Y52</f>
        <v>10.408512554584734</v>
      </c>
      <c r="O84" s="576">
        <f t="shared" si="140"/>
        <v>0.71025387836690013</v>
      </c>
      <c r="P84" s="577">
        <f t="shared" si="52"/>
        <v>6.3878837877373515E-2</v>
      </c>
      <c r="Q84" s="578">
        <f t="shared" si="38"/>
        <v>0.38201649904628787</v>
      </c>
      <c r="R84" s="579">
        <f t="shared" ref="R84:V84" si="141">T52</f>
        <v>3.8100694170208539E-2</v>
      </c>
      <c r="S84" s="579">
        <f t="shared" si="141"/>
        <v>8.403555333142973E-2</v>
      </c>
      <c r="T84" s="579">
        <f t="shared" si="141"/>
        <v>0.58683549303812432</v>
      </c>
      <c r="U84" s="579">
        <f t="shared" si="141"/>
        <v>0.2061011318189738</v>
      </c>
      <c r="V84" s="579">
        <f t="shared" si="141"/>
        <v>1.2821378271373829E-3</v>
      </c>
      <c r="W84" s="580">
        <f t="shared" ref="W84:Y84" si="142">+IF($O84=0,"-",R84/$O84)</f>
        <v>5.3643767856381398E-2</v>
      </c>
      <c r="X84" s="580">
        <f t="shared" si="142"/>
        <v>0.11831762682472671</v>
      </c>
      <c r="Y84" s="580">
        <f t="shared" si="142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3">+IF(AI84="","",AI84*$AH84)</f>
        <v>11.118766432951634</v>
      </c>
      <c r="AX84" s="570">
        <f t="shared" si="143"/>
        <v>10.329308255559129</v>
      </c>
      <c r="AY84" s="570">
        <f t="shared" si="143"/>
        <v>7.4122676392174629</v>
      </c>
      <c r="AZ84" s="570">
        <f t="shared" si="143"/>
        <v>6.0090208229542244</v>
      </c>
      <c r="BA84" s="570">
        <f t="shared" si="143"/>
        <v>4.7560667479381209</v>
      </c>
      <c r="BB84" s="570">
        <f t="shared" si="143"/>
        <v>3.0919097152070951</v>
      </c>
      <c r="BC84" s="570">
        <f t="shared" si="143"/>
        <v>2.41207025324894</v>
      </c>
      <c r="BD84" s="570">
        <f t="shared" si="143"/>
        <v>1.9588439452768174</v>
      </c>
      <c r="BE84" s="570">
        <f t="shared" si="143"/>
        <v>1.4871879387963971</v>
      </c>
      <c r="BF84" s="570">
        <f t="shared" si="143"/>
        <v>0.84330763446910884</v>
      </c>
      <c r="BG84" s="570">
        <f t="shared" si="143"/>
        <v>0.21509778263776425</v>
      </c>
      <c r="BH84" s="570">
        <f t="shared" si="143"/>
        <v>8.1964630505155761E-2</v>
      </c>
      <c r="BI84" s="570">
        <f t="shared" si="143"/>
        <v>7.007271496425789E-2</v>
      </c>
      <c r="BJ84" s="571">
        <f t="shared" si="143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4">+IF(CB84="","",CB84*$AH84)</f>
        <v/>
      </c>
      <c r="CQ84" s="570" t="str">
        <f t="shared" si="144"/>
        <v/>
      </c>
      <c r="CR84" s="570" t="str">
        <f t="shared" si="144"/>
        <v/>
      </c>
      <c r="CS84" s="570" t="str">
        <f t="shared" si="144"/>
        <v/>
      </c>
      <c r="CT84" s="570" t="str">
        <f t="shared" si="144"/>
        <v/>
      </c>
      <c r="CU84" s="570" t="str">
        <f t="shared" si="144"/>
        <v/>
      </c>
      <c r="CV84" s="570" t="str">
        <f t="shared" si="144"/>
        <v/>
      </c>
      <c r="CW84" s="570" t="str">
        <f t="shared" si="144"/>
        <v/>
      </c>
      <c r="CX84" s="570" t="str">
        <f t="shared" si="144"/>
        <v/>
      </c>
      <c r="CY84" s="570" t="str">
        <f t="shared" si="144"/>
        <v/>
      </c>
      <c r="CZ84" s="570" t="str">
        <f t="shared" si="144"/>
        <v/>
      </c>
      <c r="DA84" s="570" t="str">
        <f t="shared" si="144"/>
        <v/>
      </c>
      <c r="DB84" s="570" t="str">
        <f t="shared" si="144"/>
        <v/>
      </c>
      <c r="DC84" s="571" t="str">
        <f t="shared" si="144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5">+DM84+(DO84-DM84)*(2043-2040)/(2045-2040)</f>
        <v>0.10082841633582691</v>
      </c>
      <c r="DO84" s="570">
        <v>8.1964630505155761E-2</v>
      </c>
      <c r="DP84" s="572">
        <f t="shared" ref="DP84:DP87" si="146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1180</v>
      </c>
      <c r="J85" s="434" t="s">
        <v>1183</v>
      </c>
      <c r="K85" s="431">
        <v>25.5</v>
      </c>
      <c r="L85" s="434"/>
      <c r="M85" s="434" t="str">
        <f t="shared" si="36"/>
        <v>Medium Oil</v>
      </c>
      <c r="N85" s="575">
        <f t="shared" ref="N85:O85" si="147">Y53</f>
        <v>9.2296903712167389</v>
      </c>
      <c r="O85" s="576">
        <f t="shared" si="147"/>
        <v>0.31949461271981699</v>
      </c>
      <c r="P85" s="577">
        <f t="shared" si="52"/>
        <v>3.3457788623559429E-2</v>
      </c>
      <c r="Q85" s="578">
        <f t="shared" si="38"/>
        <v>0</v>
      </c>
      <c r="R85" s="579">
        <f t="shared" ref="R85:V85" si="148">T53</f>
        <v>0.16765718815173636</v>
      </c>
      <c r="S85" s="579">
        <f t="shared" si="148"/>
        <v>0.15183742456808058</v>
      </c>
      <c r="T85" s="579">
        <f t="shared" si="148"/>
        <v>0</v>
      </c>
      <c r="U85" s="579">
        <f t="shared" si="148"/>
        <v>0</v>
      </c>
      <c r="V85" s="579">
        <f t="shared" si="148"/>
        <v>0</v>
      </c>
      <c r="W85" s="580">
        <f t="shared" ref="W85:Y85" si="149">+IF($O85=0,"-",R85/$O85)</f>
        <v>0.52475748096186048</v>
      </c>
      <c r="X85" s="580">
        <f t="shared" si="149"/>
        <v>0.47524251903813935</v>
      </c>
      <c r="Y85" s="580">
        <f t="shared" si="149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50">+IF(AI85="","",AI85*$AH85)</f>
        <v>9.5491849839365557</v>
      </c>
      <c r="AX85" s="570">
        <f t="shared" si="150"/>
        <v>8.7975469211214641</v>
      </c>
      <c r="AY85" s="570">
        <f t="shared" si="150"/>
        <v>9.1710754094693634</v>
      </c>
      <c r="AZ85" s="570">
        <f t="shared" si="150"/>
        <v>7.7206679314207314</v>
      </c>
      <c r="BA85" s="570">
        <f t="shared" si="150"/>
        <v>6.9250482043438293</v>
      </c>
      <c r="BB85" s="570">
        <f t="shared" si="150"/>
        <v>5.7316186137284753</v>
      </c>
      <c r="BC85" s="570">
        <f t="shared" si="150"/>
        <v>4.86647321568931</v>
      </c>
      <c r="BD85" s="570">
        <f t="shared" si="150"/>
        <v>4.2897096169965332</v>
      </c>
      <c r="BE85" s="570">
        <f t="shared" si="150"/>
        <v>3.9319640225224832</v>
      </c>
      <c r="BF85" s="570">
        <f t="shared" si="150"/>
        <v>3.3953456308114087</v>
      </c>
      <c r="BG85" s="570">
        <f t="shared" si="150"/>
        <v>2.9682362412096941</v>
      </c>
      <c r="BH85" s="570">
        <f t="shared" si="150"/>
        <v>2.6834966481418845</v>
      </c>
      <c r="BI85" s="570">
        <f t="shared" si="150"/>
        <v>2.5447690578865609</v>
      </c>
      <c r="BJ85" s="571">
        <f t="shared" si="150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1">+IF(CB85="","",CB85*$AH85)</f>
        <v/>
      </c>
      <c r="CQ85" s="570" t="str">
        <f t="shared" si="151"/>
        <v/>
      </c>
      <c r="CR85" s="570" t="str">
        <f t="shared" si="151"/>
        <v/>
      </c>
      <c r="CS85" s="570" t="str">
        <f t="shared" si="151"/>
        <v/>
      </c>
      <c r="CT85" s="570" t="str">
        <f t="shared" si="151"/>
        <v/>
      </c>
      <c r="CU85" s="570" t="str">
        <f t="shared" si="151"/>
        <v/>
      </c>
      <c r="CV85" s="570" t="str">
        <f t="shared" si="151"/>
        <v/>
      </c>
      <c r="CW85" s="570" t="str">
        <f t="shared" si="151"/>
        <v/>
      </c>
      <c r="CX85" s="570" t="str">
        <f t="shared" si="151"/>
        <v/>
      </c>
      <c r="CY85" s="570" t="str">
        <f t="shared" si="151"/>
        <v/>
      </c>
      <c r="CZ85" s="570" t="str">
        <f t="shared" si="151"/>
        <v/>
      </c>
      <c r="DA85" s="570" t="str">
        <f t="shared" si="151"/>
        <v/>
      </c>
      <c r="DB85" s="570" t="str">
        <f t="shared" si="151"/>
        <v/>
      </c>
      <c r="DC85" s="571" t="str">
        <f t="shared" si="151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2">+DG85+(DI85-DG85)*(2027-2025)/(2030-2025)</f>
        <v>6.9250482043438293</v>
      </c>
      <c r="DI85" s="570">
        <v>5.7316186137284753</v>
      </c>
      <c r="DJ85" s="572">
        <f t="shared" ref="DJ85:DJ87" si="153">+DI85+(DK85-DI85)*(2033-2030)/(2035-2030)</f>
        <v>4.86647321568931</v>
      </c>
      <c r="DK85" s="570">
        <v>4.2897096169965332</v>
      </c>
      <c r="DL85" s="572">
        <f t="shared" ref="DL85:DL87" si="154">+DK85+(DM85-DK85)*(2037-2035)/(2040-2035)</f>
        <v>3.9319640225224832</v>
      </c>
      <c r="DM85" s="570">
        <v>3.3953456308114087</v>
      </c>
      <c r="DN85" s="572">
        <f t="shared" si="145"/>
        <v>2.9682362412096941</v>
      </c>
      <c r="DO85" s="570">
        <v>2.6834966481418845</v>
      </c>
      <c r="DP85" s="572">
        <f t="shared" si="146"/>
        <v>2.5447690578865614</v>
      </c>
      <c r="DQ85" s="571">
        <v>2.3366776725035767</v>
      </c>
    </row>
    <row r="86" spans="9:121" ht="15.75" customHeight="1" x14ac:dyDescent="0.25">
      <c r="I86" s="431" t="s">
        <v>1180</v>
      </c>
      <c r="J86" s="434" t="s">
        <v>1185</v>
      </c>
      <c r="K86" s="431">
        <v>21</v>
      </c>
      <c r="L86" s="434"/>
      <c r="M86" s="434" t="str">
        <f t="shared" si="36"/>
        <v>Medium Oil</v>
      </c>
      <c r="N86" s="575">
        <f t="shared" ref="N86:O86" si="155">Y54</f>
        <v>8.7564836170076354</v>
      </c>
      <c r="O86" s="576">
        <f t="shared" si="155"/>
        <v>0.43874352621703561</v>
      </c>
      <c r="P86" s="577">
        <f t="shared" si="52"/>
        <v>4.771426734578444E-2</v>
      </c>
      <c r="Q86" s="578">
        <f t="shared" si="38"/>
        <v>0.23786180586758954</v>
      </c>
      <c r="R86" s="579">
        <f t="shared" ref="R86:V86" si="156">T54</f>
        <v>0</v>
      </c>
      <c r="S86" s="579">
        <f t="shared" si="156"/>
        <v>5.7140945681870784E-3</v>
      </c>
      <c r="T86" s="579">
        <f t="shared" si="156"/>
        <v>0.4330294316488485</v>
      </c>
      <c r="U86" s="579">
        <f t="shared" si="156"/>
        <v>0.19516762578125896</v>
      </c>
      <c r="V86" s="579">
        <f t="shared" si="156"/>
        <v>0</v>
      </c>
      <c r="W86" s="580">
        <f t="shared" ref="W86:Y86" si="157">+IF($O86=0,"-",R86/$O86)</f>
        <v>0</v>
      </c>
      <c r="X86" s="580">
        <f t="shared" si="157"/>
        <v>1.302376952990175E-2</v>
      </c>
      <c r="Y86" s="580">
        <f t="shared" si="157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8">+IF(AI86="","",AI86*$AH86)</f>
        <v>9.1952271432246704</v>
      </c>
      <c r="AX86" s="591">
        <f t="shared" si="158"/>
        <v>8.7082524970102764</v>
      </c>
      <c r="AY86" s="591">
        <f t="shared" si="158"/>
        <v>7.4103150703423335</v>
      </c>
      <c r="AZ86" s="591">
        <f t="shared" si="158"/>
        <v>6.5450234525637052</v>
      </c>
      <c r="BA86" s="591">
        <f t="shared" si="158"/>
        <v>5.4966407959613486</v>
      </c>
      <c r="BB86" s="591">
        <f t="shared" si="158"/>
        <v>3.9240668110578114</v>
      </c>
      <c r="BC86" s="591">
        <f t="shared" si="158"/>
        <v>3.1763047234570938</v>
      </c>
      <c r="BD86" s="591">
        <f t="shared" si="158"/>
        <v>2.677796665056615</v>
      </c>
      <c r="BE86" s="591">
        <f t="shared" si="158"/>
        <v>2.4084531460511469</v>
      </c>
      <c r="BF86" s="591">
        <f t="shared" si="158"/>
        <v>2.0044378675429444</v>
      </c>
      <c r="BG86" s="591">
        <f t="shared" si="158"/>
        <v>1.7384626462293669</v>
      </c>
      <c r="BH86" s="591">
        <f t="shared" si="158"/>
        <v>1.5611458320203151</v>
      </c>
      <c r="BI86" s="591">
        <f t="shared" si="158"/>
        <v>1.3833478324267074</v>
      </c>
      <c r="BJ86" s="592">
        <f t="shared" si="158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9">+IF(CB86="","",CB86*$AH86)</f>
        <v/>
      </c>
      <c r="CQ86" s="591" t="str">
        <f t="shared" si="159"/>
        <v/>
      </c>
      <c r="CR86" s="591" t="str">
        <f t="shared" si="159"/>
        <v/>
      </c>
      <c r="CS86" s="591" t="str">
        <f t="shared" si="159"/>
        <v/>
      </c>
      <c r="CT86" s="591" t="str">
        <f t="shared" si="159"/>
        <v/>
      </c>
      <c r="CU86" s="591" t="str">
        <f t="shared" si="159"/>
        <v/>
      </c>
      <c r="CV86" s="591" t="str">
        <f t="shared" si="159"/>
        <v/>
      </c>
      <c r="CW86" s="591" t="str">
        <f t="shared" si="159"/>
        <v/>
      </c>
      <c r="CX86" s="591" t="str">
        <f t="shared" si="159"/>
        <v/>
      </c>
      <c r="CY86" s="591" t="str">
        <f t="shared" si="159"/>
        <v/>
      </c>
      <c r="CZ86" s="591" t="str">
        <f t="shared" si="159"/>
        <v/>
      </c>
      <c r="DA86" s="591" t="str">
        <f t="shared" si="159"/>
        <v/>
      </c>
      <c r="DB86" s="591" t="str">
        <f t="shared" si="159"/>
        <v/>
      </c>
      <c r="DC86" s="592" t="str">
        <f t="shared" si="159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2"/>
        <v>5.4966407959613477</v>
      </c>
      <c r="DI86" s="570">
        <v>3.9240668110578114</v>
      </c>
      <c r="DJ86" s="572">
        <f t="shared" si="153"/>
        <v>3.1763047234570934</v>
      </c>
      <c r="DK86" s="570">
        <v>2.677796665056615</v>
      </c>
      <c r="DL86" s="572">
        <f t="shared" si="154"/>
        <v>2.4084531460511469</v>
      </c>
      <c r="DM86" s="570">
        <v>2.0044378675429444</v>
      </c>
      <c r="DN86" s="572">
        <f t="shared" si="145"/>
        <v>1.7384626462293669</v>
      </c>
      <c r="DO86" s="570">
        <v>1.5611458320203151</v>
      </c>
      <c r="DP86" s="572">
        <f t="shared" si="146"/>
        <v>1.3833478324267074</v>
      </c>
      <c r="DQ86" s="571">
        <v>1.1166508330362959</v>
      </c>
    </row>
    <row r="87" spans="9:121" ht="15.75" customHeight="1" x14ac:dyDescent="0.25">
      <c r="I87" s="432" t="s">
        <v>1188</v>
      </c>
      <c r="J87" s="440" t="s">
        <v>1189</v>
      </c>
      <c r="K87" s="431" t="s">
        <v>1023</v>
      </c>
      <c r="L87" s="434" t="s">
        <v>7</v>
      </c>
      <c r="M87" s="434" t="s">
        <v>1320</v>
      </c>
      <c r="N87" s="575">
        <f t="shared" ref="N87:O87" si="160">Y55</f>
        <v>0</v>
      </c>
      <c r="O87" s="576">
        <f t="shared" si="160"/>
        <v>1.0840525806313783</v>
      </c>
      <c r="P87" s="577">
        <f t="shared" si="52"/>
        <v>1</v>
      </c>
      <c r="Q87" s="578">
        <f t="shared" si="38"/>
        <v>1.0840525806313783</v>
      </c>
      <c r="R87" s="579">
        <f t="shared" ref="R87:V87" si="161">T55</f>
        <v>0</v>
      </c>
      <c r="S87" s="579">
        <f t="shared" si="161"/>
        <v>0</v>
      </c>
      <c r="T87" s="579">
        <f t="shared" si="161"/>
        <v>0</v>
      </c>
      <c r="U87" s="579">
        <f t="shared" si="161"/>
        <v>0</v>
      </c>
      <c r="V87" s="579">
        <f t="shared" si="161"/>
        <v>1.0840525806313783</v>
      </c>
      <c r="W87" s="580">
        <f t="shared" ref="W87:Y87" si="162">+IF($O87=0,"-",R87/$O87)</f>
        <v>0</v>
      </c>
      <c r="X87" s="580">
        <f t="shared" si="162"/>
        <v>0</v>
      </c>
      <c r="Y87" s="580">
        <f t="shared" si="162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3">+IF(AI87="","",AI87*$AH87)</f>
        <v>1.0840525806313783</v>
      </c>
      <c r="AX87" s="591">
        <f t="shared" si="163"/>
        <v>1.1263827718978625</v>
      </c>
      <c r="AY87" s="591">
        <f t="shared" si="163"/>
        <v>1.4482064210115375</v>
      </c>
      <c r="AZ87" s="591">
        <f t="shared" si="163"/>
        <v>1.2250061482391499</v>
      </c>
      <c r="BA87" s="591">
        <f t="shared" si="163"/>
        <v>1.073437590914645</v>
      </c>
      <c r="BB87" s="591">
        <f t="shared" si="163"/>
        <v>0.84608475492788726</v>
      </c>
      <c r="BC87" s="591">
        <f t="shared" si="163"/>
        <v>0.68724921197823496</v>
      </c>
      <c r="BD87" s="591">
        <f t="shared" si="163"/>
        <v>0.5813588500118001</v>
      </c>
      <c r="BE87" s="591">
        <f t="shared" si="163"/>
        <v>0.51076527536751015</v>
      </c>
      <c r="BF87" s="591">
        <f t="shared" si="163"/>
        <v>0.40487491340107512</v>
      </c>
      <c r="BG87" s="591">
        <f t="shared" si="163"/>
        <v>0.3301287755424151</v>
      </c>
      <c r="BH87" s="591">
        <f t="shared" si="163"/>
        <v>0.28029801696997508</v>
      </c>
      <c r="BI87" s="591">
        <f t="shared" si="163"/>
        <v>0.24707751125501498</v>
      </c>
      <c r="BJ87" s="592">
        <f t="shared" si="163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4">+IF(CB87="","",CB87*$AH87)</f>
        <v/>
      </c>
      <c r="CQ87" s="591" t="str">
        <f t="shared" si="164"/>
        <v/>
      </c>
      <c r="CR87" s="591" t="str">
        <f t="shared" si="164"/>
        <v/>
      </c>
      <c r="CS87" s="591" t="str">
        <f t="shared" si="164"/>
        <v/>
      </c>
      <c r="CT87" s="591" t="str">
        <f t="shared" si="164"/>
        <v/>
      </c>
      <c r="CU87" s="591" t="str">
        <f t="shared" si="164"/>
        <v/>
      </c>
      <c r="CV87" s="591" t="str">
        <f t="shared" si="164"/>
        <v/>
      </c>
      <c r="CW87" s="591" t="str">
        <f t="shared" si="164"/>
        <v/>
      </c>
      <c r="CX87" s="591" t="str">
        <f t="shared" si="164"/>
        <v/>
      </c>
      <c r="CY87" s="591" t="str">
        <f t="shared" si="164"/>
        <v/>
      </c>
      <c r="CZ87" s="591" t="str">
        <f t="shared" si="164"/>
        <v/>
      </c>
      <c r="DA87" s="591" t="str">
        <f t="shared" si="164"/>
        <v/>
      </c>
      <c r="DB87" s="591" t="str">
        <f t="shared" si="164"/>
        <v/>
      </c>
      <c r="DC87" s="592" t="str">
        <f t="shared" si="164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2"/>
        <v>1.0734375909146447</v>
      </c>
      <c r="DI87" s="595">
        <v>0.84608475492788726</v>
      </c>
      <c r="DJ87" s="596">
        <f t="shared" si="153"/>
        <v>0.68724921197823496</v>
      </c>
      <c r="DK87" s="595">
        <v>0.5813588500118001</v>
      </c>
      <c r="DL87" s="596">
        <f t="shared" si="154"/>
        <v>0.51076527536751015</v>
      </c>
      <c r="DM87" s="595">
        <v>0.40487491340107512</v>
      </c>
      <c r="DN87" s="596">
        <f t="shared" si="145"/>
        <v>0.3301287755424151</v>
      </c>
      <c r="DO87" s="595">
        <v>0.28029801696997508</v>
      </c>
      <c r="DP87" s="596">
        <f t="shared" si="146"/>
        <v>0.24707751125501498</v>
      </c>
      <c r="DQ87" s="597">
        <v>0.19724675268257483</v>
      </c>
    </row>
    <row r="88" spans="9:121" ht="15.75" customHeight="1" x14ac:dyDescent="0.25">
      <c r="I88" s="432" t="s">
        <v>1188</v>
      </c>
      <c r="J88" s="440" t="s">
        <v>1192</v>
      </c>
      <c r="K88" s="431" t="s">
        <v>1023</v>
      </c>
      <c r="L88" s="434" t="s">
        <v>7</v>
      </c>
      <c r="M88" s="434" t="s">
        <v>1320</v>
      </c>
      <c r="N88" s="583">
        <f t="shared" ref="N88:O88" si="165">Y56</f>
        <v>1.3579511620070052E-2</v>
      </c>
      <c r="O88" s="576">
        <f t="shared" si="165"/>
        <v>2.2925734862295029</v>
      </c>
      <c r="P88" s="577">
        <f t="shared" si="52"/>
        <v>0.99411161721154995</v>
      </c>
      <c r="Q88" s="578">
        <f t="shared" si="38"/>
        <v>2.2440339691202391</v>
      </c>
      <c r="R88" s="579">
        <f t="shared" ref="R88:V88" si="166">T56</f>
        <v>4.2906187128613207E-3</v>
      </c>
      <c r="S88" s="579">
        <f t="shared" si="166"/>
        <v>4.4248898396402753E-2</v>
      </c>
      <c r="T88" s="579">
        <f t="shared" si="166"/>
        <v>0</v>
      </c>
      <c r="U88" s="579">
        <f t="shared" si="166"/>
        <v>0</v>
      </c>
      <c r="V88" s="579">
        <f t="shared" si="166"/>
        <v>2.2440339691202391</v>
      </c>
      <c r="W88" s="580">
        <f t="shared" ref="W88:Y88" si="167">+IF($O88=0,"-",R88/$O88)</f>
        <v>1.8715294138369877E-3</v>
      </c>
      <c r="X88" s="580">
        <f t="shared" si="167"/>
        <v>1.9300972754935336E-2</v>
      </c>
      <c r="Y88" s="580">
        <f t="shared" si="167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8">+IF(AI88="","",AI88*$AH88)</f>
        <v>2.3061529978495727</v>
      </c>
      <c r="AX88" s="591">
        <f t="shared" si="168"/>
        <v>2.2219884839807933</v>
      </c>
      <c r="AY88" s="591">
        <f t="shared" si="168"/>
        <v>2.2041946644495511</v>
      </c>
      <c r="AZ88" s="591">
        <f t="shared" si="168"/>
        <v>1.8234035596277018</v>
      </c>
      <c r="BA88" s="591">
        <f t="shared" si="168"/>
        <v>1.4932499279846376</v>
      </c>
      <c r="BB88" s="591">
        <f t="shared" si="168"/>
        <v>1.1036545018620887</v>
      </c>
      <c r="BC88" s="591">
        <f t="shared" si="168"/>
        <v>0.82391949793526853</v>
      </c>
      <c r="BD88" s="591">
        <f t="shared" si="168"/>
        <v>0.69656827300258517</v>
      </c>
      <c r="BE88" s="591">
        <f t="shared" si="168"/>
        <v>0.56928438513529978</v>
      </c>
      <c r="BF88" s="591">
        <f t="shared" si="168"/>
        <v>0.44169748047372609</v>
      </c>
      <c r="BG88" s="591">
        <f t="shared" si="168"/>
        <v>0.33942931240154489</v>
      </c>
      <c r="BH88" s="591">
        <f t="shared" si="168"/>
        <v>0.28815213710148468</v>
      </c>
      <c r="BI88" s="591">
        <f t="shared" si="168"/>
        <v>0.236874961801425</v>
      </c>
      <c r="BJ88" s="592">
        <f t="shared" si="168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9">+IF(CB88="","",CB88*$AH88)</f>
        <v/>
      </c>
      <c r="CQ88" s="591" t="str">
        <f t="shared" si="169"/>
        <v/>
      </c>
      <c r="CR88" s="591" t="str">
        <f t="shared" si="169"/>
        <v/>
      </c>
      <c r="CS88" s="591" t="str">
        <f t="shared" si="169"/>
        <v/>
      </c>
      <c r="CT88" s="591" t="str">
        <f t="shared" si="169"/>
        <v/>
      </c>
      <c r="CU88" s="591" t="str">
        <f t="shared" si="169"/>
        <v/>
      </c>
      <c r="CV88" s="591" t="str">
        <f t="shared" si="169"/>
        <v/>
      </c>
      <c r="CW88" s="591" t="str">
        <f t="shared" si="169"/>
        <v/>
      </c>
      <c r="CX88" s="591" t="str">
        <f t="shared" si="169"/>
        <v/>
      </c>
      <c r="CY88" s="591" t="str">
        <f t="shared" si="169"/>
        <v/>
      </c>
      <c r="CZ88" s="591" t="str">
        <f t="shared" si="169"/>
        <v/>
      </c>
      <c r="DA88" s="591" t="str">
        <f t="shared" si="169"/>
        <v/>
      </c>
      <c r="DB88" s="591" t="str">
        <f t="shared" si="169"/>
        <v/>
      </c>
      <c r="DC88" s="592" t="str">
        <f t="shared" si="169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1365</v>
      </c>
    </row>
    <row r="89" spans="9:121" ht="15.75" customHeight="1" x14ac:dyDescent="0.25">
      <c r="I89" s="432" t="s">
        <v>1188</v>
      </c>
      <c r="J89" s="440" t="s">
        <v>1193</v>
      </c>
      <c r="K89" s="431" t="s">
        <v>1023</v>
      </c>
      <c r="L89" s="434" t="s">
        <v>7</v>
      </c>
      <c r="M89" s="434" t="s">
        <v>1320</v>
      </c>
      <c r="N89" s="583">
        <f t="shared" ref="N89:O89" si="170">Y57</f>
        <v>6.1343436802343387E-2</v>
      </c>
      <c r="O89" s="576">
        <f t="shared" si="170"/>
        <v>10.354312893772342</v>
      </c>
      <c r="P89" s="577">
        <f t="shared" si="52"/>
        <v>0.99411045882703797</v>
      </c>
      <c r="Q89" s="578">
        <f t="shared" si="38"/>
        <v>10.137571027545471</v>
      </c>
      <c r="R89" s="579">
        <f t="shared" ref="R89:V89" si="171">T57</f>
        <v>1.8616237427097122E-2</v>
      </c>
      <c r="S89" s="579">
        <f t="shared" si="171"/>
        <v>0.19812562879977277</v>
      </c>
      <c r="T89" s="579">
        <f t="shared" si="171"/>
        <v>0</v>
      </c>
      <c r="U89" s="579">
        <f t="shared" si="171"/>
        <v>0</v>
      </c>
      <c r="V89" s="579">
        <f t="shared" si="171"/>
        <v>10.137571027545471</v>
      </c>
      <c r="W89" s="580">
        <f t="shared" ref="W89:Y89" si="172">+IF($O89=0,"-",R89/$O89)</f>
        <v>1.79792108062467E-3</v>
      </c>
      <c r="X89" s="580">
        <f t="shared" si="172"/>
        <v>1.913459935317741E-2</v>
      </c>
      <c r="Y89" s="580">
        <f t="shared" si="172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3">+IF(AI89="","",AI89*$AH89)</f>
        <v>10.415656330574684</v>
      </c>
      <c r="AX89" s="591">
        <f t="shared" si="173"/>
        <v>10.206646504543086</v>
      </c>
      <c r="AY89" s="591">
        <f t="shared" si="173"/>
        <v>9.9279667365009505</v>
      </c>
      <c r="AZ89" s="591">
        <f t="shared" si="173"/>
        <v>8.4648979542797598</v>
      </c>
      <c r="BA89" s="591">
        <f t="shared" si="173"/>
        <v>7.2456739690954315</v>
      </c>
      <c r="BB89" s="591">
        <f t="shared" si="173"/>
        <v>5.7477702158689725</v>
      </c>
      <c r="BC89" s="591">
        <f t="shared" si="173"/>
        <v>4.7027210857109774</v>
      </c>
      <c r="BD89" s="591">
        <f t="shared" si="173"/>
        <v>4.0408566366109131</v>
      </c>
      <c r="BE89" s="591">
        <f t="shared" si="173"/>
        <v>3.4834971005266495</v>
      </c>
      <c r="BF89" s="591">
        <f t="shared" si="173"/>
        <v>2.8216326514265861</v>
      </c>
      <c r="BG89" s="591">
        <f t="shared" si="173"/>
        <v>2.1597682023265286</v>
      </c>
      <c r="BH89" s="591">
        <f t="shared" si="173"/>
        <v>1.718525236259782</v>
      </c>
      <c r="BI89" s="591">
        <f t="shared" si="173"/>
        <v>1.2772822701931017</v>
      </c>
      <c r="BJ89" s="592">
        <f t="shared" si="173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4">+IF(CB89="","",CB89*$AH89)</f>
        <v/>
      </c>
      <c r="CQ89" s="591" t="str">
        <f t="shared" si="174"/>
        <v/>
      </c>
      <c r="CR89" s="591" t="str">
        <f t="shared" si="174"/>
        <v/>
      </c>
      <c r="CS89" s="591" t="str">
        <f t="shared" si="174"/>
        <v/>
      </c>
      <c r="CT89" s="591" t="str">
        <f t="shared" si="174"/>
        <v/>
      </c>
      <c r="CU89" s="591" t="str">
        <f t="shared" si="174"/>
        <v/>
      </c>
      <c r="CV89" s="591" t="str">
        <f t="shared" si="174"/>
        <v/>
      </c>
      <c r="CW89" s="591" t="str">
        <f t="shared" si="174"/>
        <v/>
      </c>
      <c r="CX89" s="591" t="str">
        <f t="shared" si="174"/>
        <v/>
      </c>
      <c r="CY89" s="591" t="str">
        <f t="shared" si="174"/>
        <v/>
      </c>
      <c r="CZ89" s="591" t="str">
        <f t="shared" si="174"/>
        <v/>
      </c>
      <c r="DA89" s="591" t="str">
        <f t="shared" si="174"/>
        <v/>
      </c>
      <c r="DB89" s="591" t="str">
        <f t="shared" si="174"/>
        <v/>
      </c>
      <c r="DC89" s="592" t="str">
        <f t="shared" si="174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1365</v>
      </c>
      <c r="DO89" s="599" t="s">
        <v>1365</v>
      </c>
      <c r="DP89" s="599" t="s">
        <v>1365</v>
      </c>
      <c r="DQ89" s="600" t="s">
        <v>1365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1366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1367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5">0.05*BK78</f>
        <v>0.45976135716123356</v>
      </c>
      <c r="AX92" s="222">
        <f t="shared" si="175"/>
        <v>0.35887383114809163</v>
      </c>
      <c r="AY92" s="222">
        <f t="shared" si="175"/>
        <v>0.15821478661537516</v>
      </c>
      <c r="AZ92" s="222">
        <f t="shared" si="175"/>
        <v>9.9788867633869835E-2</v>
      </c>
      <c r="BA92" s="222">
        <f t="shared" si="175"/>
        <v>7.9246601656003113E-2</v>
      </c>
      <c r="BB92" s="222">
        <f t="shared" si="175"/>
        <v>4.8433202689203016E-2</v>
      </c>
      <c r="BC92" s="222">
        <f t="shared" si="175"/>
        <v>1.7807392237011568E-2</v>
      </c>
      <c r="BD92" s="222">
        <f t="shared" si="175"/>
        <v>1.3469739604707842E-2</v>
      </c>
      <c r="BE92" s="222">
        <f t="shared" si="175"/>
        <v>1.0699240411137064E-2</v>
      </c>
      <c r="BF92" s="222">
        <f t="shared" si="175"/>
        <v>6.5434916207808948E-3</v>
      </c>
      <c r="BG92" s="222">
        <f t="shared" si="175"/>
        <v>2.3877428304250412E-3</v>
      </c>
      <c r="BH92" s="222">
        <f t="shared" si="175"/>
        <v>0</v>
      </c>
      <c r="BI92" s="222">
        <f t="shared" si="175"/>
        <v>0</v>
      </c>
      <c r="BJ92" s="222">
        <f t="shared" si="175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975" t="s">
        <v>1335</v>
      </c>
      <c r="S96" s="919"/>
      <c r="T96" s="919"/>
      <c r="U96" s="919"/>
      <c r="V96" s="920"/>
      <c r="W96" s="977" t="s">
        <v>1336</v>
      </c>
      <c r="X96" s="919"/>
      <c r="Y96" s="919"/>
      <c r="Z96" s="920"/>
      <c r="AA96" s="541" t="s">
        <v>1337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1339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1339</v>
      </c>
      <c r="X97" s="544" t="s">
        <v>1339</v>
      </c>
      <c r="Y97" s="544" t="s">
        <v>1339</v>
      </c>
      <c r="Z97" s="544" t="s">
        <v>1339</v>
      </c>
      <c r="AA97" s="263" t="s">
        <v>1339</v>
      </c>
      <c r="AB97" s="439" t="s">
        <v>59</v>
      </c>
      <c r="AC97" s="439" t="s">
        <v>1340</v>
      </c>
      <c r="AD97" s="542" t="s">
        <v>59</v>
      </c>
      <c r="AE97" s="542" t="s">
        <v>1340</v>
      </c>
      <c r="AF97" s="542" t="s">
        <v>59</v>
      </c>
      <c r="AG97" s="542" t="s">
        <v>1340</v>
      </c>
      <c r="AH97" s="14" t="s">
        <v>59</v>
      </c>
      <c r="AI97" s="978" t="s">
        <v>1368</v>
      </c>
      <c r="AJ97" s="955"/>
      <c r="AK97" s="955"/>
      <c r="AL97" s="955"/>
      <c r="AM97" s="955"/>
      <c r="AN97" s="955"/>
      <c r="AO97" s="955"/>
      <c r="AP97" s="955"/>
      <c r="AQ97" s="955"/>
      <c r="AR97" s="955"/>
      <c r="AS97" s="955"/>
      <c r="AT97" s="955"/>
      <c r="AU97" s="955"/>
      <c r="AV97" s="945"/>
      <c r="AW97" s="978" t="s">
        <v>1369</v>
      </c>
      <c r="AX97" s="955"/>
      <c r="AY97" s="955"/>
      <c r="AZ97" s="955"/>
      <c r="BA97" s="955"/>
      <c r="BB97" s="955"/>
      <c r="BC97" s="955"/>
      <c r="BD97" s="955"/>
      <c r="BE97" s="955"/>
      <c r="BF97" s="955"/>
      <c r="BG97" s="955"/>
      <c r="BH97" s="955"/>
      <c r="BI97" s="955"/>
      <c r="BJ97" s="945"/>
      <c r="BK97" s="978" t="s">
        <v>1370</v>
      </c>
      <c r="BL97" s="955"/>
      <c r="BM97" s="955"/>
      <c r="BN97" s="955"/>
      <c r="BO97" s="955"/>
      <c r="BP97" s="955"/>
      <c r="BQ97" s="955"/>
      <c r="BR97" s="955"/>
      <c r="BS97" s="955"/>
      <c r="BT97" s="955"/>
      <c r="BU97" s="955"/>
      <c r="BV97" s="955"/>
      <c r="BW97" s="955"/>
      <c r="BX97" s="945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25">
      <c r="J98" s="608" t="s">
        <v>1126</v>
      </c>
      <c r="K98" s="608" t="s">
        <v>1371</v>
      </c>
      <c r="L98" s="608" t="s">
        <v>1372</v>
      </c>
      <c r="M98" s="608" t="str">
        <f>+M66</f>
        <v>Type of Oil producing</v>
      </c>
      <c r="N98" s="608" t="s">
        <v>1373</v>
      </c>
      <c r="O98" s="608" t="s">
        <v>1374</v>
      </c>
      <c r="P98" s="609" t="s">
        <v>1346</v>
      </c>
      <c r="Q98" s="609" t="s">
        <v>1375</v>
      </c>
      <c r="R98" s="610" t="s">
        <v>1376</v>
      </c>
      <c r="S98" s="610" t="s">
        <v>1377</v>
      </c>
      <c r="T98" s="610" t="s">
        <v>1378</v>
      </c>
      <c r="U98" s="610" t="s">
        <v>1379</v>
      </c>
      <c r="V98" s="610" t="s">
        <v>1380</v>
      </c>
      <c r="W98" s="611" t="s">
        <v>1381</v>
      </c>
      <c r="X98" s="611" t="s">
        <v>1382</v>
      </c>
      <c r="Y98" s="611" t="s">
        <v>1383</v>
      </c>
      <c r="Z98" s="611" t="s">
        <v>1384</v>
      </c>
      <c r="AA98" s="612" t="s">
        <v>1385</v>
      </c>
      <c r="AB98" s="552" t="s">
        <v>1386</v>
      </c>
      <c r="AC98" s="552" t="s">
        <v>1359</v>
      </c>
      <c r="AD98" s="549" t="s">
        <v>1387</v>
      </c>
      <c r="AE98" s="549" t="s">
        <v>1388</v>
      </c>
      <c r="AF98" s="549" t="s">
        <v>1389</v>
      </c>
      <c r="AG98" s="549" t="s">
        <v>1390</v>
      </c>
      <c r="AH98" s="553" t="s">
        <v>1391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1146</v>
      </c>
      <c r="K99" s="103" t="s">
        <v>1320</v>
      </c>
      <c r="L99" s="614" t="s">
        <v>6</v>
      </c>
      <c r="M99" s="615" t="s">
        <v>1392</v>
      </c>
      <c r="N99" s="616">
        <f t="shared" ref="N99:O99" si="176">+SUMIFS(N$67:N$89,$I$67:$I$89,$J99,$M$67:$M$89,$K99)</f>
        <v>0</v>
      </c>
      <c r="O99" s="616">
        <f t="shared" si="176"/>
        <v>68.585731940983607</v>
      </c>
      <c r="P99" s="617">
        <f t="shared" ref="P99:P105" si="177">+O99/(N99+O99)</f>
        <v>1</v>
      </c>
      <c r="Q99" s="618">
        <f t="shared" ref="Q99:V99" si="178">+SUMIFS(Q$67:Q$89,$I$67:$I$89,$J99,$M$67:$M$89,$K99)</f>
        <v>66.042848806832495</v>
      </c>
      <c r="R99" s="619">
        <f t="shared" si="178"/>
        <v>2.4500442407782339</v>
      </c>
      <c r="S99" s="620">
        <f t="shared" si="178"/>
        <v>9.2838893372876957E-2</v>
      </c>
      <c r="T99" s="619">
        <f t="shared" si="178"/>
        <v>5.6186813035864835</v>
      </c>
      <c r="U99" s="619">
        <f t="shared" si="178"/>
        <v>0</v>
      </c>
      <c r="V99" s="619">
        <f t="shared" si="178"/>
        <v>60.424167503246018</v>
      </c>
      <c r="W99" s="559">
        <f t="shared" ref="W99:Y99" si="179">+IF($O99=0,"-",R99/$O99)</f>
        <v>3.5722360488715625E-2</v>
      </c>
      <c r="X99" s="621">
        <f t="shared" si="179"/>
        <v>1.3536181760480828E-3</v>
      </c>
      <c r="Y99" s="559">
        <f t="shared" si="179"/>
        <v>8.1922014165004831E-2</v>
      </c>
      <c r="Z99" s="559">
        <f t="shared" ref="Z99:Z112" si="180">+IF($O99=0,"-",V99/$O99)</f>
        <v>0.88100200717023158</v>
      </c>
      <c r="AA99" s="560">
        <f t="shared" ref="AA99:AA101" si="181">+IF($T99=0,"-",U99/$T99)</f>
        <v>0</v>
      </c>
      <c r="AB99" s="622">
        <f t="shared" ref="AB99:AB105" si="182">+SUMIFS(AB$67:AB$89,$I$67:$I$89,$J99,$M$67:$M$89,$K99)</f>
        <v>266.73883552000007</v>
      </c>
      <c r="AC99" s="623">
        <f t="shared" ref="AC99:AC105" si="183">+IF((N99+O99)=0,"-",AB99/(N99+O99))</f>
        <v>3.8891301145480592</v>
      </c>
      <c r="AD99" s="563">
        <f t="shared" ref="AD99:AD112" si="184">+AB99*(100%-P99)</f>
        <v>0</v>
      </c>
      <c r="AE99" s="564" t="str">
        <f t="shared" ref="AE99:AE112" si="185">+IF(N99=0,"-",AD99/N99)</f>
        <v>-</v>
      </c>
      <c r="AF99" s="563">
        <f t="shared" ref="AF99:AF112" si="186">+AB99*(P99)</f>
        <v>266.73883552000007</v>
      </c>
      <c r="AG99" s="624">
        <f t="shared" ref="AG99:AG105" si="187">+AF99/O99</f>
        <v>3.8891301145480592</v>
      </c>
      <c r="AH99" s="616">
        <f t="shared" ref="AH99:AH105" si="188">+SUMIFS(AH$67:AH$89,$I$67:$I$89,$J99,$M$67:$M$89,$K99)</f>
        <v>68.585731940983607</v>
      </c>
      <c r="AI99" s="616">
        <f t="shared" ref="AI99:AV99" si="189">+SUMIFS(BK$67:BK$89,$I$67:$I$89,$J99,$M$67:$M$89,$K99)</f>
        <v>68.585731940983607</v>
      </c>
      <c r="AJ99" s="616">
        <f t="shared" si="189"/>
        <v>55.42289382660443</v>
      </c>
      <c r="AK99" s="616">
        <f t="shared" si="189"/>
        <v>48.301053084017497</v>
      </c>
      <c r="AL99" s="616">
        <f t="shared" si="189"/>
        <v>38.921861734744084</v>
      </c>
      <c r="AM99" s="616">
        <f t="shared" si="189"/>
        <v>31.12573621980787</v>
      </c>
      <c r="AN99" s="616">
        <f t="shared" si="189"/>
        <v>20.101904077407454</v>
      </c>
      <c r="AO99" s="616">
        <f t="shared" si="189"/>
        <v>8.0077874319897546</v>
      </c>
      <c r="AP99" s="616">
        <f t="shared" si="189"/>
        <v>2.86729599242289</v>
      </c>
      <c r="AQ99" s="616">
        <f t="shared" si="189"/>
        <v>2.3371052350566992</v>
      </c>
      <c r="AR99" s="616">
        <f t="shared" si="189"/>
        <v>1.5418190990073675</v>
      </c>
      <c r="AS99" s="616">
        <f t="shared" si="189"/>
        <v>0.74653296295810601</v>
      </c>
      <c r="AT99" s="616">
        <f t="shared" si="189"/>
        <v>0.21634220559186546</v>
      </c>
      <c r="AU99" s="616">
        <f t="shared" si="189"/>
        <v>0</v>
      </c>
      <c r="AV99" s="616">
        <f t="shared" si="189"/>
        <v>0</v>
      </c>
      <c r="AW99" s="625">
        <f t="shared" ref="AW99:BJ99" si="190">+AI99*(100%-$P99)</f>
        <v>0</v>
      </c>
      <c r="AX99" s="625">
        <f t="shared" si="190"/>
        <v>0</v>
      </c>
      <c r="AY99" s="625">
        <f t="shared" si="190"/>
        <v>0</v>
      </c>
      <c r="AZ99" s="625">
        <f t="shared" si="190"/>
        <v>0</v>
      </c>
      <c r="BA99" s="625">
        <f t="shared" si="190"/>
        <v>0</v>
      </c>
      <c r="BB99" s="625">
        <f t="shared" si="190"/>
        <v>0</v>
      </c>
      <c r="BC99" s="625">
        <f t="shared" si="190"/>
        <v>0</v>
      </c>
      <c r="BD99" s="625">
        <f t="shared" si="190"/>
        <v>0</v>
      </c>
      <c r="BE99" s="625">
        <f t="shared" si="190"/>
        <v>0</v>
      </c>
      <c r="BF99" s="625">
        <f t="shared" si="190"/>
        <v>0</v>
      </c>
      <c r="BG99" s="625">
        <f t="shared" si="190"/>
        <v>0</v>
      </c>
      <c r="BH99" s="625">
        <f t="shared" si="190"/>
        <v>0</v>
      </c>
      <c r="BI99" s="625">
        <f t="shared" si="190"/>
        <v>0</v>
      </c>
      <c r="BJ99" s="625">
        <f t="shared" si="190"/>
        <v>0</v>
      </c>
      <c r="BK99" s="625">
        <f t="shared" ref="BK99:BX99" si="191">+AI99*($P99)</f>
        <v>68.585731940983607</v>
      </c>
      <c r="BL99" s="625">
        <f t="shared" si="191"/>
        <v>55.42289382660443</v>
      </c>
      <c r="BM99" s="625">
        <f t="shared" si="191"/>
        <v>48.301053084017497</v>
      </c>
      <c r="BN99" s="625">
        <f t="shared" si="191"/>
        <v>38.921861734744084</v>
      </c>
      <c r="BO99" s="625">
        <f t="shared" si="191"/>
        <v>31.12573621980787</v>
      </c>
      <c r="BP99" s="625">
        <f t="shared" si="191"/>
        <v>20.101904077407454</v>
      </c>
      <c r="BQ99" s="625">
        <f t="shared" si="191"/>
        <v>8.0077874319897546</v>
      </c>
      <c r="BR99" s="625">
        <f t="shared" si="191"/>
        <v>2.86729599242289</v>
      </c>
      <c r="BS99" s="625">
        <f t="shared" si="191"/>
        <v>2.3371052350566992</v>
      </c>
      <c r="BT99" s="625">
        <f t="shared" si="191"/>
        <v>1.5418190990073675</v>
      </c>
      <c r="BU99" s="625">
        <f t="shared" si="191"/>
        <v>0.74653296295810601</v>
      </c>
      <c r="BV99" s="625">
        <f t="shared" si="191"/>
        <v>0.21634220559186546</v>
      </c>
      <c r="BW99" s="625">
        <f t="shared" si="191"/>
        <v>0</v>
      </c>
      <c r="BX99" s="625">
        <f t="shared" si="191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1150</v>
      </c>
      <c r="K100" s="103" t="s">
        <v>1120</v>
      </c>
      <c r="L100" s="614" t="s">
        <v>12</v>
      </c>
      <c r="M100" s="626" t="s">
        <v>1393</v>
      </c>
      <c r="N100" s="616">
        <f t="shared" ref="N100:O100" si="192">+SUMIFS(N$67:N$89,$I$67:$I$89,$J100,$M$67:$M$89,$K100)</f>
        <v>107.6091233110016</v>
      </c>
      <c r="O100" s="616">
        <f t="shared" si="192"/>
        <v>256.07651205217701</v>
      </c>
      <c r="P100" s="617">
        <f t="shared" si="177"/>
        <v>0.70411500249785086</v>
      </c>
      <c r="Q100" s="618">
        <f t="shared" ref="Q100:V100" si="193">+SUMIFS(Q$67:Q$89,$I$67:$I$89,$J100,$M$67:$M$89,$K100)</f>
        <v>209.74608813235034</v>
      </c>
      <c r="R100" s="619">
        <f t="shared" si="193"/>
        <v>28.837995441575647</v>
      </c>
      <c r="S100" s="619">
        <f t="shared" si="193"/>
        <v>3.2629701010505454</v>
      </c>
      <c r="T100" s="619">
        <f t="shared" si="193"/>
        <v>69.637902700685089</v>
      </c>
      <c r="U100" s="619">
        <f t="shared" si="193"/>
        <v>14.229458377200496</v>
      </c>
      <c r="V100" s="619">
        <f t="shared" si="193"/>
        <v>154.33764380886575</v>
      </c>
      <c r="W100" s="559">
        <f t="shared" ref="W100:Y100" si="194">+IF($O100=0,"-",R100/$O100)</f>
        <v>0.11261476193372918</v>
      </c>
      <c r="X100" s="559">
        <f t="shared" si="194"/>
        <v>1.2742168638979654E-2</v>
      </c>
      <c r="Y100" s="559">
        <f t="shared" si="194"/>
        <v>0.27194178076939746</v>
      </c>
      <c r="Z100" s="559">
        <f t="shared" si="180"/>
        <v>0.60270128865789374</v>
      </c>
      <c r="AA100" s="560">
        <f t="shared" si="181"/>
        <v>0.20433496451438232</v>
      </c>
      <c r="AB100" s="622">
        <f t="shared" si="182"/>
        <v>2135.7396415784524</v>
      </c>
      <c r="AC100" s="623">
        <f t="shared" si="183"/>
        <v>5.8724883083317003</v>
      </c>
      <c r="AD100" s="563">
        <f t="shared" si="184"/>
        <v>631.93331851368123</v>
      </c>
      <c r="AE100" s="627">
        <f t="shared" si="185"/>
        <v>5.8724883083317012</v>
      </c>
      <c r="AF100" s="563">
        <f t="shared" si="186"/>
        <v>1503.806323064771</v>
      </c>
      <c r="AG100" s="627">
        <f t="shared" si="187"/>
        <v>5.8724883083316994</v>
      </c>
      <c r="AH100" s="616">
        <f t="shared" si="188"/>
        <v>363.68563536317856</v>
      </c>
      <c r="AI100" s="616">
        <f t="shared" ref="AI100:AV100" si="195">+SUMIFS(BK$67:BK$89,$I$67:$I$89,$J100,$M$67:$M$89,$K100)</f>
        <v>363.68563536317856</v>
      </c>
      <c r="AJ100" s="616">
        <f t="shared" si="195"/>
        <v>357.03963544887284</v>
      </c>
      <c r="AK100" s="616">
        <f t="shared" si="195"/>
        <v>291.71333965512213</v>
      </c>
      <c r="AL100" s="616">
        <f t="shared" si="195"/>
        <v>219.06541620476196</v>
      </c>
      <c r="AM100" s="616">
        <f t="shared" si="195"/>
        <v>170.23519767765302</v>
      </c>
      <c r="AN100" s="616">
        <f t="shared" si="195"/>
        <v>111.95261234678644</v>
      </c>
      <c r="AO100" s="616">
        <f t="shared" si="195"/>
        <v>72.379931845519636</v>
      </c>
      <c r="AP100" s="616">
        <f t="shared" si="195"/>
        <v>52.2350632561674</v>
      </c>
      <c r="AQ100" s="616">
        <f t="shared" si="195"/>
        <v>39.077990841053399</v>
      </c>
      <c r="AR100" s="616">
        <f t="shared" si="195"/>
        <v>23.3968962245543</v>
      </c>
      <c r="AS100" s="616">
        <f t="shared" si="195"/>
        <v>17.354491524384926</v>
      </c>
      <c r="AT100" s="616">
        <f t="shared" si="195"/>
        <v>13.326221724272058</v>
      </c>
      <c r="AU100" s="616">
        <f t="shared" si="195"/>
        <v>10.029486407153993</v>
      </c>
      <c r="AV100" s="616">
        <f t="shared" si="195"/>
        <v>6.6898601086639449</v>
      </c>
      <c r="AW100" s="625">
        <f t="shared" ref="AW100:BJ100" si="196">+AI100*(100%-$P100)</f>
        <v>107.60912331100161</v>
      </c>
      <c r="AX100" s="625">
        <f t="shared" si="196"/>
        <v>105.64267164295798</v>
      </c>
      <c r="AY100" s="625">
        <f t="shared" si="196"/>
        <v>86.31360077519939</v>
      </c>
      <c r="AZ100" s="625">
        <f t="shared" si="196"/>
        <v>64.818170126553255</v>
      </c>
      <c r="BA100" s="625">
        <f t="shared" si="196"/>
        <v>50.37004103963023</v>
      </c>
      <c r="BB100" s="625">
        <f t="shared" si="196"/>
        <v>33.125098424587975</v>
      </c>
      <c r="BC100" s="625">
        <f t="shared" si="196"/>
        <v>21.416135953317301</v>
      </c>
      <c r="BD100" s="625">
        <f t="shared" si="196"/>
        <v>15.455571561075693</v>
      </c>
      <c r="BE100" s="625">
        <f t="shared" si="196"/>
        <v>11.562591222394092</v>
      </c>
      <c r="BF100" s="625">
        <f t="shared" si="196"/>
        <v>6.9227905809602914</v>
      </c>
      <c r="BG100" s="625">
        <f t="shared" si="196"/>
        <v>5.1349336813437025</v>
      </c>
      <c r="BH100" s="625">
        <f t="shared" si="196"/>
        <v>3.9430290815993234</v>
      </c>
      <c r="BI100" s="625">
        <f t="shared" si="196"/>
        <v>2.9675745605285977</v>
      </c>
      <c r="BJ100" s="625">
        <f t="shared" si="196"/>
        <v>1.9794292415417585</v>
      </c>
      <c r="BK100" s="625">
        <f t="shared" ref="BK100:BX100" si="197">+AI100*($P100)</f>
        <v>256.07651205217695</v>
      </c>
      <c r="BL100" s="625">
        <f t="shared" si="197"/>
        <v>251.39696380591485</v>
      </c>
      <c r="BM100" s="625">
        <f t="shared" si="197"/>
        <v>205.39973887992272</v>
      </c>
      <c r="BN100" s="625">
        <f t="shared" si="197"/>
        <v>154.24724607820872</v>
      </c>
      <c r="BO100" s="625">
        <f t="shared" si="197"/>
        <v>119.8651566380228</v>
      </c>
      <c r="BP100" s="625">
        <f t="shared" si="197"/>
        <v>78.827513922198463</v>
      </c>
      <c r="BQ100" s="625">
        <f t="shared" si="197"/>
        <v>50.963795892202334</v>
      </c>
      <c r="BR100" s="625">
        <f t="shared" si="197"/>
        <v>36.779491695091707</v>
      </c>
      <c r="BS100" s="625">
        <f t="shared" si="197"/>
        <v>27.515399618659306</v>
      </c>
      <c r="BT100" s="625">
        <f t="shared" si="197"/>
        <v>16.474105643594008</v>
      </c>
      <c r="BU100" s="625">
        <f t="shared" si="197"/>
        <v>12.219557843041224</v>
      </c>
      <c r="BV100" s="625">
        <f t="shared" si="197"/>
        <v>9.3831926426727339</v>
      </c>
      <c r="BW100" s="625">
        <f t="shared" si="197"/>
        <v>7.061911846625395</v>
      </c>
      <c r="BX100" s="625">
        <f t="shared" si="197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1150</v>
      </c>
      <c r="K101" s="103" t="s">
        <v>1118</v>
      </c>
      <c r="L101" s="614" t="s">
        <v>16</v>
      </c>
      <c r="M101" s="34" t="s">
        <v>1394</v>
      </c>
      <c r="N101" s="616">
        <f>+SUMIFS(N$67:N$89,$I$67:$I$89,$J101,$M$67:$M$89,$K101)</f>
        <v>724.65339318846713</v>
      </c>
      <c r="O101" s="616">
        <f t="shared" ref="O101" si="198">+SUMIFS(O$67:O$89,$I$67:$I$89,$J101,$M$67:$M$89,$K101)</f>
        <v>2.0511176562165518</v>
      </c>
      <c r="P101" s="617">
        <f t="shared" si="177"/>
        <v>2.8224919834781799E-3</v>
      </c>
      <c r="Q101" s="618">
        <f t="shared" ref="Q101:V101" si="199">+SUMIFS(Q$67:Q$89,$I$67:$I$89,$J101,$M$67:$M$89,$K101)</f>
        <v>0.23786180586758954</v>
      </c>
      <c r="R101" s="619">
        <f t="shared" si="199"/>
        <v>0.32681390346528633</v>
      </c>
      <c r="S101" s="619">
        <f t="shared" si="199"/>
        <v>1.2912743211024171</v>
      </c>
      <c r="T101" s="620">
        <f t="shared" si="199"/>
        <v>0.4330294316488485</v>
      </c>
      <c r="U101" s="620">
        <f t="shared" si="199"/>
        <v>0.19516762578125896</v>
      </c>
      <c r="V101" s="619">
        <f t="shared" si="199"/>
        <v>0</v>
      </c>
      <c r="W101" s="559">
        <f t="shared" ref="W101:Y101" si="200">+IF($O101=0,"-",R101/$O101)</f>
        <v>0.15933454742334008</v>
      </c>
      <c r="X101" s="559">
        <f t="shared" si="200"/>
        <v>0.629546685042083</v>
      </c>
      <c r="Y101" s="559">
        <f t="shared" si="200"/>
        <v>0.21111876753457692</v>
      </c>
      <c r="Z101" s="559">
        <f t="shared" si="180"/>
        <v>0</v>
      </c>
      <c r="AA101" s="560">
        <f t="shared" si="181"/>
        <v>0.4507029118970462</v>
      </c>
      <c r="AB101" s="622">
        <f t="shared" si="182"/>
        <v>6496.7121983715815</v>
      </c>
      <c r="AC101" s="623">
        <f t="shared" si="183"/>
        <v>8.9399640451111821</v>
      </c>
      <c r="AD101" s="563">
        <f t="shared" si="184"/>
        <v>6478.3752802727131</v>
      </c>
      <c r="AE101" s="627">
        <f t="shared" si="185"/>
        <v>8.9399640451111821</v>
      </c>
      <c r="AF101" s="563">
        <f t="shared" si="186"/>
        <v>18.33691809886869</v>
      </c>
      <c r="AG101" s="627">
        <f t="shared" si="187"/>
        <v>8.9399640451111804</v>
      </c>
      <c r="AH101" s="616">
        <f t="shared" si="188"/>
        <v>726.70451084468357</v>
      </c>
      <c r="AI101" s="616">
        <f t="shared" ref="AI101:AV101" si="201">+SUMIFS(BK$67:BK$89,$I$67:$I$89,$J101,$M$67:$M$89,$K101)</f>
        <v>726.70451084468357</v>
      </c>
      <c r="AJ101" s="616">
        <f t="shared" si="201"/>
        <v>687.86225103060212</v>
      </c>
      <c r="AK101" s="616">
        <f t="shared" si="201"/>
        <v>587.55750824736049</v>
      </c>
      <c r="AL101" s="616">
        <f t="shared" si="201"/>
        <v>494.42471335568871</v>
      </c>
      <c r="AM101" s="616">
        <f t="shared" si="201"/>
        <v>420.57125502833946</v>
      </c>
      <c r="AN101" s="616">
        <f t="shared" si="201"/>
        <v>309.7910675373156</v>
      </c>
      <c r="AO101" s="616">
        <f t="shared" si="201"/>
        <v>257.83201320744161</v>
      </c>
      <c r="AP101" s="616">
        <f t="shared" si="201"/>
        <v>218.66172919585773</v>
      </c>
      <c r="AQ101" s="616">
        <f t="shared" si="201"/>
        <v>182.14935775491111</v>
      </c>
      <c r="AR101" s="616">
        <f t="shared" si="201"/>
        <v>127.3982825137665</v>
      </c>
      <c r="AS101" s="616">
        <f t="shared" si="201"/>
        <v>81.49849118140061</v>
      </c>
      <c r="AT101" s="616">
        <f t="shared" si="201"/>
        <v>70.347634082399537</v>
      </c>
      <c r="AU101" s="616">
        <f t="shared" si="201"/>
        <v>64.244040865995586</v>
      </c>
      <c r="AV101" s="616">
        <f t="shared" si="201"/>
        <v>55.088651041389411</v>
      </c>
      <c r="AW101" s="625">
        <f t="shared" ref="AW101:BJ101" si="202">+AI101*(100%-$P101)</f>
        <v>724.65339318846702</v>
      </c>
      <c r="AX101" s="625">
        <f t="shared" si="202"/>
        <v>685.92076534133105</v>
      </c>
      <c r="AY101" s="625">
        <f t="shared" si="202"/>
        <v>585.89913189049992</v>
      </c>
      <c r="AZ101" s="625">
        <f t="shared" si="202"/>
        <v>493.02920356580881</v>
      </c>
      <c r="BA101" s="625">
        <f t="shared" si="202"/>
        <v>419.38419603254061</v>
      </c>
      <c r="BB101" s="625">
        <f t="shared" si="202"/>
        <v>308.91668473263837</v>
      </c>
      <c r="BC101" s="625">
        <f t="shared" si="202"/>
        <v>257.10428441707955</v>
      </c>
      <c r="BD101" s="625">
        <f t="shared" si="202"/>
        <v>218.04455821810896</v>
      </c>
      <c r="BE101" s="625">
        <f t="shared" si="202"/>
        <v>181.63524265285218</v>
      </c>
      <c r="BF101" s="625">
        <f t="shared" si="202"/>
        <v>127.03870188266251</v>
      </c>
      <c r="BG101" s="625">
        <f t="shared" si="202"/>
        <v>81.268462343375546</v>
      </c>
      <c r="BH101" s="625">
        <f t="shared" si="202"/>
        <v>70.149078449145307</v>
      </c>
      <c r="BI101" s="625">
        <f t="shared" si="202"/>
        <v>64.062712575665074</v>
      </c>
      <c r="BJ101" s="625">
        <f t="shared" si="202"/>
        <v>54.933163765444462</v>
      </c>
      <c r="BK101" s="625">
        <f t="shared" ref="BK101:BX101" si="203">+AI101*($P101)</f>
        <v>2.0511176562165514</v>
      </c>
      <c r="BL101" s="625">
        <f t="shared" si="203"/>
        <v>1.9414856892711299</v>
      </c>
      <c r="BM101" s="625">
        <f t="shared" si="203"/>
        <v>1.6583763568605896</v>
      </c>
      <c r="BN101" s="625">
        <f t="shared" si="203"/>
        <v>1.3955097898799282</v>
      </c>
      <c r="BO101" s="625">
        <f t="shared" si="203"/>
        <v>1.1870589957988453</v>
      </c>
      <c r="BP101" s="625">
        <f t="shared" si="203"/>
        <v>0.87438280467722063</v>
      </c>
      <c r="BQ101" s="625">
        <f t="shared" si="203"/>
        <v>0.72772879036204408</v>
      </c>
      <c r="BR101" s="625">
        <f t="shared" si="203"/>
        <v>0.61717097774878515</v>
      </c>
      <c r="BS101" s="625">
        <f t="shared" si="203"/>
        <v>0.51411510205893562</v>
      </c>
      <c r="BT101" s="625">
        <f t="shared" si="203"/>
        <v>0.35958063110399435</v>
      </c>
      <c r="BU101" s="625">
        <f t="shared" si="203"/>
        <v>0.23002883802507035</v>
      </c>
      <c r="BV101" s="625">
        <f t="shared" si="203"/>
        <v>0.19855563325422906</v>
      </c>
      <c r="BW101" s="625">
        <f t="shared" si="203"/>
        <v>0.18132829033051712</v>
      </c>
      <c r="BX101" s="625">
        <f t="shared" si="203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1169</v>
      </c>
      <c r="K102" s="103" t="s">
        <v>1120</v>
      </c>
      <c r="L102" s="614" t="s">
        <v>20</v>
      </c>
      <c r="M102" s="34" t="s">
        <v>1395</v>
      </c>
      <c r="N102" s="616">
        <f t="shared" ref="N102:O102" si="204">+SUMIFS(N$67:N$89,$I$67:$I$89,$J102,$M$67:$M$89,$K102)</f>
        <v>4.3593517548323124</v>
      </c>
      <c r="O102" s="616">
        <f t="shared" si="204"/>
        <v>1.2759391450439788</v>
      </c>
      <c r="P102" s="617">
        <f t="shared" si="177"/>
        <v>0.2264193930205074</v>
      </c>
      <c r="Q102" s="618">
        <f t="shared" ref="Q102:V102" si="205">+SUMIFS(Q$67:Q$89,$I$67:$I$89,$J102,$M$67:$M$89,$K102)</f>
        <v>0</v>
      </c>
      <c r="R102" s="619">
        <f t="shared" si="205"/>
        <v>0</v>
      </c>
      <c r="S102" s="619">
        <f t="shared" si="205"/>
        <v>1.2759391450439788</v>
      </c>
      <c r="T102" s="619">
        <f t="shared" si="205"/>
        <v>0</v>
      </c>
      <c r="U102" s="619">
        <f t="shared" si="205"/>
        <v>0</v>
      </c>
      <c r="V102" s="619">
        <f t="shared" si="205"/>
        <v>0</v>
      </c>
      <c r="W102" s="559">
        <f t="shared" ref="W102:Y102" si="206">+IF($O102=0,"-",R102/$O102)</f>
        <v>0</v>
      </c>
      <c r="X102" s="559">
        <f t="shared" si="206"/>
        <v>1</v>
      </c>
      <c r="Y102" s="559">
        <f t="shared" si="206"/>
        <v>0</v>
      </c>
      <c r="Z102" s="559">
        <f t="shared" si="180"/>
        <v>0</v>
      </c>
      <c r="AA102" s="560">
        <f>+IF($T102=0,0,U102/$T102)</f>
        <v>0</v>
      </c>
      <c r="AB102" s="622">
        <f t="shared" si="182"/>
        <v>44.660401360000002</v>
      </c>
      <c r="AC102" s="623">
        <f t="shared" si="183"/>
        <v>7.9251279398869023</v>
      </c>
      <c r="AD102" s="563">
        <f t="shared" si="184"/>
        <v>34.54842039201656</v>
      </c>
      <c r="AE102" s="627">
        <f t="shared" si="185"/>
        <v>7.9251279398869032</v>
      </c>
      <c r="AF102" s="563">
        <f t="shared" si="186"/>
        <v>10.111980967983444</v>
      </c>
      <c r="AG102" s="627">
        <f t="shared" si="187"/>
        <v>7.9251279398869032</v>
      </c>
      <c r="AH102" s="616">
        <f t="shared" si="188"/>
        <v>5.6352908998762912</v>
      </c>
      <c r="AI102" s="616">
        <f t="shared" ref="AI102:AV102" si="207">+SUMIFS(BK$67:BK$89,$I$67:$I$89,$J102,$M$67:$M$89,$K102)</f>
        <v>5.6352908998762912</v>
      </c>
      <c r="AJ102" s="616">
        <f t="shared" si="207"/>
        <v>5.3251450871105153</v>
      </c>
      <c r="AK102" s="616">
        <f t="shared" si="207"/>
        <v>4.6229281525464918</v>
      </c>
      <c r="AL102" s="616">
        <f t="shared" si="207"/>
        <v>4.1547835295038089</v>
      </c>
      <c r="AM102" s="616">
        <f t="shared" si="207"/>
        <v>3.4993810572440527</v>
      </c>
      <c r="AN102" s="616">
        <f t="shared" si="207"/>
        <v>2.5162773488544192</v>
      </c>
      <c r="AO102" s="616">
        <f t="shared" si="207"/>
        <v>2.0247254946596041</v>
      </c>
      <c r="AP102" s="616">
        <f t="shared" si="207"/>
        <v>1.6970242585297266</v>
      </c>
      <c r="AQ102" s="616">
        <f t="shared" si="207"/>
        <v>1.4629519470083854</v>
      </c>
      <c r="AR102" s="616">
        <f t="shared" si="207"/>
        <v>1.1118434797263739</v>
      </c>
      <c r="AS102" s="616">
        <f t="shared" si="207"/>
        <v>0.99480732396570282</v>
      </c>
      <c r="AT102" s="616">
        <f t="shared" si="207"/>
        <v>0.9167832201252627</v>
      </c>
      <c r="AU102" s="616">
        <f t="shared" si="207"/>
        <v>0.83875911628481048</v>
      </c>
      <c r="AV102" s="616">
        <f t="shared" si="207"/>
        <v>0.72172296052414664</v>
      </c>
      <c r="AW102" s="625">
        <f t="shared" ref="AW102:BJ102" si="208">+AI102*(100%-$P102)</f>
        <v>4.3593517548323124</v>
      </c>
      <c r="AX102" s="625">
        <f t="shared" si="208"/>
        <v>4.1194289687408157</v>
      </c>
      <c r="AY102" s="625">
        <f t="shared" si="208"/>
        <v>3.5762075662694994</v>
      </c>
      <c r="AZ102" s="625">
        <f t="shared" si="208"/>
        <v>3.214059964621955</v>
      </c>
      <c r="BA102" s="625">
        <f t="shared" si="208"/>
        <v>2.7070533223153928</v>
      </c>
      <c r="BB102" s="625">
        <f t="shared" si="208"/>
        <v>1.9465433588555501</v>
      </c>
      <c r="BC102" s="625">
        <f t="shared" si="208"/>
        <v>1.56628837712563</v>
      </c>
      <c r="BD102" s="625">
        <f t="shared" si="208"/>
        <v>1.3127850559723493</v>
      </c>
      <c r="BE102" s="625">
        <f t="shared" si="208"/>
        <v>1.1317112551485773</v>
      </c>
      <c r="BF102" s="625">
        <f t="shared" si="208"/>
        <v>0.86010055391291951</v>
      </c>
      <c r="BG102" s="625">
        <f t="shared" si="208"/>
        <v>0.76956365350103317</v>
      </c>
      <c r="BH102" s="625">
        <f t="shared" si="208"/>
        <v>0.70920571989311454</v>
      </c>
      <c r="BI102" s="625">
        <f t="shared" si="208"/>
        <v>0.64884778628518647</v>
      </c>
      <c r="BJ102" s="625">
        <f t="shared" si="208"/>
        <v>0.55831088587330568</v>
      </c>
      <c r="BK102" s="625">
        <f t="shared" ref="BK102:BX102" si="209">+AI102*($P102)</f>
        <v>1.2759391450439788</v>
      </c>
      <c r="BL102" s="625">
        <f t="shared" si="209"/>
        <v>1.2057161183696998</v>
      </c>
      <c r="BM102" s="625">
        <f t="shared" si="209"/>
        <v>1.0467205862769924</v>
      </c>
      <c r="BN102" s="625">
        <f t="shared" si="209"/>
        <v>0.94072356488185382</v>
      </c>
      <c r="BO102" s="625">
        <f t="shared" si="209"/>
        <v>0.79232773492865982</v>
      </c>
      <c r="BP102" s="625">
        <f t="shared" si="209"/>
        <v>0.56973398999886915</v>
      </c>
      <c r="BQ102" s="625">
        <f t="shared" si="209"/>
        <v>0.45843711753397415</v>
      </c>
      <c r="BR102" s="625">
        <f t="shared" si="209"/>
        <v>0.38423920255737731</v>
      </c>
      <c r="BS102" s="625">
        <f t="shared" si="209"/>
        <v>0.33124069185980815</v>
      </c>
      <c r="BT102" s="625">
        <f t="shared" si="209"/>
        <v>0.25174292581345442</v>
      </c>
      <c r="BU102" s="625">
        <f t="shared" si="209"/>
        <v>0.2252436704646697</v>
      </c>
      <c r="BV102" s="625">
        <f t="shared" si="209"/>
        <v>0.20757750023214822</v>
      </c>
      <c r="BW102" s="625">
        <f t="shared" si="209"/>
        <v>0.18991132999962398</v>
      </c>
      <c r="BX102" s="625">
        <f t="shared" si="209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1171</v>
      </c>
      <c r="K103" s="103" t="s">
        <v>1119</v>
      </c>
      <c r="L103" s="614" t="s">
        <v>24</v>
      </c>
      <c r="M103" s="34" t="s">
        <v>1396</v>
      </c>
      <c r="N103" s="616">
        <f t="shared" ref="N103:O103" si="210">+SUMIFS(N$67:N$89,$I$67:$I$89,$J103,$M$67:$M$89,$K103)</f>
        <v>160.64590837999947</v>
      </c>
      <c r="O103" s="616">
        <f t="shared" si="210"/>
        <v>4.7988803578001527</v>
      </c>
      <c r="P103" s="617">
        <f t="shared" si="177"/>
        <v>2.9005932398423979E-2</v>
      </c>
      <c r="Q103" s="618">
        <f t="shared" ref="Q103:V103" si="211">+SUMIFS(Q$67:Q$89,$I$67:$I$89,$J103,$M$67:$M$89,$K103)</f>
        <v>2.2768748695271519</v>
      </c>
      <c r="R103" s="619">
        <f t="shared" si="211"/>
        <v>1.7521170575840492</v>
      </c>
      <c r="S103" s="619">
        <f t="shared" si="211"/>
        <v>0.7698884306889513</v>
      </c>
      <c r="T103" s="619">
        <f t="shared" si="211"/>
        <v>1.3766222989813104</v>
      </c>
      <c r="U103" s="619">
        <f t="shared" si="211"/>
        <v>0</v>
      </c>
      <c r="V103" s="619">
        <f t="shared" si="211"/>
        <v>0.90025257054584151</v>
      </c>
      <c r="W103" s="559">
        <f t="shared" ref="W103:Y103" si="212">+IF($O103=0,"-",R103/$O103)</f>
        <v>0.36510955200959305</v>
      </c>
      <c r="X103" s="559">
        <f t="shared" si="212"/>
        <v>0.16043084496523574</v>
      </c>
      <c r="Y103" s="559">
        <f t="shared" si="212"/>
        <v>0.28686322565715427</v>
      </c>
      <c r="Z103" s="559">
        <f t="shared" si="180"/>
        <v>0.18759637736801693</v>
      </c>
      <c r="AA103" s="560">
        <f t="shared" ref="AA103:AA104" si="213">+IF($T103=0,"-",U103/$T103)</f>
        <v>0</v>
      </c>
      <c r="AB103" s="622">
        <f t="shared" si="182"/>
        <v>1058.6607668001971</v>
      </c>
      <c r="AC103" s="623">
        <f t="shared" si="183"/>
        <v>6.3988764764176702</v>
      </c>
      <c r="AD103" s="563">
        <f t="shared" si="184"/>
        <v>1027.9533241655267</v>
      </c>
      <c r="AE103" s="627">
        <f t="shared" si="185"/>
        <v>6.3988764764176693</v>
      </c>
      <c r="AF103" s="563">
        <f t="shared" si="186"/>
        <v>30.707442634670208</v>
      </c>
      <c r="AG103" s="627">
        <f t="shared" si="187"/>
        <v>6.3988764764176702</v>
      </c>
      <c r="AH103" s="616">
        <f t="shared" si="188"/>
        <v>165.44478873779963</v>
      </c>
      <c r="AI103" s="616">
        <f t="shared" ref="AI103:AV103" si="214">+SUMIFS(BK$67:BK$89,$I$67:$I$89,$J103,$M$67:$M$89,$K103)</f>
        <v>165.44478873779963</v>
      </c>
      <c r="AJ103" s="616">
        <f t="shared" si="214"/>
        <v>153.89107121101256</v>
      </c>
      <c r="AK103" s="616">
        <f t="shared" si="214"/>
        <v>117.34515536171116</v>
      </c>
      <c r="AL103" s="616">
        <f t="shared" si="214"/>
        <v>91.230677358831571</v>
      </c>
      <c r="AM103" s="616">
        <f t="shared" si="214"/>
        <v>73.19355276753096</v>
      </c>
      <c r="AN103" s="616">
        <f t="shared" si="214"/>
        <v>46.137865880580037</v>
      </c>
      <c r="AO103" s="616">
        <f t="shared" si="214"/>
        <v>34.93812928869707</v>
      </c>
      <c r="AP103" s="616">
        <f t="shared" si="214"/>
        <v>27.471638227441758</v>
      </c>
      <c r="AQ103" s="616">
        <f t="shared" si="214"/>
        <v>23.215461459279428</v>
      </c>
      <c r="AR103" s="616">
        <f t="shared" si="214"/>
        <v>16.831196307035714</v>
      </c>
      <c r="AS103" s="616">
        <f t="shared" si="214"/>
        <v>12.14520015893914</v>
      </c>
      <c r="AT103" s="616">
        <f t="shared" si="214"/>
        <v>9.7568222406346106</v>
      </c>
      <c r="AU103" s="616">
        <f t="shared" si="214"/>
        <v>7.7567559465187346</v>
      </c>
      <c r="AV103" s="616">
        <f t="shared" si="214"/>
        <v>5.7455960840757854</v>
      </c>
      <c r="AW103" s="625">
        <f t="shared" ref="AW103:BJ103" si="215">+AI103*(100%-$P103)</f>
        <v>160.64590837999947</v>
      </c>
      <c r="AX103" s="625">
        <f t="shared" si="215"/>
        <v>149.42731720274489</v>
      </c>
      <c r="AY103" s="625">
        <f t="shared" si="215"/>
        <v>113.94144971800681</v>
      </c>
      <c r="AZ103" s="625">
        <f t="shared" si="215"/>
        <v>88.584446498698867</v>
      </c>
      <c r="BA103" s="625">
        <f t="shared" si="215"/>
        <v>71.070505523955475</v>
      </c>
      <c r="BB103" s="625">
        <f t="shared" si="215"/>
        <v>44.799594061840381</v>
      </c>
      <c r="BC103" s="625">
        <f t="shared" si="215"/>
        <v>33.924716272421726</v>
      </c>
      <c r="BD103" s="625">
        <f t="shared" si="215"/>
        <v>26.674797746142623</v>
      </c>
      <c r="BE103" s="625">
        <f t="shared" si="215"/>
        <v>22.542075353593351</v>
      </c>
      <c r="BF103" s="625">
        <f t="shared" si="215"/>
        <v>16.342991764769234</v>
      </c>
      <c r="BG103" s="625">
        <f t="shared" si="215"/>
        <v>11.792917304163623</v>
      </c>
      <c r="BH103" s="625">
        <f t="shared" si="215"/>
        <v>9.4738165142993243</v>
      </c>
      <c r="BI103" s="625">
        <f t="shared" si="215"/>
        <v>7.5317640079029387</v>
      </c>
      <c r="BJ103" s="625">
        <f t="shared" si="215"/>
        <v>5.578939712472434</v>
      </c>
      <c r="BK103" s="625">
        <f t="shared" ref="BK103:BX103" si="216">+AI103*($P103)</f>
        <v>4.7988803578001527</v>
      </c>
      <c r="BL103" s="625">
        <f t="shared" si="216"/>
        <v>4.4637540082676805</v>
      </c>
      <c r="BM103" s="625">
        <f t="shared" si="216"/>
        <v>3.4037056437043534</v>
      </c>
      <c r="BN103" s="625">
        <f t="shared" si="216"/>
        <v>2.6462308601326976</v>
      </c>
      <c r="BO103" s="625">
        <f t="shared" si="216"/>
        <v>2.1230472435754812</v>
      </c>
      <c r="BP103" s="625">
        <f t="shared" si="216"/>
        <v>1.3382718187396567</v>
      </c>
      <c r="BQ103" s="625">
        <f t="shared" si="216"/>
        <v>1.0134130162753441</v>
      </c>
      <c r="BR103" s="625">
        <f t="shared" si="216"/>
        <v>0.79684048129913565</v>
      </c>
      <c r="BS103" s="625">
        <f t="shared" si="216"/>
        <v>0.67338610568607637</v>
      </c>
      <c r="BT103" s="625">
        <f t="shared" si="216"/>
        <v>0.48820454226648125</v>
      </c>
      <c r="BU103" s="625">
        <f t="shared" si="216"/>
        <v>0.35228285477551685</v>
      </c>
      <c r="BV103" s="625">
        <f t="shared" si="216"/>
        <v>0.28300572633528709</v>
      </c>
      <c r="BW103" s="625">
        <f t="shared" si="216"/>
        <v>0.22499193861579561</v>
      </c>
      <c r="BX103" s="625">
        <f t="shared" si="216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1180</v>
      </c>
      <c r="K104" s="103" t="s">
        <v>1119</v>
      </c>
      <c r="L104" s="614" t="s">
        <v>28</v>
      </c>
      <c r="M104" s="626" t="s">
        <v>1397</v>
      </c>
      <c r="N104" s="616">
        <f t="shared" ref="N104:O104" si="217">+SUMIFS(N$67:N$89,$I$67:$I$89,$J104,$M$67:$M$89,$K104)</f>
        <v>28.394686542809108</v>
      </c>
      <c r="O104" s="616">
        <f t="shared" si="217"/>
        <v>1.4684920173037528</v>
      </c>
      <c r="P104" s="617">
        <f t="shared" si="177"/>
        <v>4.9174002504380532E-2</v>
      </c>
      <c r="Q104" s="618">
        <f t="shared" ref="Q104:V104" si="218">+SUMIFS(Q$67:Q$89,$I$67:$I$89,$J104,$M$67:$M$89,$K104)</f>
        <v>0.61987830491387741</v>
      </c>
      <c r="R104" s="619">
        <f t="shared" si="218"/>
        <v>0.20575788232194489</v>
      </c>
      <c r="S104" s="619">
        <f t="shared" si="218"/>
        <v>0.24158707246769739</v>
      </c>
      <c r="T104" s="619">
        <f t="shared" si="218"/>
        <v>1.0198649246869729</v>
      </c>
      <c r="U104" s="619">
        <f t="shared" si="218"/>
        <v>0.40126875760023273</v>
      </c>
      <c r="V104" s="619">
        <f t="shared" si="218"/>
        <v>1.2821378271373829E-3</v>
      </c>
      <c r="W104" s="559">
        <f t="shared" ref="W104:Y104" si="219">+IF($O104=0,"-",R104/$O104)</f>
        <v>0.14011508397555322</v>
      </c>
      <c r="X104" s="559">
        <f t="shared" si="219"/>
        <v>0.16451371176757706</v>
      </c>
      <c r="Y104" s="559">
        <f t="shared" si="219"/>
        <v>0.69449810599550377</v>
      </c>
      <c r="Z104" s="559">
        <f t="shared" si="180"/>
        <v>8.7309826136574556E-4</v>
      </c>
      <c r="AA104" s="560">
        <f t="shared" si="213"/>
        <v>0.39345284643786937</v>
      </c>
      <c r="AB104" s="622">
        <f t="shared" si="182"/>
        <v>283.33235609852005</v>
      </c>
      <c r="AC104" s="623">
        <f t="shared" si="183"/>
        <v>9.4876824825658908</v>
      </c>
      <c r="AD104" s="563">
        <f t="shared" si="184"/>
        <v>269.39977011015941</v>
      </c>
      <c r="AE104" s="627">
        <f t="shared" si="185"/>
        <v>9.4876824825658908</v>
      </c>
      <c r="AF104" s="563">
        <f t="shared" si="186"/>
        <v>13.932585988360662</v>
      </c>
      <c r="AG104" s="627">
        <f t="shared" si="187"/>
        <v>9.4876824825658908</v>
      </c>
      <c r="AH104" s="616">
        <f t="shared" si="188"/>
        <v>29.863178560112861</v>
      </c>
      <c r="AI104" s="616">
        <f t="shared" ref="AI104:AV104" si="220">+SUMIFS(BK$67:BK$89,$I$67:$I$89,$J104,$M$67:$M$89,$K104)</f>
        <v>29.863178560112861</v>
      </c>
      <c r="AJ104" s="616">
        <f t="shared" si="220"/>
        <v>27.835107673690871</v>
      </c>
      <c r="AK104" s="616">
        <f t="shared" si="220"/>
        <v>23.993658119029163</v>
      </c>
      <c r="AL104" s="616">
        <f t="shared" si="220"/>
        <v>20.274712206938659</v>
      </c>
      <c r="AM104" s="616">
        <f t="shared" si="220"/>
        <v>17.1777557482433</v>
      </c>
      <c r="AN104" s="616">
        <f t="shared" si="220"/>
        <v>12.747595139993381</v>
      </c>
      <c r="AO104" s="616">
        <f t="shared" si="220"/>
        <v>10.454848192395344</v>
      </c>
      <c r="AP104" s="616">
        <f t="shared" si="220"/>
        <v>8.9263502273299657</v>
      </c>
      <c r="AQ104" s="616">
        <f t="shared" si="220"/>
        <v>7.8276051073700268</v>
      </c>
      <c r="AR104" s="616">
        <f t="shared" si="220"/>
        <v>6.2430911328234622</v>
      </c>
      <c r="AS104" s="616">
        <f t="shared" si="220"/>
        <v>4.9217966700768256</v>
      </c>
      <c r="AT104" s="616">
        <f t="shared" si="220"/>
        <v>4.3266071106673554</v>
      </c>
      <c r="AU104" s="616">
        <f t="shared" si="220"/>
        <v>3.9981896052775259</v>
      </c>
      <c r="AV104" s="616">
        <f t="shared" si="220"/>
        <v>3.5055633471927838</v>
      </c>
      <c r="AW104" s="625">
        <f t="shared" ref="AW104:BJ104" si="221">+AI104*(100%-$P104)</f>
        <v>28.394686542809108</v>
      </c>
      <c r="AX104" s="625">
        <f t="shared" si="221"/>
        <v>26.466344019235095</v>
      </c>
      <c r="AY104" s="625">
        <f t="shared" si="221"/>
        <v>22.813793914594772</v>
      </c>
      <c r="AZ104" s="625">
        <f t="shared" si="221"/>
        <v>19.277723458099064</v>
      </c>
      <c r="BA104" s="625">
        <f t="shared" si="221"/>
        <v>16.333056744059547</v>
      </c>
      <c r="BB104" s="625">
        <f t="shared" si="221"/>
        <v>12.120744864654517</v>
      </c>
      <c r="BC104" s="625">
        <f t="shared" si="221"/>
        <v>9.9407414611995772</v>
      </c>
      <c r="BD104" s="625">
        <f t="shared" si="221"/>
        <v>8.4874058588962651</v>
      </c>
      <c r="BE104" s="625">
        <f t="shared" si="221"/>
        <v>7.4426904342169111</v>
      </c>
      <c r="BF104" s="625">
        <f t="shared" si="221"/>
        <v>5.9360933538229252</v>
      </c>
      <c r="BG104" s="625">
        <f t="shared" si="221"/>
        <v>4.6797722282964163</v>
      </c>
      <c r="BH104" s="625">
        <f t="shared" si="221"/>
        <v>4.1138505217719281</v>
      </c>
      <c r="BI104" s="625">
        <f t="shared" si="221"/>
        <v>3.8015826196146207</v>
      </c>
      <c r="BJ104" s="625">
        <f t="shared" si="221"/>
        <v>3.3331807663786615</v>
      </c>
      <c r="BK104" s="625">
        <f t="shared" ref="BK104:BX104" si="222">+AI104*($P104)</f>
        <v>1.4684920173037528</v>
      </c>
      <c r="BL104" s="625">
        <f t="shared" si="222"/>
        <v>1.3687636544557766</v>
      </c>
      <c r="BM104" s="625">
        <f t="shared" si="222"/>
        <v>1.1798642044343903</v>
      </c>
      <c r="BN104" s="625">
        <f t="shared" si="222"/>
        <v>0.99698874883959621</v>
      </c>
      <c r="BO104" s="625">
        <f t="shared" si="222"/>
        <v>0.8446990041837531</v>
      </c>
      <c r="BP104" s="625">
        <f t="shared" si="222"/>
        <v>0.62685027533886362</v>
      </c>
      <c r="BQ104" s="625">
        <f t="shared" si="222"/>
        <v>0.51410673119576689</v>
      </c>
      <c r="BR104" s="625">
        <f t="shared" si="222"/>
        <v>0.43894436843370144</v>
      </c>
      <c r="BS104" s="625">
        <f t="shared" si="222"/>
        <v>0.38491467315311556</v>
      </c>
      <c r="BT104" s="625">
        <f t="shared" si="222"/>
        <v>0.30699777900053682</v>
      </c>
      <c r="BU104" s="625">
        <f t="shared" si="222"/>
        <v>0.24202444178040958</v>
      </c>
      <c r="BV104" s="625">
        <f t="shared" si="222"/>
        <v>0.21275658889542715</v>
      </c>
      <c r="BW104" s="625">
        <f t="shared" si="222"/>
        <v>0.19660698566290527</v>
      </c>
      <c r="BX104" s="625">
        <f t="shared" si="222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1188</v>
      </c>
      <c r="K105" s="103" t="s">
        <v>1320</v>
      </c>
      <c r="L105" s="614" t="s">
        <v>31</v>
      </c>
      <c r="M105" s="626" t="s">
        <v>1398</v>
      </c>
      <c r="N105" s="616">
        <f t="shared" ref="N105:O105" si="223">+SUMIFS(N$67:N$89,$I$67:$I$89,$J105,$M$67:$M$89,$K105)</f>
        <v>7.4922948422413441E-2</v>
      </c>
      <c r="O105" s="616">
        <f t="shared" si="223"/>
        <v>13.730938960633223</v>
      </c>
      <c r="P105" s="617">
        <f t="shared" si="177"/>
        <v>0.99457310605335914</v>
      </c>
      <c r="Q105" s="618">
        <f t="shared" ref="Q105:V105" si="224">+SUMIFS(Q$67:Q$89,$I$67:$I$89,$J105,$M$67:$M$89,$K105)</f>
        <v>13.465657577297089</v>
      </c>
      <c r="R105" s="619">
        <f t="shared" si="224"/>
        <v>2.2906856139958444E-2</v>
      </c>
      <c r="S105" s="619">
        <f t="shared" si="224"/>
        <v>0.24237452719617553</v>
      </c>
      <c r="T105" s="619">
        <f t="shared" si="224"/>
        <v>0</v>
      </c>
      <c r="U105" s="619">
        <f t="shared" si="224"/>
        <v>0</v>
      </c>
      <c r="V105" s="619">
        <f t="shared" si="224"/>
        <v>13.465657577297089</v>
      </c>
      <c r="W105" s="559">
        <f t="shared" ref="W105:Y105" si="225">+IF($O105=0,"-",R105/$O105)</f>
        <v>1.6682658196670085E-3</v>
      </c>
      <c r="X105" s="559">
        <f t="shared" si="225"/>
        <v>1.7651708152739327E-2</v>
      </c>
      <c r="Y105" s="559">
        <f t="shared" si="225"/>
        <v>0</v>
      </c>
      <c r="Z105" s="559">
        <f t="shared" si="180"/>
        <v>0.98068002602759363</v>
      </c>
      <c r="AA105" s="560">
        <f>+IF($T105=0,0,U105/$T105)</f>
        <v>0</v>
      </c>
      <c r="AB105" s="622">
        <f t="shared" si="182"/>
        <v>157.75252398843665</v>
      </c>
      <c r="AC105" s="623">
        <f t="shared" si="183"/>
        <v>11.426488619661082</v>
      </c>
      <c r="AD105" s="563">
        <f t="shared" si="184"/>
        <v>0.85610621750016469</v>
      </c>
      <c r="AE105" s="627">
        <f t="shared" si="185"/>
        <v>11.426488619661127</v>
      </c>
      <c r="AF105" s="563">
        <f t="shared" si="186"/>
        <v>156.89641777093649</v>
      </c>
      <c r="AG105" s="627">
        <f t="shared" si="187"/>
        <v>11.426488619661082</v>
      </c>
      <c r="AH105" s="616">
        <f t="shared" si="188"/>
        <v>13.805861909055636</v>
      </c>
      <c r="AI105" s="616">
        <f t="shared" ref="AI105:AV105" si="226">+SUMIFS(BK$67:BK$89,$I$67:$I$89,$J105,$M$67:$M$89,$K105)</f>
        <v>13.805861909055636</v>
      </c>
      <c r="AJ105" s="616">
        <f t="shared" si="226"/>
        <v>13.555017760421741</v>
      </c>
      <c r="AK105" s="616">
        <f t="shared" si="226"/>
        <v>13.580367821962039</v>
      </c>
      <c r="AL105" s="616">
        <f t="shared" si="226"/>
        <v>11.513307662146612</v>
      </c>
      <c r="AM105" s="616">
        <f t="shared" si="226"/>
        <v>9.8123614879947141</v>
      </c>
      <c r="AN105" s="616">
        <f t="shared" si="226"/>
        <v>7.6975094726589486</v>
      </c>
      <c r="AO105" s="616">
        <f t="shared" si="226"/>
        <v>6.213889795624481</v>
      </c>
      <c r="AP105" s="616">
        <f t="shared" si="226"/>
        <v>5.3187837596252985</v>
      </c>
      <c r="AQ105" s="616">
        <f t="shared" si="226"/>
        <v>4.5635467610294596</v>
      </c>
      <c r="AR105" s="616">
        <f t="shared" si="226"/>
        <v>3.6682050453013875</v>
      </c>
      <c r="AS105" s="616">
        <f t="shared" si="226"/>
        <v>2.8293262902704885</v>
      </c>
      <c r="AT105" s="616">
        <f t="shared" si="226"/>
        <v>2.286975390331242</v>
      </c>
      <c r="AU105" s="616">
        <f t="shared" si="226"/>
        <v>1.7612347432495417</v>
      </c>
      <c r="AV105" s="616">
        <f t="shared" si="226"/>
        <v>0.97262377262695476</v>
      </c>
      <c r="AW105" s="625">
        <f t="shared" ref="AW105:BJ105" si="227">+AI105*(100%-$P105)</f>
        <v>7.4922948422413732E-2</v>
      </c>
      <c r="AX105" s="625">
        <f t="shared" si="227"/>
        <v>7.3561643830642162E-2</v>
      </c>
      <c r="AY105" s="625">
        <f t="shared" si="227"/>
        <v>7.3699215926162173E-2</v>
      </c>
      <c r="AZ105" s="625">
        <f t="shared" si="227"/>
        <v>6.2481499657517342E-2</v>
      </c>
      <c r="BA105" s="625">
        <f t="shared" si="227"/>
        <v>5.3250645161450463E-2</v>
      </c>
      <c r="BB105" s="625">
        <f t="shared" si="227"/>
        <v>4.1773567561383562E-2</v>
      </c>
      <c r="BC105" s="625">
        <f t="shared" si="227"/>
        <v>3.372212091696794E-2</v>
      </c>
      <c r="BD105" s="625">
        <f t="shared" si="227"/>
        <v>2.8864475388602272E-2</v>
      </c>
      <c r="BE105" s="625">
        <f t="shared" si="227"/>
        <v>2.47658842926433E-2</v>
      </c>
      <c r="BF105" s="625">
        <f t="shared" si="227"/>
        <v>1.990695975538358E-2</v>
      </c>
      <c r="BG105" s="625">
        <f t="shared" si="227"/>
        <v>1.5354453717740768E-2</v>
      </c>
      <c r="BH105" s="625">
        <f t="shared" si="227"/>
        <v>1.2411172901905246E-2</v>
      </c>
      <c r="BI105" s="625">
        <f t="shared" si="227"/>
        <v>9.5580341667545164E-3</v>
      </c>
      <c r="BJ105" s="625">
        <f t="shared" si="227"/>
        <v>5.2783260640282218E-3</v>
      </c>
      <c r="BK105" s="625">
        <f t="shared" ref="BK105:BX105" si="228">+AI105*($P105)</f>
        <v>13.730938960633223</v>
      </c>
      <c r="BL105" s="625">
        <f t="shared" si="228"/>
        <v>13.481456116591099</v>
      </c>
      <c r="BM105" s="625">
        <f t="shared" si="228"/>
        <v>13.506668606035877</v>
      </c>
      <c r="BN105" s="625">
        <f t="shared" si="228"/>
        <v>11.450826162489095</v>
      </c>
      <c r="BO105" s="625">
        <f t="shared" si="228"/>
        <v>9.7591108428332642</v>
      </c>
      <c r="BP105" s="625">
        <f t="shared" si="228"/>
        <v>7.6557359050975649</v>
      </c>
      <c r="BQ105" s="625">
        <f t="shared" si="228"/>
        <v>6.1801676747075129</v>
      </c>
      <c r="BR105" s="625">
        <f t="shared" si="228"/>
        <v>5.2899192842366958</v>
      </c>
      <c r="BS105" s="625">
        <f t="shared" si="228"/>
        <v>4.5387808767368165</v>
      </c>
      <c r="BT105" s="625">
        <f t="shared" si="228"/>
        <v>3.6482980855460041</v>
      </c>
      <c r="BU105" s="625">
        <f t="shared" si="228"/>
        <v>2.813971836552748</v>
      </c>
      <c r="BV105" s="625">
        <f t="shared" si="228"/>
        <v>2.2745642174293366</v>
      </c>
      <c r="BW105" s="625">
        <f t="shared" si="228"/>
        <v>1.7516767090827872</v>
      </c>
      <c r="BX105" s="625">
        <f t="shared" si="228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1150</v>
      </c>
      <c r="K106" s="103" t="s">
        <v>1119</v>
      </c>
      <c r="L106" s="614" t="s">
        <v>1399</v>
      </c>
      <c r="M106" s="103"/>
      <c r="N106" s="616">
        <f t="shared" ref="N106:V106" si="229">+SUMIFS(N$67:N$86,$I$67:$I$86,$J106,$M$67:$M$86,$K106)</f>
        <v>0</v>
      </c>
      <c r="O106" s="616">
        <f t="shared" si="229"/>
        <v>0</v>
      </c>
      <c r="P106" s="618">
        <f t="shared" si="229"/>
        <v>0</v>
      </c>
      <c r="Q106" s="618">
        <f t="shared" si="229"/>
        <v>0</v>
      </c>
      <c r="R106" s="619">
        <f t="shared" si="229"/>
        <v>0</v>
      </c>
      <c r="S106" s="619">
        <f t="shared" si="229"/>
        <v>0</v>
      </c>
      <c r="T106" s="619">
        <f t="shared" si="229"/>
        <v>0</v>
      </c>
      <c r="U106" s="619">
        <f t="shared" si="229"/>
        <v>0</v>
      </c>
      <c r="V106" s="619">
        <f t="shared" si="229"/>
        <v>0</v>
      </c>
      <c r="W106" s="559" t="str">
        <f t="shared" ref="W106:Y106" si="230">+IF($O106=0,"-",R106/$O106)</f>
        <v>-</v>
      </c>
      <c r="X106" s="559" t="str">
        <f t="shared" si="230"/>
        <v>-</v>
      </c>
      <c r="Y106" s="559" t="str">
        <f t="shared" si="230"/>
        <v>-</v>
      </c>
      <c r="Z106" s="559" t="str">
        <f t="shared" si="180"/>
        <v>-</v>
      </c>
      <c r="AA106" s="560" t="str">
        <f t="shared" ref="AA106:AA112" si="231">+IF($T106=0,"-",U106/$T106)</f>
        <v>-</v>
      </c>
      <c r="AB106" s="622">
        <f t="shared" ref="AB106:AC106" si="232">+SUMIFS(AB$67:AB$86,$I$67:$I$86,$J106,$M$67:$M$86,$K106)</f>
        <v>0</v>
      </c>
      <c r="AC106" s="622">
        <f t="shared" si="232"/>
        <v>0</v>
      </c>
      <c r="AD106" s="627">
        <f t="shared" si="184"/>
        <v>0</v>
      </c>
      <c r="AE106" s="628" t="str">
        <f t="shared" si="185"/>
        <v>-</v>
      </c>
      <c r="AF106" s="627">
        <f t="shared" si="186"/>
        <v>0</v>
      </c>
      <c r="AG106" s="628" t="str">
        <f t="shared" ref="AG106:AG112" si="233">+IF(P106=0,"-",AF106/P106)</f>
        <v>-</v>
      </c>
      <c r="AH106" s="616">
        <f t="shared" ref="AH106:AH112" si="234">+SUMIFS(AH$67:AH$86,$I$67:$I$86,$J106,$M$67:$M$86,$K106)</f>
        <v>0</v>
      </c>
      <c r="AI106" s="616">
        <f t="shared" ref="AI106:AV106" si="235">+SUMIFS(BK$67:BK$86,$I$67:$I$86,$J106,$M$67:$M$86,$K106)</f>
        <v>0</v>
      </c>
      <c r="AJ106" s="616">
        <f t="shared" si="235"/>
        <v>0</v>
      </c>
      <c r="AK106" s="616">
        <f t="shared" si="235"/>
        <v>0</v>
      </c>
      <c r="AL106" s="616">
        <f t="shared" si="235"/>
        <v>0</v>
      </c>
      <c r="AM106" s="616">
        <f t="shared" si="235"/>
        <v>0</v>
      </c>
      <c r="AN106" s="616">
        <f t="shared" si="235"/>
        <v>0</v>
      </c>
      <c r="AO106" s="616">
        <f t="shared" si="235"/>
        <v>0</v>
      </c>
      <c r="AP106" s="616">
        <f t="shared" si="235"/>
        <v>0</v>
      </c>
      <c r="AQ106" s="616">
        <f t="shared" si="235"/>
        <v>0</v>
      </c>
      <c r="AR106" s="616">
        <f t="shared" si="235"/>
        <v>0</v>
      </c>
      <c r="AS106" s="616">
        <f t="shared" si="235"/>
        <v>0</v>
      </c>
      <c r="AT106" s="616">
        <f t="shared" si="235"/>
        <v>0</v>
      </c>
      <c r="AU106" s="616">
        <f t="shared" si="235"/>
        <v>0</v>
      </c>
      <c r="AV106" s="616">
        <f t="shared" si="235"/>
        <v>0</v>
      </c>
      <c r="AW106" s="625">
        <f t="shared" ref="AW106:BJ106" si="236">+AI106*(100%-$P106)</f>
        <v>0</v>
      </c>
      <c r="AX106" s="625">
        <f t="shared" si="236"/>
        <v>0</v>
      </c>
      <c r="AY106" s="625">
        <f t="shared" si="236"/>
        <v>0</v>
      </c>
      <c r="AZ106" s="625">
        <f t="shared" si="236"/>
        <v>0</v>
      </c>
      <c r="BA106" s="625">
        <f t="shared" si="236"/>
        <v>0</v>
      </c>
      <c r="BB106" s="625">
        <f t="shared" si="236"/>
        <v>0</v>
      </c>
      <c r="BC106" s="625">
        <f t="shared" si="236"/>
        <v>0</v>
      </c>
      <c r="BD106" s="625">
        <f t="shared" si="236"/>
        <v>0</v>
      </c>
      <c r="BE106" s="625">
        <f t="shared" si="236"/>
        <v>0</v>
      </c>
      <c r="BF106" s="625">
        <f t="shared" si="236"/>
        <v>0</v>
      </c>
      <c r="BG106" s="625">
        <f t="shared" si="236"/>
        <v>0</v>
      </c>
      <c r="BH106" s="625">
        <f t="shared" si="236"/>
        <v>0</v>
      </c>
      <c r="BI106" s="625">
        <f t="shared" si="236"/>
        <v>0</v>
      </c>
      <c r="BJ106" s="625">
        <f t="shared" si="236"/>
        <v>0</v>
      </c>
      <c r="BK106" s="625">
        <f t="shared" ref="BK106:BX106" si="237">+AI106*($P106)</f>
        <v>0</v>
      </c>
      <c r="BL106" s="625">
        <f t="shared" si="237"/>
        <v>0</v>
      </c>
      <c r="BM106" s="625">
        <f t="shared" si="237"/>
        <v>0</v>
      </c>
      <c r="BN106" s="625">
        <f t="shared" si="237"/>
        <v>0</v>
      </c>
      <c r="BO106" s="625">
        <f t="shared" si="237"/>
        <v>0</v>
      </c>
      <c r="BP106" s="625">
        <f t="shared" si="237"/>
        <v>0</v>
      </c>
      <c r="BQ106" s="625">
        <f t="shared" si="237"/>
        <v>0</v>
      </c>
      <c r="BR106" s="625">
        <f t="shared" si="237"/>
        <v>0</v>
      </c>
      <c r="BS106" s="625">
        <f t="shared" si="237"/>
        <v>0</v>
      </c>
      <c r="BT106" s="625">
        <f t="shared" si="237"/>
        <v>0</v>
      </c>
      <c r="BU106" s="625">
        <f t="shared" si="237"/>
        <v>0</v>
      </c>
      <c r="BV106" s="625">
        <f t="shared" si="237"/>
        <v>0</v>
      </c>
      <c r="BW106" s="625">
        <f t="shared" si="237"/>
        <v>0</v>
      </c>
      <c r="BX106" s="625">
        <f t="shared" si="237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1169</v>
      </c>
      <c r="K107" s="103" t="s">
        <v>1119</v>
      </c>
      <c r="L107" s="614" t="s">
        <v>1399</v>
      </c>
      <c r="M107" s="103"/>
      <c r="N107" s="616">
        <f t="shared" ref="N107:V107" si="238">+SUMIFS(N$67:N$86,$I$67:$I$86,$J107,$M$67:$M$86,$K107)</f>
        <v>0</v>
      </c>
      <c r="O107" s="616">
        <f t="shared" si="238"/>
        <v>0</v>
      </c>
      <c r="P107" s="618">
        <f t="shared" si="238"/>
        <v>0</v>
      </c>
      <c r="Q107" s="618">
        <f t="shared" si="238"/>
        <v>0</v>
      </c>
      <c r="R107" s="619">
        <f t="shared" si="238"/>
        <v>0</v>
      </c>
      <c r="S107" s="619">
        <f t="shared" si="238"/>
        <v>0</v>
      </c>
      <c r="T107" s="619">
        <f t="shared" si="238"/>
        <v>0</v>
      </c>
      <c r="U107" s="619">
        <f t="shared" si="238"/>
        <v>0</v>
      </c>
      <c r="V107" s="619">
        <f t="shared" si="238"/>
        <v>0</v>
      </c>
      <c r="W107" s="559" t="str">
        <f t="shared" ref="W107:Y107" si="239">+IF($O107=0,"-",R107/$O107)</f>
        <v>-</v>
      </c>
      <c r="X107" s="559" t="str">
        <f t="shared" si="239"/>
        <v>-</v>
      </c>
      <c r="Y107" s="559" t="str">
        <f t="shared" si="239"/>
        <v>-</v>
      </c>
      <c r="Z107" s="559" t="str">
        <f t="shared" si="180"/>
        <v>-</v>
      </c>
      <c r="AA107" s="560" t="str">
        <f t="shared" si="231"/>
        <v>-</v>
      </c>
      <c r="AB107" s="622">
        <f t="shared" ref="AB107:AC107" si="240">+SUMIFS(AB$67:AB$86,$I$67:$I$86,$J107,$M$67:$M$86,$K107)</f>
        <v>0</v>
      </c>
      <c r="AC107" s="622">
        <f t="shared" si="240"/>
        <v>0</v>
      </c>
      <c r="AD107" s="627">
        <f t="shared" si="184"/>
        <v>0</v>
      </c>
      <c r="AE107" s="628" t="str">
        <f t="shared" si="185"/>
        <v>-</v>
      </c>
      <c r="AF107" s="627">
        <f t="shared" si="186"/>
        <v>0</v>
      </c>
      <c r="AG107" s="628" t="str">
        <f t="shared" si="233"/>
        <v>-</v>
      </c>
      <c r="AH107" s="616">
        <f t="shared" si="234"/>
        <v>0</v>
      </c>
      <c r="AI107" s="616">
        <f t="shared" ref="AI107:AV107" si="241">+SUMIFS(BK$67:BK$86,$I$67:$I$86,$J107,$M$67:$M$86,$K107)</f>
        <v>0</v>
      </c>
      <c r="AJ107" s="616">
        <f t="shared" si="241"/>
        <v>0</v>
      </c>
      <c r="AK107" s="616">
        <f t="shared" si="241"/>
        <v>0</v>
      </c>
      <c r="AL107" s="616">
        <f t="shared" si="241"/>
        <v>0</v>
      </c>
      <c r="AM107" s="616">
        <f t="shared" si="241"/>
        <v>0</v>
      </c>
      <c r="AN107" s="616">
        <f t="shared" si="241"/>
        <v>0</v>
      </c>
      <c r="AO107" s="616">
        <f t="shared" si="241"/>
        <v>0</v>
      </c>
      <c r="AP107" s="616">
        <f t="shared" si="241"/>
        <v>0</v>
      </c>
      <c r="AQ107" s="616">
        <f t="shared" si="241"/>
        <v>0</v>
      </c>
      <c r="AR107" s="616">
        <f t="shared" si="241"/>
        <v>0</v>
      </c>
      <c r="AS107" s="616">
        <f t="shared" si="241"/>
        <v>0</v>
      </c>
      <c r="AT107" s="616">
        <f t="shared" si="241"/>
        <v>0</v>
      </c>
      <c r="AU107" s="616">
        <f t="shared" si="241"/>
        <v>0</v>
      </c>
      <c r="AV107" s="616">
        <f t="shared" si="241"/>
        <v>0</v>
      </c>
      <c r="AW107" s="625">
        <f t="shared" ref="AW107:BJ107" si="242">+AI107*(100%-$P107)</f>
        <v>0</v>
      </c>
      <c r="AX107" s="625">
        <f t="shared" si="242"/>
        <v>0</v>
      </c>
      <c r="AY107" s="625">
        <f t="shared" si="242"/>
        <v>0</v>
      </c>
      <c r="AZ107" s="625">
        <f t="shared" si="242"/>
        <v>0</v>
      </c>
      <c r="BA107" s="625">
        <f t="shared" si="242"/>
        <v>0</v>
      </c>
      <c r="BB107" s="625">
        <f t="shared" si="242"/>
        <v>0</v>
      </c>
      <c r="BC107" s="625">
        <f t="shared" si="242"/>
        <v>0</v>
      </c>
      <c r="BD107" s="625">
        <f t="shared" si="242"/>
        <v>0</v>
      </c>
      <c r="BE107" s="625">
        <f t="shared" si="242"/>
        <v>0</v>
      </c>
      <c r="BF107" s="625">
        <f t="shared" si="242"/>
        <v>0</v>
      </c>
      <c r="BG107" s="625">
        <f t="shared" si="242"/>
        <v>0</v>
      </c>
      <c r="BH107" s="625">
        <f t="shared" si="242"/>
        <v>0</v>
      </c>
      <c r="BI107" s="625">
        <f t="shared" si="242"/>
        <v>0</v>
      </c>
      <c r="BJ107" s="625">
        <f t="shared" si="242"/>
        <v>0</v>
      </c>
      <c r="BK107" s="625">
        <f t="shared" ref="BK107:BX107" si="243">+AI107*($P107)</f>
        <v>0</v>
      </c>
      <c r="BL107" s="625">
        <f t="shared" si="243"/>
        <v>0</v>
      </c>
      <c r="BM107" s="625">
        <f t="shared" si="243"/>
        <v>0</v>
      </c>
      <c r="BN107" s="625">
        <f t="shared" si="243"/>
        <v>0</v>
      </c>
      <c r="BO107" s="625">
        <f t="shared" si="243"/>
        <v>0</v>
      </c>
      <c r="BP107" s="625">
        <f t="shared" si="243"/>
        <v>0</v>
      </c>
      <c r="BQ107" s="625">
        <f t="shared" si="243"/>
        <v>0</v>
      </c>
      <c r="BR107" s="625">
        <f t="shared" si="243"/>
        <v>0</v>
      </c>
      <c r="BS107" s="625">
        <f t="shared" si="243"/>
        <v>0</v>
      </c>
      <c r="BT107" s="625">
        <f t="shared" si="243"/>
        <v>0</v>
      </c>
      <c r="BU107" s="625">
        <f t="shared" si="243"/>
        <v>0</v>
      </c>
      <c r="BV107" s="625">
        <f t="shared" si="243"/>
        <v>0</v>
      </c>
      <c r="BW107" s="625">
        <f t="shared" si="243"/>
        <v>0</v>
      </c>
      <c r="BX107" s="625">
        <f t="shared" si="243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1169</v>
      </c>
      <c r="K108" s="103" t="s">
        <v>1118</v>
      </c>
      <c r="L108" s="614" t="s">
        <v>1399</v>
      </c>
      <c r="M108" s="103"/>
      <c r="N108" s="616">
        <f t="shared" ref="N108:V108" si="244">+SUMIFS(N$67:N$86,$I$67:$I$86,$J108,$M$67:$M$86,$K108)</f>
        <v>0</v>
      </c>
      <c r="O108" s="616">
        <f t="shared" si="244"/>
        <v>0</v>
      </c>
      <c r="P108" s="618">
        <f t="shared" si="244"/>
        <v>0</v>
      </c>
      <c r="Q108" s="618">
        <f t="shared" si="244"/>
        <v>0</v>
      </c>
      <c r="R108" s="619">
        <f t="shared" si="244"/>
        <v>0</v>
      </c>
      <c r="S108" s="619">
        <f t="shared" si="244"/>
        <v>0</v>
      </c>
      <c r="T108" s="619">
        <f t="shared" si="244"/>
        <v>0</v>
      </c>
      <c r="U108" s="619">
        <f t="shared" si="244"/>
        <v>0</v>
      </c>
      <c r="V108" s="619">
        <f t="shared" si="244"/>
        <v>0</v>
      </c>
      <c r="W108" s="559" t="str">
        <f t="shared" ref="W108:Y108" si="245">+IF($O108=0,"-",R108/$O108)</f>
        <v>-</v>
      </c>
      <c r="X108" s="559" t="str">
        <f t="shared" si="245"/>
        <v>-</v>
      </c>
      <c r="Y108" s="559" t="str">
        <f t="shared" si="245"/>
        <v>-</v>
      </c>
      <c r="Z108" s="559" t="str">
        <f t="shared" si="180"/>
        <v>-</v>
      </c>
      <c r="AA108" s="560" t="str">
        <f t="shared" si="231"/>
        <v>-</v>
      </c>
      <c r="AB108" s="622">
        <f t="shared" ref="AB108:AC108" si="246">+SUMIFS(AB$67:AB$86,$I$67:$I$86,$J108,$M$67:$M$86,$K108)</f>
        <v>0</v>
      </c>
      <c r="AC108" s="622">
        <f t="shared" si="246"/>
        <v>0</v>
      </c>
      <c r="AD108" s="627">
        <f t="shared" si="184"/>
        <v>0</v>
      </c>
      <c r="AE108" s="628" t="str">
        <f t="shared" si="185"/>
        <v>-</v>
      </c>
      <c r="AF108" s="627">
        <f t="shared" si="186"/>
        <v>0</v>
      </c>
      <c r="AG108" s="628" t="str">
        <f t="shared" si="233"/>
        <v>-</v>
      </c>
      <c r="AH108" s="616">
        <f t="shared" si="234"/>
        <v>0</v>
      </c>
      <c r="AI108" s="616">
        <f t="shared" ref="AI108:AV108" si="247">+SUMIFS(BK$67:BK$86,$I$67:$I$86,$J108,$M$67:$M$86,$K108)</f>
        <v>0</v>
      </c>
      <c r="AJ108" s="616">
        <f t="shared" si="247"/>
        <v>0</v>
      </c>
      <c r="AK108" s="616">
        <f t="shared" si="247"/>
        <v>0</v>
      </c>
      <c r="AL108" s="616">
        <f t="shared" si="247"/>
        <v>0</v>
      </c>
      <c r="AM108" s="616">
        <f t="shared" si="247"/>
        <v>0</v>
      </c>
      <c r="AN108" s="616">
        <f t="shared" si="247"/>
        <v>0</v>
      </c>
      <c r="AO108" s="616">
        <f t="shared" si="247"/>
        <v>0</v>
      </c>
      <c r="AP108" s="616">
        <f t="shared" si="247"/>
        <v>0</v>
      </c>
      <c r="AQ108" s="616">
        <f t="shared" si="247"/>
        <v>0</v>
      </c>
      <c r="AR108" s="616">
        <f t="shared" si="247"/>
        <v>0</v>
      </c>
      <c r="AS108" s="616">
        <f t="shared" si="247"/>
        <v>0</v>
      </c>
      <c r="AT108" s="616">
        <f t="shared" si="247"/>
        <v>0</v>
      </c>
      <c r="AU108" s="616">
        <f t="shared" si="247"/>
        <v>0</v>
      </c>
      <c r="AV108" s="616">
        <f t="shared" si="247"/>
        <v>0</v>
      </c>
      <c r="AW108" s="625">
        <f t="shared" ref="AW108:BJ108" si="248">+AI108*(100%-$P108)</f>
        <v>0</v>
      </c>
      <c r="AX108" s="625">
        <f t="shared" si="248"/>
        <v>0</v>
      </c>
      <c r="AY108" s="625">
        <f t="shared" si="248"/>
        <v>0</v>
      </c>
      <c r="AZ108" s="625">
        <f t="shared" si="248"/>
        <v>0</v>
      </c>
      <c r="BA108" s="625">
        <f t="shared" si="248"/>
        <v>0</v>
      </c>
      <c r="BB108" s="625">
        <f t="shared" si="248"/>
        <v>0</v>
      </c>
      <c r="BC108" s="625">
        <f t="shared" si="248"/>
        <v>0</v>
      </c>
      <c r="BD108" s="625">
        <f t="shared" si="248"/>
        <v>0</v>
      </c>
      <c r="BE108" s="625">
        <f t="shared" si="248"/>
        <v>0</v>
      </c>
      <c r="BF108" s="625">
        <f t="shared" si="248"/>
        <v>0</v>
      </c>
      <c r="BG108" s="625">
        <f t="shared" si="248"/>
        <v>0</v>
      </c>
      <c r="BH108" s="625">
        <f t="shared" si="248"/>
        <v>0</v>
      </c>
      <c r="BI108" s="625">
        <f t="shared" si="248"/>
        <v>0</v>
      </c>
      <c r="BJ108" s="625">
        <f t="shared" si="248"/>
        <v>0</v>
      </c>
      <c r="BK108" s="625">
        <f t="shared" ref="BK108:BX108" si="249">+AI108*($P108)</f>
        <v>0</v>
      </c>
      <c r="BL108" s="625">
        <f t="shared" si="249"/>
        <v>0</v>
      </c>
      <c r="BM108" s="625">
        <f t="shared" si="249"/>
        <v>0</v>
      </c>
      <c r="BN108" s="625">
        <f t="shared" si="249"/>
        <v>0</v>
      </c>
      <c r="BO108" s="625">
        <f t="shared" si="249"/>
        <v>0</v>
      </c>
      <c r="BP108" s="625">
        <f t="shared" si="249"/>
        <v>0</v>
      </c>
      <c r="BQ108" s="625">
        <f t="shared" si="249"/>
        <v>0</v>
      </c>
      <c r="BR108" s="625">
        <f t="shared" si="249"/>
        <v>0</v>
      </c>
      <c r="BS108" s="625">
        <f t="shared" si="249"/>
        <v>0</v>
      </c>
      <c r="BT108" s="625">
        <f t="shared" si="249"/>
        <v>0</v>
      </c>
      <c r="BU108" s="625">
        <f t="shared" si="249"/>
        <v>0</v>
      </c>
      <c r="BV108" s="625">
        <f t="shared" si="249"/>
        <v>0</v>
      </c>
      <c r="BW108" s="625">
        <f t="shared" si="249"/>
        <v>0</v>
      </c>
      <c r="BX108" s="625">
        <f t="shared" si="249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1171</v>
      </c>
      <c r="K109" s="103" t="s">
        <v>1120</v>
      </c>
      <c r="L109" s="614" t="s">
        <v>1399</v>
      </c>
      <c r="M109" s="103"/>
      <c r="N109" s="616">
        <f t="shared" ref="N109:V109" si="250">+SUMIFS(N$67:N$86,$I$67:$I$86,$J109,$M$67:$M$86,$K109)</f>
        <v>0</v>
      </c>
      <c r="O109" s="616">
        <f t="shared" si="250"/>
        <v>0</v>
      </c>
      <c r="P109" s="618">
        <f t="shared" si="250"/>
        <v>0</v>
      </c>
      <c r="Q109" s="618">
        <f t="shared" si="250"/>
        <v>0</v>
      </c>
      <c r="R109" s="619">
        <f t="shared" si="250"/>
        <v>0</v>
      </c>
      <c r="S109" s="619">
        <f t="shared" si="250"/>
        <v>0</v>
      </c>
      <c r="T109" s="619">
        <f t="shared" si="250"/>
        <v>0</v>
      </c>
      <c r="U109" s="619">
        <f t="shared" si="250"/>
        <v>0</v>
      </c>
      <c r="V109" s="619">
        <f t="shared" si="250"/>
        <v>0</v>
      </c>
      <c r="W109" s="559" t="str">
        <f t="shared" ref="W109:Y109" si="251">+IF($O109=0,"-",R109/$O109)</f>
        <v>-</v>
      </c>
      <c r="X109" s="559" t="str">
        <f t="shared" si="251"/>
        <v>-</v>
      </c>
      <c r="Y109" s="559" t="str">
        <f t="shared" si="251"/>
        <v>-</v>
      </c>
      <c r="Z109" s="559" t="str">
        <f t="shared" si="180"/>
        <v>-</v>
      </c>
      <c r="AA109" s="560" t="str">
        <f t="shared" si="231"/>
        <v>-</v>
      </c>
      <c r="AB109" s="622">
        <f t="shared" ref="AB109:AC109" si="252">+SUMIFS(AB$67:AB$86,$I$67:$I$86,$J109,$M$67:$M$86,$K109)</f>
        <v>0</v>
      </c>
      <c r="AC109" s="622">
        <f t="shared" si="252"/>
        <v>0</v>
      </c>
      <c r="AD109" s="627">
        <f t="shared" si="184"/>
        <v>0</v>
      </c>
      <c r="AE109" s="628" t="str">
        <f t="shared" si="185"/>
        <v>-</v>
      </c>
      <c r="AF109" s="627">
        <f t="shared" si="186"/>
        <v>0</v>
      </c>
      <c r="AG109" s="628" t="str">
        <f t="shared" si="233"/>
        <v>-</v>
      </c>
      <c r="AH109" s="616">
        <f t="shared" si="234"/>
        <v>0</v>
      </c>
      <c r="AI109" s="616">
        <f t="shared" ref="AI109:AV109" si="253">+SUMIFS(BK$67:BK$86,$I$67:$I$86,$J109,$M$67:$M$86,$K109)</f>
        <v>0</v>
      </c>
      <c r="AJ109" s="616">
        <f t="shared" si="253"/>
        <v>0</v>
      </c>
      <c r="AK109" s="616">
        <f t="shared" si="253"/>
        <v>0</v>
      </c>
      <c r="AL109" s="616">
        <f t="shared" si="253"/>
        <v>0</v>
      </c>
      <c r="AM109" s="616">
        <f t="shared" si="253"/>
        <v>0</v>
      </c>
      <c r="AN109" s="616">
        <f t="shared" si="253"/>
        <v>0</v>
      </c>
      <c r="AO109" s="616">
        <f t="shared" si="253"/>
        <v>0</v>
      </c>
      <c r="AP109" s="616">
        <f t="shared" si="253"/>
        <v>0</v>
      </c>
      <c r="AQ109" s="616">
        <f t="shared" si="253"/>
        <v>0</v>
      </c>
      <c r="AR109" s="616">
        <f t="shared" si="253"/>
        <v>0</v>
      </c>
      <c r="AS109" s="616">
        <f t="shared" si="253"/>
        <v>0</v>
      </c>
      <c r="AT109" s="616">
        <f t="shared" si="253"/>
        <v>0</v>
      </c>
      <c r="AU109" s="616">
        <f t="shared" si="253"/>
        <v>0</v>
      </c>
      <c r="AV109" s="616">
        <f t="shared" si="253"/>
        <v>0</v>
      </c>
      <c r="AW109" s="625">
        <f t="shared" ref="AW109:BJ109" si="254">+AI109*(100%-$P109)</f>
        <v>0</v>
      </c>
      <c r="AX109" s="625">
        <f t="shared" si="254"/>
        <v>0</v>
      </c>
      <c r="AY109" s="625">
        <f t="shared" si="254"/>
        <v>0</v>
      </c>
      <c r="AZ109" s="625">
        <f t="shared" si="254"/>
        <v>0</v>
      </c>
      <c r="BA109" s="625">
        <f t="shared" si="254"/>
        <v>0</v>
      </c>
      <c r="BB109" s="625">
        <f t="shared" si="254"/>
        <v>0</v>
      </c>
      <c r="BC109" s="625">
        <f t="shared" si="254"/>
        <v>0</v>
      </c>
      <c r="BD109" s="625">
        <f t="shared" si="254"/>
        <v>0</v>
      </c>
      <c r="BE109" s="625">
        <f t="shared" si="254"/>
        <v>0</v>
      </c>
      <c r="BF109" s="625">
        <f t="shared" si="254"/>
        <v>0</v>
      </c>
      <c r="BG109" s="625">
        <f t="shared" si="254"/>
        <v>0</v>
      </c>
      <c r="BH109" s="625">
        <f t="shared" si="254"/>
        <v>0</v>
      </c>
      <c r="BI109" s="625">
        <f t="shared" si="254"/>
        <v>0</v>
      </c>
      <c r="BJ109" s="625">
        <f t="shared" si="254"/>
        <v>0</v>
      </c>
      <c r="BK109" s="625">
        <f t="shared" ref="BK109:BX109" si="255">+AI109*($P109)</f>
        <v>0</v>
      </c>
      <c r="BL109" s="625">
        <f t="shared" si="255"/>
        <v>0</v>
      </c>
      <c r="BM109" s="625">
        <f t="shared" si="255"/>
        <v>0</v>
      </c>
      <c r="BN109" s="625">
        <f t="shared" si="255"/>
        <v>0</v>
      </c>
      <c r="BO109" s="625">
        <f t="shared" si="255"/>
        <v>0</v>
      </c>
      <c r="BP109" s="625">
        <f t="shared" si="255"/>
        <v>0</v>
      </c>
      <c r="BQ109" s="625">
        <f t="shared" si="255"/>
        <v>0</v>
      </c>
      <c r="BR109" s="625">
        <f t="shared" si="255"/>
        <v>0</v>
      </c>
      <c r="BS109" s="625">
        <f t="shared" si="255"/>
        <v>0</v>
      </c>
      <c r="BT109" s="625">
        <f t="shared" si="255"/>
        <v>0</v>
      </c>
      <c r="BU109" s="625">
        <f t="shared" si="255"/>
        <v>0</v>
      </c>
      <c r="BV109" s="625">
        <f t="shared" si="255"/>
        <v>0</v>
      </c>
      <c r="BW109" s="625">
        <f t="shared" si="255"/>
        <v>0</v>
      </c>
      <c r="BX109" s="625">
        <f t="shared" si="255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1171</v>
      </c>
      <c r="K110" s="103" t="s">
        <v>1118</v>
      </c>
      <c r="L110" s="614" t="s">
        <v>1399</v>
      </c>
      <c r="M110" s="103"/>
      <c r="N110" s="616">
        <f t="shared" ref="N110:V110" si="256">+SUMIFS(N$67:N$86,$I$67:$I$86,$J110,$M$67:$M$86,$K110)</f>
        <v>3.2805677744000978</v>
      </c>
      <c r="O110" s="616">
        <f t="shared" si="256"/>
        <v>8.7791106651863626E-2</v>
      </c>
      <c r="P110" s="618">
        <f t="shared" si="256"/>
        <v>2.6063465845553212E-2</v>
      </c>
      <c r="Q110" s="618">
        <f t="shared" si="256"/>
        <v>0</v>
      </c>
      <c r="R110" s="619">
        <f t="shared" si="256"/>
        <v>3.6990181091585597E-2</v>
      </c>
      <c r="S110" s="619">
        <f t="shared" si="256"/>
        <v>5.0800925560278022E-2</v>
      </c>
      <c r="T110" s="619">
        <f t="shared" si="256"/>
        <v>0</v>
      </c>
      <c r="U110" s="619">
        <f t="shared" si="256"/>
        <v>0</v>
      </c>
      <c r="V110" s="619">
        <f t="shared" si="256"/>
        <v>0</v>
      </c>
      <c r="W110" s="559">
        <f t="shared" ref="W110:Y110" si="257">+IF($O110=0,"-",R110/$O110)</f>
        <v>0.42134314627414909</v>
      </c>
      <c r="X110" s="559">
        <f t="shared" si="257"/>
        <v>0.57865685372585085</v>
      </c>
      <c r="Y110" s="559">
        <f t="shared" si="257"/>
        <v>0</v>
      </c>
      <c r="Z110" s="559">
        <f t="shared" si="180"/>
        <v>0</v>
      </c>
      <c r="AA110" s="560" t="str">
        <f t="shared" si="231"/>
        <v>-</v>
      </c>
      <c r="AB110" s="622">
        <f t="shared" ref="AB110:AC110" si="258">+SUMIFS(AB$67:AB$86,$I$67:$I$86,$J110,$M$67:$M$86,$K110)</f>
        <v>34.198855287999997</v>
      </c>
      <c r="AC110" s="622">
        <f t="shared" si="258"/>
        <v>10.42467573902014</v>
      </c>
      <c r="AD110" s="627">
        <f t="shared" si="184"/>
        <v>33.307514591244193</v>
      </c>
      <c r="AE110" s="627">
        <f t="shared" si="185"/>
        <v>10.152972558945223</v>
      </c>
      <c r="AF110" s="627">
        <f t="shared" si="186"/>
        <v>0.89134069675580474</v>
      </c>
      <c r="AG110" s="627">
        <f t="shared" si="233"/>
        <v>34.198855287999997</v>
      </c>
      <c r="AH110" s="616">
        <f t="shared" si="234"/>
        <v>3.3683588810519614</v>
      </c>
      <c r="AI110" s="616">
        <f t="shared" ref="AI110:AV110" si="259">+SUMIFS(BK$67:BK$86,$I$67:$I$86,$J110,$M$67:$M$86,$K110)</f>
        <v>3.3683588810519614</v>
      </c>
      <c r="AJ110" s="616">
        <f t="shared" si="259"/>
        <v>3.0751987685605915</v>
      </c>
      <c r="AK110" s="616">
        <f t="shared" si="259"/>
        <v>3.4930679115729726</v>
      </c>
      <c r="AL110" s="616">
        <f t="shared" si="259"/>
        <v>2.7288246831254654</v>
      </c>
      <c r="AM110" s="616">
        <f t="shared" si="259"/>
        <v>0</v>
      </c>
      <c r="AN110" s="616">
        <f t="shared" si="259"/>
        <v>0</v>
      </c>
      <c r="AO110" s="616">
        <f t="shared" si="259"/>
        <v>1.6467059785204439</v>
      </c>
      <c r="AP110" s="616">
        <f t="shared" si="259"/>
        <v>0.98038529706751343</v>
      </c>
      <c r="AQ110" s="616">
        <f t="shared" si="259"/>
        <v>0.82911070247183327</v>
      </c>
      <c r="AR110" s="616">
        <f t="shared" si="259"/>
        <v>0.60219881057831304</v>
      </c>
      <c r="AS110" s="616">
        <f t="shared" si="259"/>
        <v>0.4903086312459346</v>
      </c>
      <c r="AT110" s="616">
        <f t="shared" si="259"/>
        <v>0.41571517835768235</v>
      </c>
      <c r="AU110" s="616">
        <f t="shared" si="259"/>
        <v>0.34112172546943498</v>
      </c>
      <c r="AV110" s="616">
        <f t="shared" si="259"/>
        <v>0.22923154613705787</v>
      </c>
      <c r="AW110" s="625">
        <f t="shared" ref="AW110:BJ110" si="260">+AI110*(100%-$P110)</f>
        <v>3.2805677744000978</v>
      </c>
      <c r="AX110" s="625">
        <f t="shared" si="260"/>
        <v>2.9950484304879255</v>
      </c>
      <c r="AY110" s="625">
        <f t="shared" si="260"/>
        <v>3.4020264553634925</v>
      </c>
      <c r="AZ110" s="625">
        <f t="shared" si="260"/>
        <v>2.6577020541983223</v>
      </c>
      <c r="BA110" s="625">
        <f t="shared" si="260"/>
        <v>0</v>
      </c>
      <c r="BB110" s="625">
        <f t="shared" si="260"/>
        <v>0</v>
      </c>
      <c r="BC110" s="625">
        <f t="shared" si="260"/>
        <v>1.603787113491608</v>
      </c>
      <c r="BD110" s="625">
        <f t="shared" si="260"/>
        <v>0.95483305836191179</v>
      </c>
      <c r="BE110" s="625">
        <f t="shared" si="260"/>
        <v>0.80750120399577607</v>
      </c>
      <c r="BF110" s="625">
        <f t="shared" si="260"/>
        <v>0.58650342244657239</v>
      </c>
      <c r="BG110" s="625">
        <f t="shared" si="260"/>
        <v>0.47752948898167624</v>
      </c>
      <c r="BH110" s="625">
        <f t="shared" si="260"/>
        <v>0.40488020000507885</v>
      </c>
      <c r="BI110" s="625">
        <f t="shared" si="260"/>
        <v>0.33223091102848618</v>
      </c>
      <c r="BJ110" s="625">
        <f t="shared" si="260"/>
        <v>0.22325697756359131</v>
      </c>
      <c r="BK110" s="625">
        <f t="shared" ref="BK110:BX110" si="261">+AI110*($P110)</f>
        <v>8.7791106651863626E-2</v>
      </c>
      <c r="BL110" s="625">
        <f t="shared" si="261"/>
        <v>8.0150338072666277E-2</v>
      </c>
      <c r="BM110" s="625">
        <f t="shared" si="261"/>
        <v>9.1041456209480051E-2</v>
      </c>
      <c r="BN110" s="625">
        <f t="shared" si="261"/>
        <v>7.1122628927143133E-2</v>
      </c>
      <c r="BO110" s="625">
        <f t="shared" si="261"/>
        <v>0</v>
      </c>
      <c r="BP110" s="625">
        <f t="shared" si="261"/>
        <v>0</v>
      </c>
      <c r="BQ110" s="625">
        <f t="shared" si="261"/>
        <v>4.2918865028835872E-2</v>
      </c>
      <c r="BR110" s="625">
        <f t="shared" si="261"/>
        <v>2.5552238705601676E-2</v>
      </c>
      <c r="BS110" s="625">
        <f t="shared" si="261"/>
        <v>2.1609498476057257E-2</v>
      </c>
      <c r="BT110" s="625">
        <f t="shared" si="261"/>
        <v>1.569538813174063E-2</v>
      </c>
      <c r="BU110" s="625">
        <f t="shared" si="261"/>
        <v>1.277914226425836E-2</v>
      </c>
      <c r="BV110" s="625">
        <f t="shared" si="261"/>
        <v>1.0834978352603516E-2</v>
      </c>
      <c r="BW110" s="625">
        <f t="shared" si="261"/>
        <v>8.8908144409487969E-3</v>
      </c>
      <c r="BX110" s="625">
        <f t="shared" si="261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1180</v>
      </c>
      <c r="K111" s="103" t="s">
        <v>1120</v>
      </c>
      <c r="L111" s="614" t="s">
        <v>1399</v>
      </c>
      <c r="M111" s="103"/>
      <c r="N111" s="616">
        <f t="shared" ref="N111:V111" si="262">+SUMIFS(N$67:N$86,$I$67:$I$86,$J111,$M$67:$M$86,$K111)</f>
        <v>0</v>
      </c>
      <c r="O111" s="616">
        <f t="shared" si="262"/>
        <v>0</v>
      </c>
      <c r="P111" s="618">
        <f t="shared" si="262"/>
        <v>0</v>
      </c>
      <c r="Q111" s="618">
        <f t="shared" si="262"/>
        <v>0</v>
      </c>
      <c r="R111" s="619">
        <f t="shared" si="262"/>
        <v>0</v>
      </c>
      <c r="S111" s="619">
        <f t="shared" si="262"/>
        <v>0</v>
      </c>
      <c r="T111" s="619">
        <f t="shared" si="262"/>
        <v>0</v>
      </c>
      <c r="U111" s="619">
        <f t="shared" si="262"/>
        <v>0</v>
      </c>
      <c r="V111" s="619">
        <f t="shared" si="262"/>
        <v>0</v>
      </c>
      <c r="W111" s="559" t="str">
        <f t="shared" ref="W111:Y111" si="263">+IF($O111=0,"-",R111/$O111)</f>
        <v>-</v>
      </c>
      <c r="X111" s="559" t="str">
        <f t="shared" si="263"/>
        <v>-</v>
      </c>
      <c r="Y111" s="559" t="str">
        <f t="shared" si="263"/>
        <v>-</v>
      </c>
      <c r="Z111" s="559" t="str">
        <f t="shared" si="180"/>
        <v>-</v>
      </c>
      <c r="AA111" s="560" t="str">
        <f t="shared" si="231"/>
        <v>-</v>
      </c>
      <c r="AB111" s="622">
        <f t="shared" ref="AB111:AC111" si="264">+SUMIFS(AB$67:AB$86,$I$67:$I$86,$J111,$M$67:$M$86,$K111)</f>
        <v>0</v>
      </c>
      <c r="AC111" s="622">
        <f t="shared" si="264"/>
        <v>0</v>
      </c>
      <c r="AD111" s="627">
        <f t="shared" si="184"/>
        <v>0</v>
      </c>
      <c r="AE111" s="628" t="str">
        <f t="shared" si="185"/>
        <v>-</v>
      </c>
      <c r="AF111" s="627">
        <f t="shared" si="186"/>
        <v>0</v>
      </c>
      <c r="AG111" s="628" t="str">
        <f t="shared" si="233"/>
        <v>-</v>
      </c>
      <c r="AH111" s="616">
        <f t="shared" si="234"/>
        <v>0</v>
      </c>
      <c r="AI111" s="616">
        <f t="shared" ref="AI111:AV111" si="265">+SUMIFS(BK$67:BK$86,$I$67:$I$86,$J111,$M$67:$M$86,$K111)</f>
        <v>0</v>
      </c>
      <c r="AJ111" s="616">
        <f t="shared" si="265"/>
        <v>0</v>
      </c>
      <c r="AK111" s="616">
        <f t="shared" si="265"/>
        <v>0</v>
      </c>
      <c r="AL111" s="616">
        <f t="shared" si="265"/>
        <v>0</v>
      </c>
      <c r="AM111" s="616">
        <f t="shared" si="265"/>
        <v>0</v>
      </c>
      <c r="AN111" s="616">
        <f t="shared" si="265"/>
        <v>0</v>
      </c>
      <c r="AO111" s="616">
        <f t="shared" si="265"/>
        <v>0</v>
      </c>
      <c r="AP111" s="616">
        <f t="shared" si="265"/>
        <v>0</v>
      </c>
      <c r="AQ111" s="616">
        <f t="shared" si="265"/>
        <v>0</v>
      </c>
      <c r="AR111" s="616">
        <f t="shared" si="265"/>
        <v>0</v>
      </c>
      <c r="AS111" s="616">
        <f t="shared" si="265"/>
        <v>0</v>
      </c>
      <c r="AT111" s="616">
        <f t="shared" si="265"/>
        <v>0</v>
      </c>
      <c r="AU111" s="616">
        <f t="shared" si="265"/>
        <v>0</v>
      </c>
      <c r="AV111" s="616">
        <f t="shared" si="265"/>
        <v>0</v>
      </c>
      <c r="AW111" s="625">
        <f t="shared" ref="AW111:BJ111" si="266">+AI111*(100%-$P111)</f>
        <v>0</v>
      </c>
      <c r="AX111" s="625">
        <f t="shared" si="266"/>
        <v>0</v>
      </c>
      <c r="AY111" s="625">
        <f t="shared" si="266"/>
        <v>0</v>
      </c>
      <c r="AZ111" s="625">
        <f t="shared" si="266"/>
        <v>0</v>
      </c>
      <c r="BA111" s="625">
        <f t="shared" si="266"/>
        <v>0</v>
      </c>
      <c r="BB111" s="625">
        <f t="shared" si="266"/>
        <v>0</v>
      </c>
      <c r="BC111" s="625">
        <f t="shared" si="266"/>
        <v>0</v>
      </c>
      <c r="BD111" s="625">
        <f t="shared" si="266"/>
        <v>0</v>
      </c>
      <c r="BE111" s="625">
        <f t="shared" si="266"/>
        <v>0</v>
      </c>
      <c r="BF111" s="625">
        <f t="shared" si="266"/>
        <v>0</v>
      </c>
      <c r="BG111" s="625">
        <f t="shared" si="266"/>
        <v>0</v>
      </c>
      <c r="BH111" s="625">
        <f t="shared" si="266"/>
        <v>0</v>
      </c>
      <c r="BI111" s="625">
        <f t="shared" si="266"/>
        <v>0</v>
      </c>
      <c r="BJ111" s="625">
        <f t="shared" si="266"/>
        <v>0</v>
      </c>
      <c r="BK111" s="625">
        <f t="shared" ref="BK111:BX111" si="267">+AI111*($P111)</f>
        <v>0</v>
      </c>
      <c r="BL111" s="625">
        <f t="shared" si="267"/>
        <v>0</v>
      </c>
      <c r="BM111" s="625">
        <f t="shared" si="267"/>
        <v>0</v>
      </c>
      <c r="BN111" s="625">
        <f t="shared" si="267"/>
        <v>0</v>
      </c>
      <c r="BO111" s="625">
        <f t="shared" si="267"/>
        <v>0</v>
      </c>
      <c r="BP111" s="625">
        <f t="shared" si="267"/>
        <v>0</v>
      </c>
      <c r="BQ111" s="625">
        <f t="shared" si="267"/>
        <v>0</v>
      </c>
      <c r="BR111" s="625">
        <f t="shared" si="267"/>
        <v>0</v>
      </c>
      <c r="BS111" s="625">
        <f t="shared" si="267"/>
        <v>0</v>
      </c>
      <c r="BT111" s="625">
        <f t="shared" si="267"/>
        <v>0</v>
      </c>
      <c r="BU111" s="625">
        <f t="shared" si="267"/>
        <v>0</v>
      </c>
      <c r="BV111" s="625">
        <f t="shared" si="267"/>
        <v>0</v>
      </c>
      <c r="BW111" s="625">
        <f t="shared" si="267"/>
        <v>0</v>
      </c>
      <c r="BX111" s="625">
        <f t="shared" si="267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1180</v>
      </c>
      <c r="K112" s="103" t="s">
        <v>1118</v>
      </c>
      <c r="L112" s="614" t="s">
        <v>1399</v>
      </c>
      <c r="M112" s="103"/>
      <c r="N112" s="616">
        <f t="shared" ref="N112:V112" si="268">+SUMIFS(N$67:N$86,$I$67:$I$86,$J112,$M$67:$M$86,$K112)</f>
        <v>0</v>
      </c>
      <c r="O112" s="616">
        <f t="shared" si="268"/>
        <v>0</v>
      </c>
      <c r="P112" s="618">
        <f t="shared" si="268"/>
        <v>0</v>
      </c>
      <c r="Q112" s="618">
        <f t="shared" si="268"/>
        <v>0</v>
      </c>
      <c r="R112" s="619">
        <f t="shared" si="268"/>
        <v>0</v>
      </c>
      <c r="S112" s="619">
        <f t="shared" si="268"/>
        <v>0</v>
      </c>
      <c r="T112" s="619">
        <f t="shared" si="268"/>
        <v>0</v>
      </c>
      <c r="U112" s="619">
        <f t="shared" si="268"/>
        <v>0</v>
      </c>
      <c r="V112" s="619">
        <f t="shared" si="268"/>
        <v>0</v>
      </c>
      <c r="W112" s="629" t="str">
        <f t="shared" ref="W112:Y112" si="269">+IF($O112=0,"-",R112/$O112)</f>
        <v>-</v>
      </c>
      <c r="X112" s="629" t="str">
        <f t="shared" si="269"/>
        <v>-</v>
      </c>
      <c r="Y112" s="629" t="str">
        <f t="shared" si="269"/>
        <v>-</v>
      </c>
      <c r="Z112" s="629" t="str">
        <f t="shared" si="180"/>
        <v>-</v>
      </c>
      <c r="AA112" s="630" t="str">
        <f t="shared" si="231"/>
        <v>-</v>
      </c>
      <c r="AB112" s="622">
        <f t="shared" ref="AB112:AC112" si="270">+SUMIFS(AB$67:AB$86,$I$67:$I$86,$J112,$M$67:$M$86,$K112)</f>
        <v>0</v>
      </c>
      <c r="AC112" s="622">
        <f t="shared" si="270"/>
        <v>0</v>
      </c>
      <c r="AD112" s="627">
        <f t="shared" si="184"/>
        <v>0</v>
      </c>
      <c r="AE112" s="628" t="str">
        <f t="shared" si="185"/>
        <v>-</v>
      </c>
      <c r="AF112" s="627">
        <f t="shared" si="186"/>
        <v>0</v>
      </c>
      <c r="AG112" s="628" t="str">
        <f t="shared" si="233"/>
        <v>-</v>
      </c>
      <c r="AH112" s="616">
        <f t="shared" si="234"/>
        <v>0</v>
      </c>
      <c r="AI112" s="616">
        <f t="shared" ref="AI112:AV112" si="271">+SUMIFS(BK$67:BK$86,$I$67:$I$86,$J112,$M$67:$M$86,$K112)</f>
        <v>0</v>
      </c>
      <c r="AJ112" s="616">
        <f t="shared" si="271"/>
        <v>0</v>
      </c>
      <c r="AK112" s="616">
        <f t="shared" si="271"/>
        <v>0</v>
      </c>
      <c r="AL112" s="616">
        <f t="shared" si="271"/>
        <v>0</v>
      </c>
      <c r="AM112" s="616">
        <f t="shared" si="271"/>
        <v>0</v>
      </c>
      <c r="AN112" s="616">
        <f t="shared" si="271"/>
        <v>0</v>
      </c>
      <c r="AO112" s="616">
        <f t="shared" si="271"/>
        <v>0</v>
      </c>
      <c r="AP112" s="616">
        <f t="shared" si="271"/>
        <v>0</v>
      </c>
      <c r="AQ112" s="616">
        <f t="shared" si="271"/>
        <v>0</v>
      </c>
      <c r="AR112" s="616">
        <f t="shared" si="271"/>
        <v>0</v>
      </c>
      <c r="AS112" s="616">
        <f t="shared" si="271"/>
        <v>0</v>
      </c>
      <c r="AT112" s="616">
        <f t="shared" si="271"/>
        <v>0</v>
      </c>
      <c r="AU112" s="616">
        <f t="shared" si="271"/>
        <v>0</v>
      </c>
      <c r="AV112" s="616">
        <f t="shared" si="271"/>
        <v>0</v>
      </c>
      <c r="AW112" s="625">
        <f t="shared" ref="AW112:BJ112" si="272">+AI112*(100%-$P112)</f>
        <v>0</v>
      </c>
      <c r="AX112" s="625">
        <f t="shared" si="272"/>
        <v>0</v>
      </c>
      <c r="AY112" s="625">
        <f t="shared" si="272"/>
        <v>0</v>
      </c>
      <c r="AZ112" s="625">
        <f t="shared" si="272"/>
        <v>0</v>
      </c>
      <c r="BA112" s="625">
        <f t="shared" si="272"/>
        <v>0</v>
      </c>
      <c r="BB112" s="625">
        <f t="shared" si="272"/>
        <v>0</v>
      </c>
      <c r="BC112" s="625">
        <f t="shared" si="272"/>
        <v>0</v>
      </c>
      <c r="BD112" s="625">
        <f t="shared" si="272"/>
        <v>0</v>
      </c>
      <c r="BE112" s="625">
        <f t="shared" si="272"/>
        <v>0</v>
      </c>
      <c r="BF112" s="625">
        <f t="shared" si="272"/>
        <v>0</v>
      </c>
      <c r="BG112" s="625">
        <f t="shared" si="272"/>
        <v>0</v>
      </c>
      <c r="BH112" s="625">
        <f t="shared" si="272"/>
        <v>0</v>
      </c>
      <c r="BI112" s="625">
        <f t="shared" si="272"/>
        <v>0</v>
      </c>
      <c r="BJ112" s="625">
        <f t="shared" si="272"/>
        <v>0</v>
      </c>
      <c r="BK112" s="625">
        <f t="shared" ref="BK112:BX112" si="273">+AI112*($P112)</f>
        <v>0</v>
      </c>
      <c r="BL112" s="625">
        <f t="shared" si="273"/>
        <v>0</v>
      </c>
      <c r="BM112" s="625">
        <f t="shared" si="273"/>
        <v>0</v>
      </c>
      <c r="BN112" s="625">
        <f t="shared" si="273"/>
        <v>0</v>
      </c>
      <c r="BO112" s="625">
        <f t="shared" si="273"/>
        <v>0</v>
      </c>
      <c r="BP112" s="625">
        <f t="shared" si="273"/>
        <v>0</v>
      </c>
      <c r="BQ112" s="625">
        <f t="shared" si="273"/>
        <v>0</v>
      </c>
      <c r="BR112" s="625">
        <f t="shared" si="273"/>
        <v>0</v>
      </c>
      <c r="BS112" s="625">
        <f t="shared" si="273"/>
        <v>0</v>
      </c>
      <c r="BT112" s="625">
        <f t="shared" si="273"/>
        <v>0</v>
      </c>
      <c r="BU112" s="625">
        <f t="shared" si="273"/>
        <v>0</v>
      </c>
      <c r="BV112" s="625">
        <f t="shared" si="273"/>
        <v>0</v>
      </c>
      <c r="BW112" s="625">
        <f t="shared" si="273"/>
        <v>0</v>
      </c>
      <c r="BX112" s="625">
        <f t="shared" si="273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970" t="s">
        <v>1400</v>
      </c>
      <c r="K116" s="971"/>
      <c r="L116" s="971"/>
      <c r="M116" s="971"/>
      <c r="N116" s="971"/>
      <c r="O116" s="971"/>
      <c r="P116" s="971"/>
      <c r="Q116" s="971"/>
      <c r="R116" s="971"/>
      <c r="S116" s="971"/>
      <c r="T116" s="971"/>
      <c r="U116" s="971"/>
      <c r="V116" s="971"/>
      <c r="W116" s="971"/>
      <c r="X116" s="971"/>
      <c r="Y116" s="971"/>
      <c r="Z116" s="971"/>
      <c r="AA116" s="971"/>
      <c r="AB116" s="971"/>
      <c r="AC116" s="971"/>
      <c r="AD116" s="971"/>
      <c r="AE116" s="971"/>
      <c r="AF116" s="971"/>
      <c r="AG116" s="972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4">+SUM(AW99:AW104)</f>
        <v>1025.6624631771094</v>
      </c>
      <c r="AX117" s="632">
        <f t="shared" si="274"/>
        <v>971.57652717500991</v>
      </c>
      <c r="AY117" s="632">
        <f t="shared" si="274"/>
        <v>812.5441838645703</v>
      </c>
      <c r="AZ117" s="632">
        <f t="shared" si="274"/>
        <v>668.92360361378201</v>
      </c>
      <c r="BA117" s="632">
        <f t="shared" si="274"/>
        <v>559.86485266250133</v>
      </c>
      <c r="BB117" s="632">
        <f t="shared" si="274"/>
        <v>400.90866544257676</v>
      </c>
      <c r="BC117" s="632">
        <f t="shared" si="274"/>
        <v>323.95216648114376</v>
      </c>
      <c r="BD117" s="632">
        <f t="shared" si="274"/>
        <v>269.97511844019584</v>
      </c>
      <c r="BE117" s="632">
        <f t="shared" si="274"/>
        <v>224.31431091820514</v>
      </c>
      <c r="BF117" s="632">
        <f t="shared" si="274"/>
        <v>157.10067813612787</v>
      </c>
      <c r="BG117" s="632">
        <f t="shared" si="274"/>
        <v>103.64564921068032</v>
      </c>
      <c r="BH117" s="632">
        <f t="shared" si="274"/>
        <v>88.388980286709</v>
      </c>
      <c r="BI117" s="632">
        <f t="shared" si="274"/>
        <v>79.012481549996423</v>
      </c>
      <c r="BJ117" s="632">
        <f t="shared" si="274"/>
        <v>66.383024371710619</v>
      </c>
      <c r="BK117" s="633">
        <f t="shared" si="274"/>
        <v>334.25667316952502</v>
      </c>
      <c r="BL117" s="632">
        <f t="shared" si="274"/>
        <v>315.79957710288363</v>
      </c>
      <c r="BM117" s="632">
        <f t="shared" si="274"/>
        <v>260.98945875521662</v>
      </c>
      <c r="BN117" s="632">
        <f t="shared" si="274"/>
        <v>199.14856077668688</v>
      </c>
      <c r="BO117" s="632">
        <f t="shared" si="274"/>
        <v>155.93802583631739</v>
      </c>
      <c r="BP117" s="632">
        <f t="shared" si="274"/>
        <v>102.33865688836053</v>
      </c>
      <c r="BQ117" s="632">
        <f t="shared" si="274"/>
        <v>61.685268979559218</v>
      </c>
      <c r="BR117" s="632">
        <f t="shared" si="274"/>
        <v>41.883982717553593</v>
      </c>
      <c r="BS117" s="632">
        <f t="shared" si="274"/>
        <v>31.756161426473941</v>
      </c>
      <c r="BT117" s="632">
        <f t="shared" si="274"/>
        <v>19.422450620785838</v>
      </c>
      <c r="BU117" s="632">
        <f t="shared" si="274"/>
        <v>14.015670611044998</v>
      </c>
      <c r="BV117" s="632">
        <f t="shared" si="274"/>
        <v>10.50143029698169</v>
      </c>
      <c r="BW117" s="632">
        <f t="shared" si="274"/>
        <v>7.8547503912342362</v>
      </c>
      <c r="BX117" s="634">
        <f t="shared" si="274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1401</v>
      </c>
      <c r="AC118" s="12" t="s">
        <v>1402</v>
      </c>
      <c r="AF118" s="12">
        <f>+AF117*(1000/D8)/1000</f>
        <v>302.87191322450025</v>
      </c>
      <c r="AV118" s="47" t="s">
        <v>586</v>
      </c>
      <c r="AW118" s="635">
        <f t="shared" ref="AW118:BJ118" si="275">+AW117*1000/($D$8*365)</f>
        <v>461.63196063013703</v>
      </c>
      <c r="AX118" s="635">
        <f t="shared" si="275"/>
        <v>437.28886767748605</v>
      </c>
      <c r="AY118" s="635">
        <f t="shared" si="275"/>
        <v>365.71131162791244</v>
      </c>
      <c r="AZ118" s="635">
        <f t="shared" si="275"/>
        <v>301.07030893133543</v>
      </c>
      <c r="BA118" s="635">
        <f t="shared" si="275"/>
        <v>251.98495499377984</v>
      </c>
      <c r="BB118" s="635">
        <f t="shared" si="275"/>
        <v>180.4416754110172</v>
      </c>
      <c r="BC118" s="635">
        <f t="shared" si="275"/>
        <v>145.80495936239356</v>
      </c>
      <c r="BD118" s="635">
        <f t="shared" si="275"/>
        <v>121.51087489430755</v>
      </c>
      <c r="BE118" s="635">
        <f t="shared" si="275"/>
        <v>100.95977854723172</v>
      </c>
      <c r="BF118" s="635">
        <f t="shared" si="275"/>
        <v>70.708148799418154</v>
      </c>
      <c r="BG118" s="635">
        <f t="shared" si="275"/>
        <v>46.64901561055548</v>
      </c>
      <c r="BH118" s="635">
        <f t="shared" si="275"/>
        <v>39.782267298209774</v>
      </c>
      <c r="BI118" s="635">
        <f t="shared" si="275"/>
        <v>35.562076298661417</v>
      </c>
      <c r="BJ118" s="635">
        <f t="shared" si="275"/>
        <v>29.877788057433573</v>
      </c>
      <c r="BK118" s="636">
        <f t="shared" ref="BK118:BX118" si="276">+BK117*1000/($D$7*365)</f>
        <v>907.10221917808201</v>
      </c>
      <c r="BL118" s="635">
        <f t="shared" si="276"/>
        <v>857.01354737124529</v>
      </c>
      <c r="BM118" s="635">
        <f t="shared" si="276"/>
        <v>708.27042875184122</v>
      </c>
      <c r="BN118" s="635">
        <f t="shared" si="276"/>
        <v>540.44725484069693</v>
      </c>
      <c r="BO118" s="635">
        <f t="shared" si="276"/>
        <v>423.18296280844186</v>
      </c>
      <c r="BP118" s="635">
        <f t="shared" si="276"/>
        <v>277.72556308563128</v>
      </c>
      <c r="BQ118" s="635">
        <f t="shared" si="276"/>
        <v>167.40082958217096</v>
      </c>
      <c r="BR118" s="635">
        <f t="shared" si="276"/>
        <v>113.66430866090849</v>
      </c>
      <c r="BS118" s="635">
        <f t="shared" si="276"/>
        <v>86.179534515747221</v>
      </c>
      <c r="BT118" s="635">
        <f t="shared" si="276"/>
        <v>52.708440770773045</v>
      </c>
      <c r="BU118" s="635">
        <f t="shared" si="276"/>
        <v>38.035578449319281</v>
      </c>
      <c r="BV118" s="635">
        <f t="shared" si="276"/>
        <v>28.498670308086265</v>
      </c>
      <c r="BW118" s="635">
        <f t="shared" si="276"/>
        <v>21.316138413682069</v>
      </c>
      <c r="BX118" s="637">
        <f t="shared" si="276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1403</v>
      </c>
      <c r="AC119" s="12" t="s">
        <v>1404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7">J98</f>
        <v>Basin</v>
      </c>
      <c r="K120" s="608" t="str">
        <f t="shared" si="277"/>
        <v>Type Fluid</v>
      </c>
      <c r="L120" s="608" t="str">
        <f t="shared" si="277"/>
        <v>CAM</v>
      </c>
      <c r="M120" s="608" t="str">
        <f t="shared" si="277"/>
        <v>Type of Oil producing</v>
      </c>
      <c r="N120" s="638" t="s">
        <v>1405</v>
      </c>
      <c r="Y120" s="639" t="s">
        <v>1346</v>
      </c>
      <c r="Z120" s="639" t="s">
        <v>1406</v>
      </c>
      <c r="AA120" s="640" t="s">
        <v>1407</v>
      </c>
      <c r="AB120" s="640" t="s">
        <v>1408</v>
      </c>
      <c r="AC120" s="640" t="s">
        <v>1409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8">J99</f>
        <v>Guajira</v>
      </c>
      <c r="K121" s="103" t="str">
        <f t="shared" si="278"/>
        <v>Doesn't Apply</v>
      </c>
      <c r="L121" s="614" t="str">
        <f t="shared" si="278"/>
        <v>CAM1</v>
      </c>
      <c r="M121" s="615" t="str">
        <f t="shared" si="278"/>
        <v>GU - Gas</v>
      </c>
      <c r="N121" s="379">
        <f t="shared" ref="N121:N122" si="279">+$T$133/1000</f>
        <v>1.0582000000000001E-2</v>
      </c>
      <c r="O121" s="379" t="s">
        <v>1410</v>
      </c>
      <c r="S121" s="12">
        <v>11.07</v>
      </c>
      <c r="U121" s="12">
        <f t="shared" ref="U121:U127" si="280">+S121*N121</f>
        <v>0.11714274000000001</v>
      </c>
      <c r="X121" s="615" t="s">
        <v>1392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1226</v>
      </c>
      <c r="AB121" s="12" t="s">
        <v>1226</v>
      </c>
      <c r="AC121" s="12" t="s">
        <v>531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1">J100</f>
        <v>Llanos Orientales</v>
      </c>
      <c r="K122" s="103" t="str">
        <f t="shared" si="281"/>
        <v>Light Oil</v>
      </c>
      <c r="L122" s="614" t="str">
        <f t="shared" si="281"/>
        <v>CAM2</v>
      </c>
      <c r="M122" s="626" t="str">
        <f t="shared" si="281"/>
        <v>LLO - Ligth</v>
      </c>
      <c r="N122" s="379">
        <f t="shared" si="279"/>
        <v>1.0582000000000001E-2</v>
      </c>
      <c r="O122" s="379" t="s">
        <v>1410</v>
      </c>
      <c r="S122" s="12">
        <v>363.69</v>
      </c>
      <c r="U122" s="12">
        <f t="shared" si="280"/>
        <v>3.8485675800000005</v>
      </c>
      <c r="X122" s="626" t="s">
        <v>1393</v>
      </c>
      <c r="Y122" s="400">
        <v>0.70411500249785086</v>
      </c>
      <c r="Z122" s="641">
        <v>209.74608813235034</v>
      </c>
      <c r="AA122" s="12" t="s">
        <v>1226</v>
      </c>
      <c r="AB122" s="12" t="s">
        <v>1226</v>
      </c>
      <c r="AC122" s="12" t="s">
        <v>531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2">J101</f>
        <v>Llanos Orientales</v>
      </c>
      <c r="K123" s="103" t="str">
        <f t="shared" si="282"/>
        <v>Heavy Oil</v>
      </c>
      <c r="L123" s="614" t="str">
        <f t="shared" si="282"/>
        <v>CAM3</v>
      </c>
      <c r="M123" s="34" t="str">
        <f t="shared" si="282"/>
        <v>LLO - Heavy</v>
      </c>
      <c r="N123" s="379">
        <f>+(T135+$T$133)/1000</f>
        <v>1.4998000000000001E-2</v>
      </c>
      <c r="O123" s="379" t="s">
        <v>1410</v>
      </c>
      <c r="S123" s="12">
        <v>726.7</v>
      </c>
      <c r="U123" s="12">
        <f t="shared" si="280"/>
        <v>10.899046600000002</v>
      </c>
      <c r="X123" s="34" t="s">
        <v>1394</v>
      </c>
      <c r="Y123" s="400">
        <v>2.8224919834781799E-3</v>
      </c>
      <c r="Z123" s="641">
        <v>0.23786180586758954</v>
      </c>
      <c r="AA123" s="12" t="s">
        <v>1226</v>
      </c>
      <c r="AB123" s="12" t="s">
        <v>531</v>
      </c>
      <c r="AC123" s="12" t="s">
        <v>1226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3">J102</f>
        <v>Putumayo</v>
      </c>
      <c r="K124" s="103" t="str">
        <f t="shared" si="283"/>
        <v>Light Oil</v>
      </c>
      <c r="L124" s="614" t="str">
        <f t="shared" si="283"/>
        <v>CAM4</v>
      </c>
      <c r="M124" s="34" t="str">
        <f t="shared" si="283"/>
        <v>PU - Ligth</v>
      </c>
      <c r="N124" s="379">
        <f t="shared" ref="N124:N127" si="284">+$T$133/1000</f>
        <v>1.0582000000000001E-2</v>
      </c>
      <c r="O124" s="379" t="s">
        <v>1410</v>
      </c>
      <c r="P124" s="1"/>
      <c r="S124" s="12">
        <v>5.64</v>
      </c>
      <c r="U124" s="12">
        <f t="shared" si="280"/>
        <v>5.9682480000000003E-2</v>
      </c>
      <c r="X124" s="34" t="s">
        <v>1395</v>
      </c>
      <c r="Y124" s="400">
        <v>0.2264193930205074</v>
      </c>
      <c r="Z124" s="641">
        <v>0</v>
      </c>
      <c r="AA124" s="12" t="s">
        <v>1226</v>
      </c>
      <c r="AB124" s="12" t="s">
        <v>531</v>
      </c>
      <c r="AC124" s="12" t="s">
        <v>1226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5">J103</f>
        <v>VMM</v>
      </c>
      <c r="K125" s="103" t="str">
        <f t="shared" si="285"/>
        <v>Medium Oil</v>
      </c>
      <c r="L125" s="614" t="str">
        <f t="shared" si="285"/>
        <v>CAM5</v>
      </c>
      <c r="M125" s="34" t="str">
        <f t="shared" si="285"/>
        <v>VMM - Medium</v>
      </c>
      <c r="N125" s="379">
        <f t="shared" si="284"/>
        <v>1.0582000000000001E-2</v>
      </c>
      <c r="O125" s="379" t="s">
        <v>1410</v>
      </c>
      <c r="P125" s="1"/>
      <c r="S125" s="12">
        <v>165.44</v>
      </c>
      <c r="U125" s="12">
        <f t="shared" si="280"/>
        <v>1.7506860800000001</v>
      </c>
      <c r="X125" s="34" t="s">
        <v>1396</v>
      </c>
      <c r="Y125" s="400">
        <v>2.9005932398423979E-2</v>
      </c>
      <c r="Z125" s="641">
        <v>2.2768748695271519</v>
      </c>
      <c r="AA125" s="12" t="s">
        <v>1226</v>
      </c>
      <c r="AB125" s="12" t="s">
        <v>531</v>
      </c>
      <c r="AC125" s="12" t="s">
        <v>1226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6">J104</f>
        <v>VSM</v>
      </c>
      <c r="K126" s="103" t="str">
        <f t="shared" si="286"/>
        <v>Medium Oil</v>
      </c>
      <c r="L126" s="614" t="str">
        <f t="shared" si="286"/>
        <v>CAM6</v>
      </c>
      <c r="M126" s="626" t="str">
        <f t="shared" si="286"/>
        <v>VSM - Medium</v>
      </c>
      <c r="N126" s="379">
        <f t="shared" si="284"/>
        <v>1.0582000000000001E-2</v>
      </c>
      <c r="O126" s="379" t="s">
        <v>1410</v>
      </c>
      <c r="P126" s="1"/>
      <c r="S126" s="12">
        <v>29.86</v>
      </c>
      <c r="U126" s="12">
        <f t="shared" si="280"/>
        <v>0.31597852000000004</v>
      </c>
      <c r="X126" s="626" t="s">
        <v>1397</v>
      </c>
      <c r="Y126" s="400">
        <v>4.9174002504380532E-2</v>
      </c>
      <c r="Z126" s="641">
        <v>0.61987830491387741</v>
      </c>
      <c r="AA126" s="12" t="s">
        <v>1226</v>
      </c>
      <c r="AB126" s="12" t="s">
        <v>531</v>
      </c>
      <c r="AC126" s="12" t="s">
        <v>1226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1188</v>
      </c>
      <c r="K127" s="103" t="str">
        <f t="shared" ref="K127:M127" si="287">+K105</f>
        <v>Doesn't Apply</v>
      </c>
      <c r="L127" s="614" t="str">
        <f t="shared" si="287"/>
        <v>CAM7</v>
      </c>
      <c r="M127" s="626" t="str">
        <f t="shared" si="287"/>
        <v>VIM - GAS</v>
      </c>
      <c r="N127" s="379">
        <f t="shared" si="284"/>
        <v>1.0582000000000001E-2</v>
      </c>
      <c r="O127" s="379" t="s">
        <v>1410</v>
      </c>
      <c r="P127" s="1"/>
      <c r="S127" s="12">
        <v>11.13</v>
      </c>
      <c r="U127" s="12">
        <f t="shared" si="280"/>
        <v>0.11777766000000002</v>
      </c>
      <c r="X127" s="626" t="s">
        <v>1398</v>
      </c>
      <c r="Y127" s="400">
        <v>0.99457310605335914</v>
      </c>
      <c r="Z127" s="641">
        <v>13.465657577297089</v>
      </c>
      <c r="AA127" s="12" t="s">
        <v>1226</v>
      </c>
      <c r="AB127" s="12" t="s">
        <v>1226</v>
      </c>
      <c r="AC127" s="12" t="s">
        <v>531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8">J106</f>
        <v>Llanos Orientales</v>
      </c>
      <c r="K128" s="103" t="str">
        <f t="shared" si="288"/>
        <v>Medium Oil</v>
      </c>
      <c r="L128" s="614" t="str">
        <f t="shared" si="288"/>
        <v>P</v>
      </c>
      <c r="M128" s="103">
        <f t="shared" si="288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9">J107</f>
        <v>Putumayo</v>
      </c>
      <c r="K129" s="103" t="str">
        <f t="shared" si="289"/>
        <v>Medium Oil</v>
      </c>
      <c r="L129" s="614" t="str">
        <f t="shared" si="289"/>
        <v>P</v>
      </c>
      <c r="M129" s="103">
        <f t="shared" si="289"/>
        <v>0</v>
      </c>
      <c r="N129" s="642"/>
      <c r="O129" s="400"/>
      <c r="P129" s="1"/>
      <c r="U129" s="12">
        <f>+U128/0.0036</f>
        <v>4752.4671277777798</v>
      </c>
      <c r="V129" s="12" t="s">
        <v>523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90">J108</f>
        <v>Putumayo</v>
      </c>
      <c r="K130" s="103" t="str">
        <f t="shared" si="290"/>
        <v>Heavy Oil</v>
      </c>
      <c r="L130" s="614" t="str">
        <f t="shared" si="290"/>
        <v>P</v>
      </c>
      <c r="M130" s="103">
        <f t="shared" si="290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1">J109</f>
        <v>VMM</v>
      </c>
      <c r="K131" s="103" t="str">
        <f t="shared" si="291"/>
        <v>Light Oil</v>
      </c>
      <c r="L131" s="614" t="str">
        <f t="shared" si="291"/>
        <v>P</v>
      </c>
      <c r="M131" s="103">
        <f t="shared" si="291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2">J110</f>
        <v>VMM</v>
      </c>
      <c r="K132" s="103" t="str">
        <f t="shared" si="292"/>
        <v>Heavy Oil</v>
      </c>
      <c r="L132" s="614" t="str">
        <f t="shared" si="292"/>
        <v>P</v>
      </c>
      <c r="M132" s="103">
        <f t="shared" si="292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1411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3">J111</f>
        <v>VSM</v>
      </c>
      <c r="K133" s="103" t="str">
        <f t="shared" si="293"/>
        <v>Light Oil</v>
      </c>
      <c r="L133" s="614" t="str">
        <f t="shared" si="293"/>
        <v>P</v>
      </c>
      <c r="M133" s="103">
        <f t="shared" si="293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1411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4">J112</f>
        <v>VSM</v>
      </c>
      <c r="K134" s="103" t="str">
        <f t="shared" si="294"/>
        <v>Heavy Oil</v>
      </c>
      <c r="L134" s="614" t="str">
        <f t="shared" si="294"/>
        <v>P</v>
      </c>
      <c r="M134" s="103">
        <f t="shared" si="294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1411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1411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1411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973" t="s">
        <v>1412</v>
      </c>
      <c r="K138" s="971"/>
      <c r="L138" s="971"/>
      <c r="M138" s="971"/>
      <c r="N138" s="971"/>
      <c r="O138" s="971"/>
      <c r="P138" s="971"/>
      <c r="Q138" s="971"/>
      <c r="R138" s="971"/>
      <c r="S138" s="971"/>
      <c r="T138" s="971"/>
      <c r="U138" s="971"/>
      <c r="V138" s="971"/>
      <c r="W138" s="971"/>
      <c r="X138" s="971"/>
      <c r="Y138" s="971"/>
      <c r="Z138" s="971"/>
      <c r="AA138" s="971"/>
      <c r="AB138" s="971"/>
      <c r="AC138" s="971"/>
      <c r="AD138" s="971"/>
      <c r="AE138" s="971"/>
      <c r="AF138" s="971"/>
      <c r="AG138" s="972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5">J120</f>
        <v>Basin</v>
      </c>
      <c r="K140" s="608" t="str">
        <f t="shared" si="295"/>
        <v>Type Fluid</v>
      </c>
      <c r="L140" s="608" t="str">
        <f t="shared" si="295"/>
        <v>CAM</v>
      </c>
      <c r="M140" s="608" t="str">
        <f t="shared" si="295"/>
        <v>Type of Oil producing</v>
      </c>
      <c r="N140" s="426" t="s">
        <v>1413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6">J121</f>
        <v>Guajira</v>
      </c>
      <c r="K141" s="103" t="str">
        <f t="shared" si="296"/>
        <v>Doesn't Apply</v>
      </c>
      <c r="L141" s="614" t="str">
        <f t="shared" si="296"/>
        <v>CAM1</v>
      </c>
      <c r="M141" s="615" t="str">
        <f t="shared" si="296"/>
        <v>GU - Gas</v>
      </c>
      <c r="N141" s="1">
        <f>+T144</f>
        <v>0.4</v>
      </c>
      <c r="O141" s="1"/>
      <c r="P141" s="1"/>
      <c r="Q141" s="1"/>
      <c r="R141" s="1"/>
      <c r="T141" s="805" t="s">
        <v>1564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7">J122</f>
        <v>Llanos Orientales</v>
      </c>
      <c r="K142" s="103" t="str">
        <f t="shared" si="297"/>
        <v>Light Oil</v>
      </c>
      <c r="L142" s="614" t="str">
        <f t="shared" si="297"/>
        <v>CAM2</v>
      </c>
      <c r="M142" s="626" t="str">
        <f t="shared" si="297"/>
        <v>LLO - Ligth</v>
      </c>
      <c r="N142" s="1">
        <f>+T144+0.5</f>
        <v>0.9</v>
      </c>
      <c r="O142" s="1"/>
      <c r="P142" s="1"/>
      <c r="Q142" s="1"/>
      <c r="R142" s="1"/>
      <c r="S142" s="12" t="s">
        <v>1415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8">J123</f>
        <v>Llanos Orientales</v>
      </c>
      <c r="K143" s="103" t="str">
        <f t="shared" si="298"/>
        <v>Heavy Oil</v>
      </c>
      <c r="L143" s="614" t="str">
        <f t="shared" si="298"/>
        <v>CAM3</v>
      </c>
      <c r="M143" s="34" t="str">
        <f t="shared" si="298"/>
        <v>LLO - Heavy</v>
      </c>
      <c r="N143" s="1">
        <f>+T145</f>
        <v>0.5</v>
      </c>
      <c r="O143" s="1"/>
      <c r="P143" s="1"/>
      <c r="Q143" s="1"/>
      <c r="R143" s="1"/>
      <c r="S143" s="12" t="s">
        <v>1407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9">J124</f>
        <v>Putumayo</v>
      </c>
      <c r="K144" s="103" t="str">
        <f t="shared" si="299"/>
        <v>Light Oil</v>
      </c>
      <c r="L144" s="614" t="str">
        <f t="shared" si="299"/>
        <v>CAM4</v>
      </c>
      <c r="M144" s="34" t="str">
        <f t="shared" si="299"/>
        <v>PU - Ligth</v>
      </c>
      <c r="N144" s="1">
        <f>+T145</f>
        <v>0.5</v>
      </c>
      <c r="O144" s="1"/>
      <c r="P144" s="1"/>
      <c r="Q144" s="1"/>
      <c r="R144" s="1"/>
      <c r="S144" s="12" t="s">
        <v>1416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300">J125</f>
        <v>VMM</v>
      </c>
      <c r="K145" s="103" t="str">
        <f t="shared" si="300"/>
        <v>Medium Oil</v>
      </c>
      <c r="L145" s="614" t="str">
        <f t="shared" si="300"/>
        <v>CAM5</v>
      </c>
      <c r="M145" s="34" t="str">
        <f t="shared" si="300"/>
        <v>VMM - Medium</v>
      </c>
      <c r="N145" s="1">
        <f>+T145</f>
        <v>0.5</v>
      </c>
      <c r="O145" s="1"/>
      <c r="P145" s="1"/>
      <c r="Q145" s="1"/>
      <c r="R145" s="1"/>
      <c r="S145" s="12" t="s">
        <v>1409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1">J126</f>
        <v>VSM</v>
      </c>
      <c r="K146" s="103" t="str">
        <f t="shared" si="301"/>
        <v>Medium Oil</v>
      </c>
      <c r="L146" s="614" t="str">
        <f t="shared" si="301"/>
        <v>CAM6</v>
      </c>
      <c r="M146" s="626" t="str">
        <f t="shared" si="301"/>
        <v>VSM - Medium</v>
      </c>
      <c r="N146" s="1">
        <f>+T145</f>
        <v>0.5</v>
      </c>
      <c r="O146" s="1"/>
      <c r="P146" s="1"/>
      <c r="Q146" s="1"/>
      <c r="R146" s="1"/>
      <c r="S146" s="12" t="s">
        <v>1417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2">J127</f>
        <v>VIM</v>
      </c>
      <c r="K147" s="103" t="str">
        <f t="shared" si="302"/>
        <v>Doesn't Apply</v>
      </c>
      <c r="L147" s="614" t="str">
        <f t="shared" si="302"/>
        <v>CAM7</v>
      </c>
      <c r="M147" s="626" t="str">
        <f t="shared" si="302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973" t="s">
        <v>1418</v>
      </c>
      <c r="K152" s="971"/>
      <c r="L152" s="971"/>
      <c r="M152" s="971"/>
      <c r="N152" s="971"/>
      <c r="O152" s="971"/>
      <c r="P152" s="971"/>
      <c r="Q152" s="971"/>
      <c r="R152" s="971"/>
      <c r="S152" s="971"/>
      <c r="T152" s="971"/>
      <c r="U152" s="971"/>
      <c r="V152" s="971"/>
      <c r="W152" s="971"/>
      <c r="X152" s="971"/>
      <c r="Y152" s="971"/>
      <c r="Z152" s="971"/>
      <c r="AA152" s="971"/>
      <c r="AB152" s="971"/>
      <c r="AC152" s="971"/>
      <c r="AD152" s="971"/>
      <c r="AE152" s="971"/>
      <c r="AF152" s="971"/>
      <c r="AG152" s="972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1419</v>
      </c>
      <c r="W154" s="282" t="s">
        <v>1420</v>
      </c>
      <c r="X154" s="282"/>
      <c r="Y154" s="282"/>
      <c r="Z154" s="282"/>
      <c r="AA154" s="282"/>
      <c r="AB154" s="282"/>
      <c r="AC154" s="282"/>
      <c r="AF154" s="282" t="s">
        <v>1421</v>
      </c>
      <c r="AG154" s="282"/>
      <c r="AH154" s="282"/>
      <c r="AI154" s="282"/>
      <c r="AJ154" s="282"/>
      <c r="AK154" s="282"/>
      <c r="AL154" s="282"/>
      <c r="AY154" s="282" t="s">
        <v>1422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3">J120</f>
        <v>Basin</v>
      </c>
      <c r="K155" s="608" t="str">
        <f t="shared" si="303"/>
        <v>Type Fluid</v>
      </c>
      <c r="L155" s="608" t="str">
        <f t="shared" si="303"/>
        <v>CAM</v>
      </c>
      <c r="M155" s="608" t="str">
        <f t="shared" si="303"/>
        <v>Type of Oil producing</v>
      </c>
      <c r="N155" s="967" t="s">
        <v>1423</v>
      </c>
      <c r="O155" s="922"/>
      <c r="P155" s="967" t="s">
        <v>1423</v>
      </c>
      <c r="Q155" s="922"/>
      <c r="R155" s="643" t="s">
        <v>1424</v>
      </c>
      <c r="S155" s="643" t="s">
        <v>1425</v>
      </c>
      <c r="W155" s="12" t="s">
        <v>1426</v>
      </c>
      <c r="X155" s="12" t="s">
        <v>1427</v>
      </c>
      <c r="Y155" s="12" t="s">
        <v>1167</v>
      </c>
      <c r="Z155" s="12" t="s">
        <v>1276</v>
      </c>
      <c r="AA155" s="12" t="s">
        <v>1280</v>
      </c>
      <c r="AB155" s="12" t="s">
        <v>1181</v>
      </c>
      <c r="AC155" s="12" t="s">
        <v>1428</v>
      </c>
      <c r="AF155" s="12" t="s">
        <v>1426</v>
      </c>
      <c r="AG155" s="12" t="s">
        <v>1427</v>
      </c>
      <c r="AH155" s="12" t="s">
        <v>1167</v>
      </c>
      <c r="AI155" s="12" t="s">
        <v>1276</v>
      </c>
      <c r="AJ155" s="12" t="s">
        <v>1280</v>
      </c>
      <c r="AK155" s="12" t="s">
        <v>1181</v>
      </c>
      <c r="AL155" s="12" t="s">
        <v>1428</v>
      </c>
      <c r="AO155" s="12" t="s">
        <v>1426</v>
      </c>
      <c r="AP155" s="12" t="s">
        <v>1427</v>
      </c>
      <c r="AQ155" s="12" t="s">
        <v>1167</v>
      </c>
      <c r="AR155" s="12" t="s">
        <v>1276</v>
      </c>
      <c r="AS155" s="12" t="s">
        <v>1280</v>
      </c>
      <c r="AT155" s="12" t="s">
        <v>1181</v>
      </c>
      <c r="AU155" s="12" t="s">
        <v>1428</v>
      </c>
      <c r="AY155" s="12" t="s">
        <v>1426</v>
      </c>
      <c r="AZ155" s="12" t="s">
        <v>1427</v>
      </c>
      <c r="BA155" s="12" t="s">
        <v>1167</v>
      </c>
      <c r="BB155" s="12" t="s">
        <v>1276</v>
      </c>
      <c r="BC155" s="12" t="s">
        <v>1280</v>
      </c>
      <c r="BD155" s="12" t="s">
        <v>1181</v>
      </c>
      <c r="BE155" s="12" t="s">
        <v>1428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4">J121</f>
        <v>Guajira</v>
      </c>
      <c r="K156" s="103" t="str">
        <f t="shared" si="304"/>
        <v>Doesn't Apply</v>
      </c>
      <c r="L156" s="614" t="str">
        <f t="shared" si="304"/>
        <v>CAM1</v>
      </c>
      <c r="M156" s="615" t="str">
        <f t="shared" si="304"/>
        <v>GU - Gas</v>
      </c>
      <c r="N156" s="644">
        <v>0</v>
      </c>
      <c r="O156" s="645" t="s">
        <v>509</v>
      </c>
      <c r="P156" s="346">
        <f t="shared" ref="P156:P162" si="305">+N156*(365/1000)*$D$14/1000</f>
        <v>0</v>
      </c>
      <c r="Q156" s="12" t="s">
        <v>59</v>
      </c>
      <c r="R156" s="295">
        <f t="shared" ref="R156:R162" si="306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7">+AF156/W156</f>
        <v>0.15405477025270101</v>
      </c>
      <c r="AP156" s="228">
        <f t="shared" si="307"/>
        <v>0.16313036838542497</v>
      </c>
      <c r="AQ156" s="228">
        <f t="shared" si="307"/>
        <v>0</v>
      </c>
      <c r="AR156" s="228">
        <f t="shared" si="307"/>
        <v>0</v>
      </c>
      <c r="AS156" s="228">
        <f t="shared" si="307"/>
        <v>0.20013123783141773</v>
      </c>
      <c r="AT156" s="228">
        <f t="shared" si="307"/>
        <v>0</v>
      </c>
      <c r="AU156" s="228"/>
      <c r="AX156" s="12">
        <v>2019</v>
      </c>
      <c r="AY156" s="231">
        <f t="shared" ref="AY156:BE156" si="308">+W156-AF156</f>
        <v>1906.70037611931</v>
      </c>
      <c r="AZ156" s="231">
        <f t="shared" si="308"/>
        <v>3340.8684145499046</v>
      </c>
      <c r="BA156" s="231">
        <f t="shared" si="308"/>
        <v>469.74801054894476</v>
      </c>
      <c r="BB156" s="231">
        <f t="shared" si="308"/>
        <v>1938.6301241137664</v>
      </c>
      <c r="BC156" s="231">
        <f t="shared" si="308"/>
        <v>5877.8520308516045</v>
      </c>
      <c r="BD156" s="231">
        <f t="shared" si="308"/>
        <v>162.27952651346473</v>
      </c>
      <c r="BE156" s="231">
        <f t="shared" si="308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9">J122</f>
        <v>Llanos Orientales</v>
      </c>
      <c r="K157" s="103" t="str">
        <f t="shared" si="309"/>
        <v>Light Oil</v>
      </c>
      <c r="L157" s="614" t="str">
        <f t="shared" si="309"/>
        <v>CAM2</v>
      </c>
      <c r="M157" s="626" t="str">
        <f t="shared" si="309"/>
        <v>LLO - Ligth</v>
      </c>
      <c r="N157" s="644">
        <f>+Z164+AA164</f>
        <v>14800</v>
      </c>
      <c r="O157" s="645" t="s">
        <v>509</v>
      </c>
      <c r="P157" s="222">
        <f t="shared" si="305"/>
        <v>21.91194918242925</v>
      </c>
      <c r="Q157" s="12" t="s">
        <v>59</v>
      </c>
      <c r="R157" s="295">
        <f t="shared" si="306"/>
        <v>0.20433496451438232</v>
      </c>
      <c r="S157" s="205">
        <f t="shared" ref="S157:S158" si="310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1">+AF157/W157</f>
        <v>0.1159077129814239</v>
      </c>
      <c r="AP157" s="228">
        <f t="shared" si="311"/>
        <v>0.13677951758401249</v>
      </c>
      <c r="AQ157" s="228">
        <f t="shared" si="311"/>
        <v>0</v>
      </c>
      <c r="AR157" s="228">
        <f t="shared" si="311"/>
        <v>8.2187866631770315E-2</v>
      </c>
      <c r="AS157" s="228">
        <f t="shared" si="311"/>
        <v>0.88546042212861831</v>
      </c>
      <c r="AT157" s="228">
        <f t="shared" si="311"/>
        <v>0</v>
      </c>
      <c r="AU157" s="228">
        <f t="shared" si="311"/>
        <v>0</v>
      </c>
      <c r="AX157" s="12">
        <v>2020</v>
      </c>
      <c r="AY157" s="231">
        <f t="shared" ref="AY157:BE157" si="312">+W157-AF157</f>
        <v>2676.9587365888206</v>
      </c>
      <c r="AZ157" s="231">
        <f t="shared" si="312"/>
        <v>2862.9972848497969</v>
      </c>
      <c r="BA157" s="231">
        <f t="shared" si="312"/>
        <v>347.53424063269131</v>
      </c>
      <c r="BB157" s="231">
        <f t="shared" si="312"/>
        <v>6553.4300639990279</v>
      </c>
      <c r="BC157" s="231">
        <f t="shared" si="312"/>
        <v>849.91505735840656</v>
      </c>
      <c r="BD157" s="231">
        <f t="shared" si="312"/>
        <v>176.72627372066282</v>
      </c>
      <c r="BE157" s="231">
        <f t="shared" si="312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3">J123</f>
        <v>Llanos Orientales</v>
      </c>
      <c r="K158" s="103" t="str">
        <f t="shared" si="313"/>
        <v>Heavy Oil</v>
      </c>
      <c r="L158" s="614" t="str">
        <f t="shared" si="313"/>
        <v>CAM3</v>
      </c>
      <c r="M158" s="34" t="str">
        <f t="shared" si="313"/>
        <v>LLO - Heavy</v>
      </c>
      <c r="N158" s="644">
        <f>+Y164</f>
        <v>800</v>
      </c>
      <c r="O158" s="645" t="s">
        <v>509</v>
      </c>
      <c r="P158" s="222">
        <f t="shared" si="305"/>
        <v>1.1844296855367162</v>
      </c>
      <c r="Q158" s="12" t="s">
        <v>59</v>
      </c>
      <c r="R158" s="295">
        <f t="shared" si="306"/>
        <v>0.4507029118970462</v>
      </c>
      <c r="S158" s="205">
        <f t="shared" si="310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4">+AF158/W158</f>
        <v>0.1407527708968016</v>
      </c>
      <c r="AP158" s="228">
        <f t="shared" si="314"/>
        <v>0.13242258931901152</v>
      </c>
      <c r="AQ158" s="228">
        <f t="shared" si="314"/>
        <v>0</v>
      </c>
      <c r="AR158" s="228">
        <f t="shared" si="314"/>
        <v>0.11199254112697508</v>
      </c>
      <c r="AS158" s="228">
        <f t="shared" si="314"/>
        <v>1</v>
      </c>
      <c r="AT158" s="228">
        <f t="shared" si="314"/>
        <v>0</v>
      </c>
      <c r="AU158" s="228">
        <f t="shared" si="314"/>
        <v>0</v>
      </c>
      <c r="AX158" s="12">
        <v>2021</v>
      </c>
      <c r="AY158" s="231">
        <f t="shared" ref="AY158:BE158" si="315">+W158-AF158</f>
        <v>2819.0135734125929</v>
      </c>
      <c r="AZ158" s="231">
        <f t="shared" si="315"/>
        <v>2620.6328693276228</v>
      </c>
      <c r="BA158" s="231">
        <f t="shared" si="315"/>
        <v>267.12599398671159</v>
      </c>
      <c r="BB158" s="231">
        <f t="shared" si="315"/>
        <v>6260.0876104745112</v>
      </c>
      <c r="BC158" s="231">
        <f t="shared" si="315"/>
        <v>0</v>
      </c>
      <c r="BD158" s="231">
        <f t="shared" si="315"/>
        <v>169.26612475518095</v>
      </c>
      <c r="BE158" s="231">
        <f t="shared" si="315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6">J124</f>
        <v>Putumayo</v>
      </c>
      <c r="K159" s="103" t="str">
        <f t="shared" si="316"/>
        <v>Light Oil</v>
      </c>
      <c r="L159" s="614" t="str">
        <f t="shared" si="316"/>
        <v>CAM4</v>
      </c>
      <c r="M159" s="34" t="str">
        <f t="shared" si="316"/>
        <v>PU - Ligth</v>
      </c>
      <c r="N159" s="644">
        <f>+T102</f>
        <v>0</v>
      </c>
      <c r="O159" s="645" t="s">
        <v>509</v>
      </c>
      <c r="P159" s="346">
        <f t="shared" si="305"/>
        <v>0</v>
      </c>
      <c r="Q159" s="12" t="s">
        <v>59</v>
      </c>
      <c r="R159" s="295">
        <f t="shared" si="306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7">+AF159/W159</f>
        <v>0.12152481352242414</v>
      </c>
      <c r="AP159" s="228">
        <f t="shared" si="317"/>
        <v>0.31368170130091166</v>
      </c>
      <c r="AQ159" s="228">
        <f t="shared" si="317"/>
        <v>1</v>
      </c>
      <c r="AR159" s="228">
        <f t="shared" si="317"/>
        <v>7.2943751298862075E-2</v>
      </c>
      <c r="AS159" s="228">
        <f t="shared" si="317"/>
        <v>0.28868562382529195</v>
      </c>
      <c r="AT159" s="228">
        <f t="shared" si="317"/>
        <v>0</v>
      </c>
      <c r="AU159" s="228"/>
      <c r="AX159" s="12">
        <v>2022</v>
      </c>
      <c r="AY159" s="231">
        <f t="shared" ref="AY159:BE159" si="318">+W159-AF159</f>
        <v>2623.1530688385824</v>
      </c>
      <c r="AZ159" s="231">
        <f t="shared" si="318"/>
        <v>3118.5927400944838</v>
      </c>
      <c r="BA159" s="231">
        <f t="shared" si="318"/>
        <v>0</v>
      </c>
      <c r="BB159" s="231">
        <f t="shared" si="318"/>
        <v>7406.3260273972601</v>
      </c>
      <c r="BC159" s="231">
        <f t="shared" si="318"/>
        <v>5405.9892589277824</v>
      </c>
      <c r="BD159" s="231">
        <f t="shared" si="318"/>
        <v>162.77808219178081</v>
      </c>
      <c r="BE159" s="231">
        <f t="shared" si="318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9">J125</f>
        <v>VMM</v>
      </c>
      <c r="K160" s="103" t="str">
        <f t="shared" si="319"/>
        <v>Medium Oil</v>
      </c>
      <c r="L160" s="614" t="str">
        <f t="shared" si="319"/>
        <v>CAM5</v>
      </c>
      <c r="M160" s="34" t="str">
        <f t="shared" si="319"/>
        <v>VMM - Medium</v>
      </c>
      <c r="N160" s="644">
        <v>0</v>
      </c>
      <c r="O160" s="645" t="s">
        <v>509</v>
      </c>
      <c r="P160" s="346">
        <f t="shared" si="305"/>
        <v>0</v>
      </c>
      <c r="Q160" s="12" t="s">
        <v>59</v>
      </c>
      <c r="R160" s="295">
        <f t="shared" si="306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20">+AF160/W160</f>
        <v>0.12698412698412698</v>
      </c>
      <c r="AP160" s="228">
        <f t="shared" si="320"/>
        <v>0.3537521850207993</v>
      </c>
      <c r="AQ160" s="228">
        <f t="shared" si="320"/>
        <v>1</v>
      </c>
      <c r="AR160" s="228">
        <f t="shared" si="320"/>
        <v>0</v>
      </c>
      <c r="AS160" s="228">
        <f t="shared" si="320"/>
        <v>0.42318994608237315</v>
      </c>
      <c r="AT160" s="228">
        <f t="shared" si="320"/>
        <v>0</v>
      </c>
      <c r="AU160" s="228"/>
      <c r="AX160" s="12">
        <v>2023</v>
      </c>
      <c r="AY160" s="231">
        <f t="shared" ref="AY160:BE160" si="321">+W160-AF160</f>
        <v>2750</v>
      </c>
      <c r="AZ160" s="231">
        <f t="shared" si="321"/>
        <v>2740.2564945621634</v>
      </c>
      <c r="BA160" s="231">
        <f t="shared" si="321"/>
        <v>0</v>
      </c>
      <c r="BB160" s="231">
        <f t="shared" si="321"/>
        <v>8100</v>
      </c>
      <c r="BC160" s="231">
        <f t="shared" si="321"/>
        <v>4197.9034694971524</v>
      </c>
      <c r="BD160" s="231">
        <f t="shared" si="321"/>
        <v>151.73424657534247</v>
      </c>
      <c r="BE160" s="231">
        <f t="shared" si="321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2">J126</f>
        <v>VSM</v>
      </c>
      <c r="K161" s="103" t="str">
        <f t="shared" si="322"/>
        <v>Medium Oil</v>
      </c>
      <c r="L161" s="614" t="str">
        <f t="shared" si="322"/>
        <v>CAM6</v>
      </c>
      <c r="M161" s="626" t="str">
        <f t="shared" si="322"/>
        <v>VSM - Medium</v>
      </c>
      <c r="N161" s="644">
        <f>+AB164</f>
        <v>176.72627372066282</v>
      </c>
      <c r="O161" s="645" t="s">
        <v>509</v>
      </c>
      <c r="P161" s="222">
        <f t="shared" si="305"/>
        <v>0.26164980601130039</v>
      </c>
      <c r="Q161" s="12" t="s">
        <v>59</v>
      </c>
      <c r="R161" s="295">
        <f t="shared" si="306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3">+AF161/W161</f>
        <v>0.126984126984127</v>
      </c>
      <c r="AP161" s="228">
        <f t="shared" si="323"/>
        <v>0.3454379894036303</v>
      </c>
      <c r="AQ161" s="228">
        <f t="shared" si="323"/>
        <v>1</v>
      </c>
      <c r="AR161" s="228">
        <f t="shared" si="323"/>
        <v>0</v>
      </c>
      <c r="AS161" s="228">
        <f t="shared" si="323"/>
        <v>0.53901258557495457</v>
      </c>
      <c r="AT161" s="228">
        <f t="shared" si="323"/>
        <v>0</v>
      </c>
      <c r="AU161" s="228"/>
      <c r="AX161" s="12">
        <v>2024</v>
      </c>
      <c r="AY161" s="231">
        <f t="shared" ref="AY161:BE161" si="324">+W161-AF161</f>
        <v>2757.5342465753424</v>
      </c>
      <c r="AZ161" s="231">
        <f t="shared" si="324"/>
        <v>2850.1005302275316</v>
      </c>
      <c r="BA161" s="231">
        <f t="shared" si="324"/>
        <v>0</v>
      </c>
      <c r="BB161" s="231">
        <f t="shared" si="324"/>
        <v>7666.2742499653305</v>
      </c>
      <c r="BC161" s="231">
        <f t="shared" si="324"/>
        <v>2671.9676736151432</v>
      </c>
      <c r="BD161" s="231">
        <f t="shared" si="324"/>
        <v>137.61095890410959</v>
      </c>
      <c r="BE161" s="231">
        <f t="shared" si="324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5">J127</f>
        <v>VIM</v>
      </c>
      <c r="K162" s="112" t="str">
        <f t="shared" si="325"/>
        <v>Doesn't Apply</v>
      </c>
      <c r="L162" s="646" t="str">
        <f t="shared" si="325"/>
        <v>CAM7</v>
      </c>
      <c r="M162" s="647" t="str">
        <f t="shared" si="325"/>
        <v>VIM - GAS</v>
      </c>
      <c r="N162" s="644">
        <v>0</v>
      </c>
      <c r="O162" s="645" t="s">
        <v>509</v>
      </c>
      <c r="P162" s="346">
        <f t="shared" si="305"/>
        <v>0</v>
      </c>
      <c r="Q162" s="12" t="s">
        <v>59</v>
      </c>
      <c r="R162" s="295">
        <f t="shared" si="306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6">+AF162/W162</f>
        <v>0.12881626914429631</v>
      </c>
      <c r="AP162" s="228">
        <f t="shared" si="326"/>
        <v>0.34536516079758606</v>
      </c>
      <c r="AQ162" s="228"/>
      <c r="AR162" s="228">
        <f t="shared" ref="AR162:AT162" si="327">+AI162/Z162</f>
        <v>0</v>
      </c>
      <c r="AS162" s="228">
        <f t="shared" si="327"/>
        <v>0.6602314418703793</v>
      </c>
      <c r="AT162" s="228">
        <f t="shared" si="327"/>
        <v>0</v>
      </c>
      <c r="AU162" s="228"/>
      <c r="AX162" s="12">
        <v>2025</v>
      </c>
      <c r="AY162" s="231">
        <f t="shared" ref="AY162:BE162" si="328">+W162-AF162</f>
        <v>2705.1978345369666</v>
      </c>
      <c r="AZ162" s="231">
        <f t="shared" si="328"/>
        <v>2843.2290522179519</v>
      </c>
      <c r="BA162" s="231">
        <f t="shared" si="328"/>
        <v>0</v>
      </c>
      <c r="BB162" s="231">
        <f t="shared" si="328"/>
        <v>6475.9477325608286</v>
      </c>
      <c r="BC162" s="231">
        <f t="shared" si="328"/>
        <v>1625.4799448326125</v>
      </c>
      <c r="BD162" s="231">
        <f t="shared" si="328"/>
        <v>122.13972602739726</v>
      </c>
      <c r="BE162" s="231">
        <f t="shared" si="328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9">+AF163/W163</f>
        <v>0.12698412698412698</v>
      </c>
      <c r="AP163" s="228">
        <f t="shared" si="329"/>
        <v>0.33873043815515769</v>
      </c>
      <c r="AQ163" s="228"/>
      <c r="AR163" s="228">
        <f t="shared" ref="AR163:AT163" si="330">+AI163/Z163</f>
        <v>0</v>
      </c>
      <c r="AS163" s="228">
        <f t="shared" si="330"/>
        <v>0.73346577560228654</v>
      </c>
      <c r="AT163" s="228">
        <f t="shared" si="330"/>
        <v>0</v>
      </c>
      <c r="AU163" s="228"/>
      <c r="AX163" s="12">
        <v>2026</v>
      </c>
      <c r="AY163" s="231">
        <f t="shared" ref="AY163:BE163" si="331">+W163-AF163</f>
        <v>2750</v>
      </c>
      <c r="AZ163" s="231">
        <f t="shared" si="331"/>
        <v>2928.3000021182488</v>
      </c>
      <c r="BA163" s="231">
        <f t="shared" si="331"/>
        <v>0</v>
      </c>
      <c r="BB163" s="231">
        <f t="shared" si="331"/>
        <v>5586.0490445797504</v>
      </c>
      <c r="BC163" s="231">
        <f t="shared" si="331"/>
        <v>1147.8040682829555</v>
      </c>
      <c r="BD163" s="231">
        <f t="shared" si="331"/>
        <v>109.89315068493151</v>
      </c>
      <c r="BE163" s="231">
        <f t="shared" si="331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1429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970" t="s">
        <v>1430</v>
      </c>
      <c r="K169" s="971"/>
      <c r="L169" s="971"/>
      <c r="M169" s="971"/>
      <c r="N169" s="971"/>
      <c r="O169" s="971"/>
      <c r="P169" s="971"/>
      <c r="Q169" s="971"/>
      <c r="R169" s="971"/>
      <c r="S169" s="971"/>
      <c r="T169" s="971"/>
      <c r="U169" s="971"/>
      <c r="V169" s="971"/>
      <c r="W169" s="971"/>
      <c r="X169" s="971"/>
      <c r="Y169" s="971"/>
      <c r="Z169" s="971"/>
      <c r="AA169" s="971"/>
      <c r="AB169" s="971"/>
      <c r="AC169" s="971"/>
      <c r="AD169" s="971"/>
      <c r="AE169" s="971"/>
      <c r="AF169" s="971"/>
      <c r="AG169" s="972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957" t="s">
        <v>1431</v>
      </c>
      <c r="K174" s="922"/>
      <c r="L174" s="922"/>
      <c r="M174" s="922"/>
      <c r="N174" s="922"/>
      <c r="O174" s="922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1432</v>
      </c>
      <c r="K176" s="12">
        <v>4.9000000000000004</v>
      </c>
      <c r="L176" s="12" t="s">
        <v>1433</v>
      </c>
      <c r="M176" s="12">
        <f>+K176/1000</f>
        <v>4.9000000000000007E-3</v>
      </c>
      <c r="N176" s="12" t="s">
        <v>1434</v>
      </c>
      <c r="P176" s="12" t="s">
        <v>1435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536</v>
      </c>
      <c r="K177" s="12">
        <v>0.32500000000000001</v>
      </c>
      <c r="L177" s="12" t="s">
        <v>1436</v>
      </c>
      <c r="P177" s="12" t="s">
        <v>1437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1438</v>
      </c>
      <c r="P178" s="12" t="s">
        <v>1439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1440</v>
      </c>
      <c r="P179" s="12" t="s">
        <v>920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1441</v>
      </c>
      <c r="U181" s="14" t="s">
        <v>1442</v>
      </c>
      <c r="V181" s="12" t="s">
        <v>1443</v>
      </c>
      <c r="Y181" s="215" t="s">
        <v>1444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2">J155</f>
        <v>Basin</v>
      </c>
      <c r="K182" s="608" t="str">
        <f t="shared" si="332"/>
        <v>Type Fluid</v>
      </c>
      <c r="L182" s="608" t="str">
        <f t="shared" si="332"/>
        <v>CAM</v>
      </c>
      <c r="M182" s="608" t="str">
        <f t="shared" si="332"/>
        <v>Type of Oil producing</v>
      </c>
      <c r="N182" s="494" t="s">
        <v>1445</v>
      </c>
      <c r="U182" s="446" t="s">
        <v>1446</v>
      </c>
      <c r="V182" s="12" t="s">
        <v>63</v>
      </c>
      <c r="W182" s="12" t="s">
        <v>1447</v>
      </c>
      <c r="X182" s="12" t="s">
        <v>845</v>
      </c>
      <c r="Y182" s="215" t="s">
        <v>1448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1.2465999999999999</v>
      </c>
      <c r="H183" s="12" t="s">
        <v>1449</v>
      </c>
      <c r="J183" s="103" t="str">
        <f t="shared" ref="J183:M183" si="333">J156</f>
        <v>Guajira</v>
      </c>
      <c r="K183" s="103" t="str">
        <f t="shared" si="333"/>
        <v>Doesn't Apply</v>
      </c>
      <c r="L183" s="614" t="str">
        <f t="shared" si="333"/>
        <v>CAM1</v>
      </c>
      <c r="M183" s="615" t="str">
        <f t="shared" si="333"/>
        <v>GU - Gas</v>
      </c>
      <c r="N183" s="815">
        <v>2.0999999999999999E-3</v>
      </c>
      <c r="O183" s="12" t="s">
        <v>7</v>
      </c>
      <c r="P183" s="810"/>
      <c r="R183" s="807"/>
      <c r="U183" s="649"/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7.604259999999999E-3</v>
      </c>
      <c r="J184" s="103" t="str">
        <f t="shared" ref="J184:M184" si="334">J157</f>
        <v>Llanos Orientales</v>
      </c>
      <c r="K184" s="103" t="str">
        <f t="shared" si="334"/>
        <v>Light Oil</v>
      </c>
      <c r="L184" s="614" t="str">
        <f t="shared" si="334"/>
        <v>CAM2</v>
      </c>
      <c r="M184" s="626" t="str">
        <f t="shared" si="334"/>
        <v>LLO - Ligth</v>
      </c>
      <c r="N184" s="815">
        <v>2.0999999999999999E-3</v>
      </c>
      <c r="O184" s="12" t="s">
        <v>7</v>
      </c>
      <c r="U184" s="216">
        <v>2.0999999999999999E-3</v>
      </c>
      <c r="V184" s="376">
        <v>0.6</v>
      </c>
      <c r="W184" s="376">
        <v>0.32</v>
      </c>
      <c r="X184" s="376">
        <f t="shared" ref="X184:X188" si="335">100%-V184-W184</f>
        <v>8.0000000000000016E-2</v>
      </c>
      <c r="Y184" s="649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7.6042599999999991E-6</v>
      </c>
      <c r="J185" s="103" t="str">
        <f t="shared" ref="J185:M185" si="336">J158</f>
        <v>Llanos Orientales</v>
      </c>
      <c r="K185" s="103" t="str">
        <f t="shared" si="336"/>
        <v>Heavy Oil</v>
      </c>
      <c r="L185" s="614" t="str">
        <f t="shared" si="336"/>
        <v>CAM3</v>
      </c>
      <c r="M185" s="34" t="str">
        <f t="shared" si="336"/>
        <v>LLO - Heavy</v>
      </c>
      <c r="N185" s="815">
        <v>2.0999999999999999E-3</v>
      </c>
      <c r="O185" s="12" t="s">
        <v>7</v>
      </c>
      <c r="U185" s="216">
        <v>2.0999999999999999E-3</v>
      </c>
      <c r="V185" s="376">
        <v>0.6</v>
      </c>
      <c r="W185" s="376">
        <v>0.32</v>
      </c>
      <c r="X185" s="376">
        <f t="shared" si="335"/>
        <v>8.0000000000000016E-2</v>
      </c>
      <c r="Y185" s="649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49">
        <f>+G185/0.0036</f>
        <v>2.1122944444444442E-3</v>
      </c>
      <c r="H186" s="12" t="s">
        <v>533</v>
      </c>
      <c r="J186" s="103" t="str">
        <f t="shared" ref="J186:M186" si="337">J159</f>
        <v>Putumayo</v>
      </c>
      <c r="K186" s="103" t="str">
        <f t="shared" si="337"/>
        <v>Light Oil</v>
      </c>
      <c r="L186" s="614" t="str">
        <f t="shared" si="337"/>
        <v>CAM4</v>
      </c>
      <c r="M186" s="34" t="str">
        <f t="shared" si="337"/>
        <v>PU - Ligth</v>
      </c>
      <c r="N186" s="815">
        <v>2.0999999999999999E-3</v>
      </c>
      <c r="O186" s="12" t="s">
        <v>7</v>
      </c>
      <c r="U186" s="216">
        <v>2.0999999999999999E-3</v>
      </c>
      <c r="V186" s="376">
        <v>0.6</v>
      </c>
      <c r="W186" s="376">
        <v>0.32</v>
      </c>
      <c r="X186" s="376">
        <f t="shared" si="335"/>
        <v>8.0000000000000016E-2</v>
      </c>
      <c r="Y186" s="649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8">J160</f>
        <v>VMM</v>
      </c>
      <c r="K187" s="103" t="str">
        <f t="shared" si="338"/>
        <v>Medium Oil</v>
      </c>
      <c r="L187" s="614" t="str">
        <f t="shared" si="338"/>
        <v>CAM5</v>
      </c>
      <c r="M187" s="34" t="str">
        <f t="shared" si="338"/>
        <v>VMM - Medium</v>
      </c>
      <c r="N187" s="815">
        <v>2.0999999999999999E-3</v>
      </c>
      <c r="O187" s="12" t="s">
        <v>7</v>
      </c>
      <c r="U187" s="216">
        <v>2.0999999999999999E-3</v>
      </c>
      <c r="V187" s="376">
        <v>0.6</v>
      </c>
      <c r="W187" s="376">
        <v>0.32</v>
      </c>
      <c r="X187" s="376">
        <f t="shared" si="335"/>
        <v>8.0000000000000016E-2</v>
      </c>
      <c r="Y187" s="649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9">J161</f>
        <v>VSM</v>
      </c>
      <c r="K188" s="103" t="str">
        <f t="shared" si="339"/>
        <v>Medium Oil</v>
      </c>
      <c r="L188" s="614" t="str">
        <f t="shared" si="339"/>
        <v>CAM6</v>
      </c>
      <c r="M188" s="626" t="str">
        <f t="shared" si="339"/>
        <v>VSM - Medium</v>
      </c>
      <c r="N188" s="815">
        <v>2.0999999999999999E-3</v>
      </c>
      <c r="O188" s="12" t="s">
        <v>7</v>
      </c>
      <c r="U188" s="216">
        <v>2.0999999999999999E-3</v>
      </c>
      <c r="V188" s="376">
        <v>0.6</v>
      </c>
      <c r="W188" s="376">
        <v>0.32</v>
      </c>
      <c r="X188" s="376">
        <f t="shared" si="335"/>
        <v>8.0000000000000016E-2</v>
      </c>
      <c r="Y188" s="649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40">J162</f>
        <v>VIM</v>
      </c>
      <c r="K189" s="103" t="str">
        <f t="shared" si="340"/>
        <v>Doesn't Apply</v>
      </c>
      <c r="L189" s="614" t="str">
        <f t="shared" si="340"/>
        <v>CAM7</v>
      </c>
      <c r="M189" s="626" t="str">
        <f t="shared" si="340"/>
        <v>VIM - GAS</v>
      </c>
      <c r="N189" s="815">
        <v>2.0999999999999999E-3</v>
      </c>
      <c r="O189" s="12" t="s">
        <v>7</v>
      </c>
      <c r="U189" s="649"/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1">J182</f>
        <v>Basin</v>
      </c>
      <c r="K192" s="608" t="str">
        <f t="shared" si="341"/>
        <v>Type Fluid</v>
      </c>
      <c r="L192" s="608" t="str">
        <f t="shared" si="341"/>
        <v>CAM</v>
      </c>
      <c r="M192" s="608" t="str">
        <f t="shared" si="341"/>
        <v>Type of Oil producing</v>
      </c>
      <c r="N192" s="650" t="s">
        <v>1450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2">J183</f>
        <v>Guajira</v>
      </c>
      <c r="K193" s="103" t="str">
        <f t="shared" si="342"/>
        <v>Doesn't Apply</v>
      </c>
      <c r="L193" s="614" t="str">
        <f t="shared" si="342"/>
        <v>CAM1</v>
      </c>
      <c r="M193" s="615" t="str">
        <f t="shared" si="342"/>
        <v>GU - Gas</v>
      </c>
      <c r="N193" s="12" t="s">
        <v>1451</v>
      </c>
      <c r="Q193" s="330" t="s">
        <v>1452</v>
      </c>
      <c r="R193" s="12">
        <v>3.33</v>
      </c>
      <c r="S193" s="12" t="s">
        <v>1453</v>
      </c>
      <c r="T193" s="12">
        <f>+R193/T197</f>
        <v>0.4052236060193658</v>
      </c>
      <c r="U193" s="12" t="s">
        <v>773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3">J184</f>
        <v>Llanos Orientales</v>
      </c>
      <c r="K194" s="103" t="str">
        <f t="shared" si="343"/>
        <v>Light Oil</v>
      </c>
      <c r="L194" s="614" t="str">
        <f t="shared" si="343"/>
        <v>CAM2</v>
      </c>
      <c r="M194" s="626" t="str">
        <f t="shared" si="343"/>
        <v>LLO - Ligth</v>
      </c>
      <c r="N194" s="286">
        <f>+T193</f>
        <v>0.4052236060193658</v>
      </c>
      <c r="Q194" s="330" t="s">
        <v>1454</v>
      </c>
      <c r="R194" s="12">
        <v>4.5</v>
      </c>
      <c r="S194" s="12" t="s">
        <v>1453</v>
      </c>
      <c r="T194" s="12">
        <f>+R194/T197</f>
        <v>0.54759946759373757</v>
      </c>
      <c r="U194" s="12" t="s">
        <v>773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4">J185</f>
        <v>Llanos Orientales</v>
      </c>
      <c r="K195" s="103" t="str">
        <f t="shared" si="344"/>
        <v>Heavy Oil</v>
      </c>
      <c r="L195" s="614" t="str">
        <f t="shared" si="344"/>
        <v>CAM3</v>
      </c>
      <c r="M195" s="34" t="str">
        <f t="shared" si="344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5">J186</f>
        <v>Putumayo</v>
      </c>
      <c r="K196" s="103" t="str">
        <f t="shared" si="345"/>
        <v>Light Oil</v>
      </c>
      <c r="L196" s="614" t="str">
        <f t="shared" si="345"/>
        <v>CAM4</v>
      </c>
      <c r="M196" s="34" t="str">
        <f t="shared" si="345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6">J187</f>
        <v>VMM</v>
      </c>
      <c r="K197" s="103" t="str">
        <f t="shared" si="346"/>
        <v>Medium Oil</v>
      </c>
      <c r="L197" s="614" t="str">
        <f t="shared" si="346"/>
        <v>CAM5</v>
      </c>
      <c r="M197" s="34" t="str">
        <f t="shared" si="346"/>
        <v>VMM - Medium</v>
      </c>
      <c r="N197" s="286">
        <f>+T193</f>
        <v>0.4052236060193658</v>
      </c>
      <c r="S197" s="12" t="s">
        <v>1455</v>
      </c>
      <c r="T197" s="12">
        <v>8.2176851262728707</v>
      </c>
      <c r="U197" s="12" t="s">
        <v>1453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7">J188</f>
        <v>VSM</v>
      </c>
      <c r="K198" s="103" t="str">
        <f t="shared" si="347"/>
        <v>Medium Oil</v>
      </c>
      <c r="L198" s="614" t="str">
        <f t="shared" si="347"/>
        <v>CAM6</v>
      </c>
      <c r="M198" s="626" t="str">
        <f t="shared" si="347"/>
        <v>VSM - Medium</v>
      </c>
      <c r="N198" s="286">
        <f>+T193</f>
        <v>0.4052236060193658</v>
      </c>
      <c r="U198" s="12" t="s">
        <v>773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8">J189</f>
        <v>VIM</v>
      </c>
      <c r="K199" s="103" t="str">
        <f t="shared" si="348"/>
        <v>Doesn't Apply</v>
      </c>
      <c r="L199" s="614" t="str">
        <f t="shared" si="348"/>
        <v>CAM7</v>
      </c>
      <c r="M199" s="626" t="str">
        <f t="shared" si="348"/>
        <v>VIM - GAS</v>
      </c>
      <c r="N199" s="12" t="s">
        <v>1451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970" t="s">
        <v>1456</v>
      </c>
      <c r="K203" s="971"/>
      <c r="L203" s="971"/>
      <c r="M203" s="971"/>
      <c r="N203" s="971"/>
      <c r="O203" s="971"/>
      <c r="P203" s="971"/>
      <c r="Q203" s="971"/>
      <c r="R203" s="971"/>
      <c r="S203" s="971"/>
      <c r="T203" s="971"/>
      <c r="U203" s="971"/>
      <c r="V203" s="971"/>
      <c r="W203" s="971"/>
      <c r="X203" s="971"/>
      <c r="Y203" s="971"/>
      <c r="Z203" s="971"/>
      <c r="AA203" s="971"/>
      <c r="AB203" s="971"/>
      <c r="AC203" s="971"/>
      <c r="AD203" s="971"/>
      <c r="AE203" s="971"/>
      <c r="AF203" s="971"/>
      <c r="AG203" s="972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967" t="s">
        <v>1457</v>
      </c>
      <c r="P206" s="922"/>
      <c r="Q206" s="922"/>
      <c r="R206" s="922"/>
      <c r="T206" s="921" t="s">
        <v>1458</v>
      </c>
      <c r="U206" s="922"/>
      <c r="V206" s="922"/>
      <c r="W206" s="922"/>
      <c r="Z206" s="974" t="s">
        <v>1459</v>
      </c>
      <c r="AA206" s="919"/>
      <c r="AB206" s="919"/>
      <c r="AC206" s="920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9">J192</f>
        <v>Basin</v>
      </c>
      <c r="K207" s="608" t="str">
        <f t="shared" si="349"/>
        <v>Type Fluid</v>
      </c>
      <c r="L207" s="608" t="str">
        <f t="shared" si="349"/>
        <v>CAM</v>
      </c>
      <c r="M207" s="608" t="str">
        <f t="shared" si="349"/>
        <v>Type of Oil producing</v>
      </c>
      <c r="N207" s="446"/>
      <c r="O207" s="446" t="s">
        <v>22</v>
      </c>
      <c r="P207" s="446" t="s">
        <v>845</v>
      </c>
      <c r="Q207" s="446" t="s">
        <v>1460</v>
      </c>
      <c r="R207" s="446" t="s">
        <v>1020</v>
      </c>
      <c r="T207" s="446" t="s">
        <v>22</v>
      </c>
      <c r="U207" s="446" t="s">
        <v>845</v>
      </c>
      <c r="V207" s="446" t="s">
        <v>1460</v>
      </c>
      <c r="W207" s="446" t="s">
        <v>1020</v>
      </c>
      <c r="Z207" s="499" t="s">
        <v>22</v>
      </c>
      <c r="AA207" s="499" t="s">
        <v>845</v>
      </c>
      <c r="AB207" s="499" t="s">
        <v>1460</v>
      </c>
      <c r="AC207" s="499" t="s">
        <v>1020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50">J193</f>
        <v>Guajira</v>
      </c>
      <c r="K208" s="103" t="str">
        <f t="shared" si="350"/>
        <v>Doesn't Apply</v>
      </c>
      <c r="L208" s="614" t="str">
        <f t="shared" si="350"/>
        <v>CAM1</v>
      </c>
      <c r="M208" s="615" t="str">
        <f t="shared" si="350"/>
        <v>GU - Gas</v>
      </c>
      <c r="O208" s="287">
        <v>0</v>
      </c>
      <c r="P208" s="651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" si="351">+(O208*24*365/1000)*0.0036</f>
        <v>0</v>
      </c>
      <c r="AA208" s="535"/>
      <c r="AB208" s="471">
        <f t="shared" ref="AB208:AC208" si="352">+(Q208*24*365/1000)*0.0036</f>
        <v>0</v>
      </c>
      <c r="AC208" s="471">
        <f t="shared" si="352"/>
        <v>0</v>
      </c>
      <c r="AE208" s="205">
        <f>+SUM(Z208:AC214)</f>
        <v>13.06868980179426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3">J194</f>
        <v>Llanos Orientales</v>
      </c>
      <c r="K209" s="103" t="str">
        <f t="shared" si="353"/>
        <v>Light Oil</v>
      </c>
      <c r="L209" s="614" t="str">
        <f t="shared" si="353"/>
        <v>CAM2</v>
      </c>
      <c r="M209" s="626" t="str">
        <f t="shared" si="353"/>
        <v>LLO - Ligth</v>
      </c>
      <c r="O209" s="287">
        <v>19.999999999999996</v>
      </c>
      <c r="P209" s="287">
        <v>150.07647247502405</v>
      </c>
      <c r="Q209" s="917">
        <v>0</v>
      </c>
      <c r="R209" s="287">
        <f>22.8/2</f>
        <v>11.4</v>
      </c>
      <c r="S209" s="839"/>
      <c r="T209" s="228">
        <v>0.35</v>
      </c>
      <c r="U209" s="228">
        <v>0.35</v>
      </c>
      <c r="V209" s="228">
        <v>0.35</v>
      </c>
      <c r="W209" s="228">
        <v>0.35</v>
      </c>
      <c r="Z209" s="471">
        <f>+(O209*24*365/1000)*0.0036</f>
        <v>0.63071999999999984</v>
      </c>
      <c r="AA209" s="471">
        <f t="shared" ref="AA209:AC209" si="354">+(P209*24*365/1000)*0.0036</f>
        <v>4.7328116359723582</v>
      </c>
      <c r="AB209" s="471">
        <f>+(Q210*24*365/1000)*0.0036</f>
        <v>1.5220623656853185</v>
      </c>
      <c r="AC209" s="471">
        <f t="shared" si="354"/>
        <v>0.35951040000000006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5">J195</f>
        <v>Llanos Orientales</v>
      </c>
      <c r="K210" s="103" t="str">
        <f t="shared" si="355"/>
        <v>Heavy Oil</v>
      </c>
      <c r="L210" s="614" t="str">
        <f t="shared" si="355"/>
        <v>CAM3</v>
      </c>
      <c r="M210" s="34" t="str">
        <f t="shared" si="355"/>
        <v>LLO - Heavy</v>
      </c>
      <c r="O210" s="916">
        <v>0</v>
      </c>
      <c r="P210" s="651"/>
      <c r="Q210" s="287">
        <v>48.264281002198075</v>
      </c>
      <c r="R210" s="287">
        <f>22.8/2</f>
        <v>11.4</v>
      </c>
      <c r="T210" s="228">
        <v>0.35</v>
      </c>
      <c r="U210" s="228">
        <v>0.35</v>
      </c>
      <c r="V210" s="228">
        <v>0.35</v>
      </c>
      <c r="W210" s="228">
        <v>0.35</v>
      </c>
      <c r="Z210" s="471">
        <f>+(O210*24*365/1000)*0.0036</f>
        <v>0</v>
      </c>
      <c r="AA210" s="535"/>
      <c r="AB210" s="471">
        <f>+(Q211*24*365/1000)*0.0036</f>
        <v>0.66944714800759952</v>
      </c>
      <c r="AC210" s="471">
        <f t="shared" ref="AC210" si="356">+(R210*24*365/1000)*0.0036</f>
        <v>0.35951040000000006</v>
      </c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7">J196</f>
        <v>Putumayo</v>
      </c>
      <c r="K211" s="103" t="str">
        <f t="shared" si="357"/>
        <v>Light Oil</v>
      </c>
      <c r="L211" s="614" t="str">
        <f t="shared" si="357"/>
        <v>CAM4</v>
      </c>
      <c r="M211" s="34" t="str">
        <f t="shared" si="357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8">+(O211*24*365/1000)*0.0036</f>
        <v>0</v>
      </c>
      <c r="AA211" s="471">
        <f t="shared" si="358"/>
        <v>0</v>
      </c>
      <c r="AB211" s="471">
        <f t="shared" si="358"/>
        <v>0.66944714800759952</v>
      </c>
      <c r="AC211" s="471">
        <f t="shared" si="358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9">J197</f>
        <v>VMM</v>
      </c>
      <c r="K212" s="103" t="str">
        <f t="shared" si="359"/>
        <v>Medium Oil</v>
      </c>
      <c r="L212" s="614" t="str">
        <f t="shared" si="359"/>
        <v>CAM5</v>
      </c>
      <c r="M212" s="34" t="str">
        <f t="shared" si="359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60">+(O212*24*365/1000)*0.0036</f>
        <v>0</v>
      </c>
      <c r="AA212" s="471">
        <f t="shared" si="360"/>
        <v>0.61324097015441748</v>
      </c>
      <c r="AB212" s="471">
        <f t="shared" si="360"/>
        <v>1.3049984589915189</v>
      </c>
      <c r="AC212" s="471">
        <f t="shared" si="360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61">J198</f>
        <v>VSM</v>
      </c>
      <c r="K213" s="103" t="str">
        <f t="shared" si="361"/>
        <v>Medium Oil</v>
      </c>
      <c r="L213" s="614" t="str">
        <f t="shared" si="361"/>
        <v>CAM6</v>
      </c>
      <c r="M213" s="626" t="str">
        <f t="shared" si="361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2">+(O213*24*365/1000)*0.0036</f>
        <v>0</v>
      </c>
      <c r="AA213" s="471">
        <f t="shared" si="362"/>
        <v>7.2015258812680727E-2</v>
      </c>
      <c r="AB213" s="471">
        <f t="shared" si="362"/>
        <v>0.62054333297305764</v>
      </c>
      <c r="AC213" s="471">
        <f t="shared" si="362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3">J199</f>
        <v>VIM</v>
      </c>
      <c r="K214" s="103" t="str">
        <f t="shared" si="363"/>
        <v>Doesn't Apply</v>
      </c>
      <c r="L214" s="614" t="str">
        <f t="shared" si="363"/>
        <v>CAM7</v>
      </c>
      <c r="M214" s="626" t="str">
        <f t="shared" si="363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4">+(O214*24*365/1000)*0.0036</f>
        <v>0</v>
      </c>
      <c r="AA214" s="471">
        <f t="shared" si="364"/>
        <v>8.0173996489854554E-3</v>
      </c>
      <c r="AB214" s="471">
        <f t="shared" si="364"/>
        <v>0</v>
      </c>
      <c r="AC214" s="471">
        <f t="shared" si="364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918" t="s">
        <v>1461</v>
      </c>
      <c r="P218" s="919"/>
      <c r="Q218" s="920"/>
      <c r="T218" s="921" t="s">
        <v>1458</v>
      </c>
      <c r="U218" s="922"/>
      <c r="V218" s="922"/>
      <c r="W218" s="922"/>
      <c r="Z218" s="975" t="s">
        <v>1462</v>
      </c>
      <c r="AA218" s="919"/>
      <c r="AB218" s="920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5">J207</f>
        <v>Basin</v>
      </c>
      <c r="K219" s="608" t="str">
        <f t="shared" si="365"/>
        <v>Type Fluid</v>
      </c>
      <c r="L219" s="608" t="str">
        <f t="shared" si="365"/>
        <v>CAM</v>
      </c>
      <c r="M219" s="608" t="str">
        <f t="shared" si="365"/>
        <v>Type of Oil producing</v>
      </c>
      <c r="O219" s="429" t="s">
        <v>487</v>
      </c>
      <c r="P219" s="429" t="s">
        <v>1460</v>
      </c>
      <c r="Q219" s="429" t="s">
        <v>63</v>
      </c>
      <c r="T219" s="446" t="s">
        <v>22</v>
      </c>
      <c r="U219" s="446" t="s">
        <v>845</v>
      </c>
      <c r="V219" s="446" t="s">
        <v>1460</v>
      </c>
      <c r="W219" s="446" t="s">
        <v>1020</v>
      </c>
      <c r="Z219" s="652" t="s">
        <v>487</v>
      </c>
      <c r="AA219" s="652" t="s">
        <v>1460</v>
      </c>
      <c r="AB219" s="652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6">J208</f>
        <v>Guajira</v>
      </c>
      <c r="K220" s="103" t="str">
        <f t="shared" si="366"/>
        <v>Doesn't Apply</v>
      </c>
      <c r="L220" s="614" t="str">
        <f t="shared" si="366"/>
        <v>CAM1</v>
      </c>
      <c r="M220" s="615" t="str">
        <f t="shared" si="366"/>
        <v>GU - Gas</v>
      </c>
      <c r="O220" s="653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4">
        <f t="shared" ref="AA220:AB220" si="367">+(P220*24*0.365)*0.0036</f>
        <v>0</v>
      </c>
      <c r="AB220" s="654">
        <f t="shared" si="367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8">J209</f>
        <v>Llanos Orientales</v>
      </c>
      <c r="K221" s="103" t="str">
        <f t="shared" si="368"/>
        <v>Light Oil</v>
      </c>
      <c r="L221" s="614" t="str">
        <f t="shared" si="368"/>
        <v>CAM2</v>
      </c>
      <c r="M221" s="626" t="str">
        <f t="shared" si="368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4">
        <f t="shared" ref="Z221:AB221" si="369">+(O221*24*0.365)*0.0036</f>
        <v>8.5591327795199984E-2</v>
      </c>
      <c r="AA221" s="654">
        <f t="shared" si="369"/>
        <v>0.34236531118079994</v>
      </c>
      <c r="AB221" s="654">
        <f t="shared" si="369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70">J210</f>
        <v>Llanos Orientales</v>
      </c>
      <c r="K222" s="103" t="str">
        <f t="shared" si="370"/>
        <v>Heavy Oil</v>
      </c>
      <c r="L222" s="614" t="str">
        <f t="shared" si="370"/>
        <v>CAM3</v>
      </c>
      <c r="M222" s="34" t="str">
        <f t="shared" si="370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71">J211</f>
        <v>Putumayo</v>
      </c>
      <c r="K223" s="103" t="str">
        <f t="shared" si="371"/>
        <v>Light Oil</v>
      </c>
      <c r="L223" s="614" t="str">
        <f t="shared" si="371"/>
        <v>CAM4</v>
      </c>
      <c r="M223" s="34" t="str">
        <f t="shared" si="371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4">
        <f t="shared" ref="Z223:AB223" si="372">+(O223*24*0.365)*0.0036</f>
        <v>1.1095172121600003E-2</v>
      </c>
      <c r="AA223" s="654">
        <f t="shared" si="372"/>
        <v>4.4380688486400012E-2</v>
      </c>
      <c r="AB223" s="654">
        <f t="shared" si="372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3">J212</f>
        <v>VMM</v>
      </c>
      <c r="K224" s="103" t="str">
        <f t="shared" si="373"/>
        <v>Medium Oil</v>
      </c>
      <c r="L224" s="614" t="str">
        <f t="shared" si="373"/>
        <v>CAM5</v>
      </c>
      <c r="M224" s="34" t="str">
        <f t="shared" si="373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4">
        <f t="shared" ref="Z224:AB224" si="374">+(O224*24*0.365)*0.0036</f>
        <v>2.8530442598399999E-2</v>
      </c>
      <c r="AA224" s="654">
        <f t="shared" si="374"/>
        <v>0.1141217703936</v>
      </c>
      <c r="AB224" s="654">
        <f t="shared" si="374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5">J213</f>
        <v>VSM</v>
      </c>
      <c r="K225" s="103" t="str">
        <f t="shared" si="375"/>
        <v>Medium Oil</v>
      </c>
      <c r="L225" s="614" t="str">
        <f t="shared" si="375"/>
        <v>CAM6</v>
      </c>
      <c r="M225" s="626" t="str">
        <f t="shared" si="375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4">
        <f t="shared" ref="Z225:AB225" si="376">+(O225*24*0.365)*0.0036</f>
        <v>1.1095172121600003E-2</v>
      </c>
      <c r="AA225" s="654">
        <f t="shared" si="376"/>
        <v>4.4380688486400012E-2</v>
      </c>
      <c r="AB225" s="654">
        <f t="shared" si="376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7">J214</f>
        <v>VIM</v>
      </c>
      <c r="K226" s="103" t="str">
        <f t="shared" si="377"/>
        <v>Doesn't Apply</v>
      </c>
      <c r="L226" s="614" t="str">
        <f t="shared" si="377"/>
        <v>CAM7</v>
      </c>
      <c r="M226" s="626" t="str">
        <f t="shared" si="377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4">
        <f t="shared" ref="Z226:AB226" si="378">+(O226*24*0.365)*0.0036</f>
        <v>3.1700491776000001E-3</v>
      </c>
      <c r="AA226" s="654">
        <f t="shared" si="378"/>
        <v>1.26801967104E-2</v>
      </c>
      <c r="AB226" s="654">
        <f t="shared" si="378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AB3:AF3"/>
    <mergeCell ref="AA33:AM33"/>
    <mergeCell ref="R64:V64"/>
    <mergeCell ref="W64:Z64"/>
    <mergeCell ref="AI65:AV65"/>
    <mergeCell ref="AW65:BJ65"/>
    <mergeCell ref="BK65:BX65"/>
    <mergeCell ref="R96:V96"/>
    <mergeCell ref="W96:Z96"/>
    <mergeCell ref="AI97:AV97"/>
    <mergeCell ref="AW97:BJ97"/>
    <mergeCell ref="BK97:BX97"/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opLeftCell="CX31" zoomScale="70" zoomScaleNormal="70" workbookViewId="0">
      <selection activeCell="DM36" sqref="DM36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4" width="7.42578125" customWidth="1"/>
    <col min="45" max="45" width="23.140625" customWidth="1"/>
    <col min="46" max="46" width="19.140625" customWidth="1"/>
    <col min="47" max="47" width="18.4257812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3.8554687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33.285156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21.85546875" customWidth="1"/>
    <col min="127" max="127" width="17.42578125" customWidth="1"/>
    <col min="128" max="128" width="10.7109375" customWidth="1"/>
  </cols>
  <sheetData>
    <row r="1" spans="1:128" x14ac:dyDescent="0.25">
      <c r="B1" s="116"/>
      <c r="I1" s="655"/>
      <c r="K1" s="116"/>
      <c r="X1" s="1"/>
      <c r="Y1" s="1"/>
      <c r="Z1" s="1"/>
      <c r="AA1" s="1"/>
      <c r="AB1" s="655"/>
      <c r="AC1" s="380"/>
      <c r="AD1" s="116"/>
      <c r="AL1" s="655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5"/>
      <c r="BZ1" s="656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5"/>
      <c r="DJ1" s="116"/>
    </row>
    <row r="2" spans="1:128" x14ac:dyDescent="0.25">
      <c r="B2" s="116"/>
      <c r="I2" s="655"/>
      <c r="K2" s="116"/>
      <c r="X2" s="1"/>
      <c r="Y2" s="1"/>
      <c r="Z2" s="1"/>
      <c r="AA2" s="1"/>
      <c r="AB2" s="655"/>
      <c r="AC2" s="380"/>
      <c r="AD2" s="116"/>
      <c r="AL2" s="655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5"/>
      <c r="BZ2" s="656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5"/>
      <c r="DJ2" s="116"/>
    </row>
    <row r="3" spans="1:128" ht="21" x14ac:dyDescent="0.35">
      <c r="B3" s="116"/>
      <c r="C3" s="982" t="s">
        <v>1463</v>
      </c>
      <c r="D3" s="922"/>
      <c r="E3" s="922"/>
      <c r="F3" s="922"/>
      <c r="G3" s="922"/>
      <c r="H3" s="922"/>
      <c r="I3" s="657"/>
      <c r="K3" s="116"/>
      <c r="L3" s="982" t="s">
        <v>1464</v>
      </c>
      <c r="M3" s="922"/>
      <c r="N3" s="922"/>
      <c r="O3" s="922"/>
      <c r="P3" s="922"/>
      <c r="Q3" s="922"/>
      <c r="R3" s="922"/>
      <c r="S3" s="922"/>
      <c r="T3" s="922"/>
      <c r="U3" s="922"/>
      <c r="V3" s="922"/>
      <c r="W3" s="922"/>
      <c r="X3" s="658"/>
      <c r="Y3" s="658"/>
      <c r="Z3" s="658"/>
      <c r="AA3" s="658"/>
      <c r="AB3" s="657"/>
      <c r="AC3" s="380"/>
      <c r="AD3" s="116"/>
      <c r="AE3" s="982" t="s">
        <v>1465</v>
      </c>
      <c r="AF3" s="922"/>
      <c r="AG3" s="922"/>
      <c r="AH3" s="922"/>
      <c r="AI3" s="922"/>
      <c r="AJ3" s="922"/>
      <c r="AK3" s="922"/>
      <c r="AL3" s="655"/>
      <c r="AM3" s="1"/>
      <c r="AN3" s="986" t="s">
        <v>1466</v>
      </c>
      <c r="AO3" s="919"/>
      <c r="AP3" s="919"/>
      <c r="AQ3" s="919"/>
      <c r="AR3" s="919"/>
      <c r="AS3" s="919"/>
      <c r="AT3" s="919"/>
      <c r="AU3" s="919"/>
      <c r="AV3" s="919"/>
      <c r="AW3" s="919"/>
      <c r="AX3" s="919"/>
      <c r="AY3" s="919"/>
      <c r="AZ3" s="919"/>
      <c r="BA3" s="919"/>
      <c r="BB3" s="919"/>
      <c r="BC3" s="919"/>
      <c r="BD3" s="919"/>
      <c r="BE3" s="919"/>
      <c r="BF3" s="919"/>
      <c r="BG3" s="919"/>
      <c r="BH3" s="919"/>
      <c r="BI3" s="919"/>
      <c r="BJ3" s="920"/>
      <c r="BK3" s="43"/>
      <c r="BL3" s="116"/>
      <c r="BM3" s="982" t="s">
        <v>1467</v>
      </c>
      <c r="BN3" s="922"/>
      <c r="BO3" s="922"/>
      <c r="BP3" s="922"/>
      <c r="BQ3" s="922"/>
      <c r="BR3" s="922"/>
      <c r="BS3" s="922"/>
      <c r="BT3" s="922"/>
      <c r="BU3" s="658"/>
      <c r="BV3" s="658"/>
      <c r="BW3" s="658"/>
      <c r="BX3" s="655"/>
      <c r="BZ3" s="659"/>
      <c r="CA3" s="982" t="s">
        <v>1468</v>
      </c>
      <c r="CB3" s="922"/>
      <c r="CC3" s="922"/>
      <c r="CD3" s="922"/>
      <c r="CE3" s="922"/>
      <c r="CF3" s="922"/>
      <c r="CG3" s="922"/>
      <c r="CH3" s="922"/>
      <c r="CI3" s="922"/>
      <c r="CJ3" s="922"/>
      <c r="CK3" s="922"/>
      <c r="CL3" s="922"/>
      <c r="CM3" s="922"/>
      <c r="CN3" s="922"/>
      <c r="CO3" s="288"/>
      <c r="CP3" s="305"/>
      <c r="CR3" s="116"/>
      <c r="CS3" s="982" t="s">
        <v>1469</v>
      </c>
      <c r="CT3" s="922"/>
      <c r="CU3" s="922"/>
      <c r="CV3" s="922"/>
      <c r="CW3" s="922"/>
      <c r="CX3" s="922"/>
      <c r="CY3" s="922"/>
      <c r="CZ3" s="658"/>
      <c r="DA3" s="658"/>
      <c r="DB3" s="658"/>
      <c r="DC3" s="658"/>
      <c r="DD3" s="658"/>
      <c r="DE3" s="658"/>
      <c r="DF3" s="658"/>
      <c r="DG3" s="658"/>
      <c r="DH3" s="655"/>
      <c r="DJ3" s="116"/>
      <c r="DK3" s="288" t="s">
        <v>1470</v>
      </c>
    </row>
    <row r="4" spans="1:128" x14ac:dyDescent="0.25">
      <c r="B4" s="116"/>
      <c r="I4" s="655"/>
      <c r="K4" s="116"/>
      <c r="X4" s="1"/>
      <c r="Y4" s="1"/>
      <c r="Z4" s="1"/>
      <c r="AA4" s="1"/>
      <c r="AB4" s="655"/>
      <c r="AC4" s="380"/>
      <c r="AD4" s="116"/>
      <c r="AL4" s="655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5"/>
      <c r="BZ4" s="656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5"/>
      <c r="DJ4" s="116"/>
    </row>
    <row r="5" spans="1:128" ht="15.75" x14ac:dyDescent="0.25">
      <c r="A5" s="660"/>
      <c r="B5" s="661"/>
      <c r="C5" s="660"/>
      <c r="D5" s="660"/>
      <c r="E5" s="660"/>
      <c r="F5" s="660"/>
      <c r="G5" s="660"/>
      <c r="H5" s="660"/>
      <c r="I5" s="662"/>
      <c r="J5" s="660"/>
      <c r="K5" s="661"/>
      <c r="L5" s="981" t="s">
        <v>1471</v>
      </c>
      <c r="M5" s="922"/>
      <c r="N5" s="922"/>
      <c r="O5" s="922"/>
      <c r="P5" s="660"/>
      <c r="Q5" s="981" t="s">
        <v>1472</v>
      </c>
      <c r="R5" s="922"/>
      <c r="S5" s="922"/>
      <c r="T5" s="660"/>
      <c r="U5" s="981" t="s">
        <v>1473</v>
      </c>
      <c r="V5" s="922"/>
      <c r="W5" s="660"/>
      <c r="X5" s="664"/>
      <c r="Y5" s="980" t="s">
        <v>1474</v>
      </c>
      <c r="Z5" s="919"/>
      <c r="AA5" s="920"/>
      <c r="AB5" s="662"/>
      <c r="AC5" s="380"/>
      <c r="AD5" s="661"/>
      <c r="AE5" s="981" t="s">
        <v>1475</v>
      </c>
      <c r="AF5" s="922"/>
      <c r="AG5" s="922"/>
      <c r="AH5" s="660"/>
      <c r="AI5" s="981" t="s">
        <v>1476</v>
      </c>
      <c r="AJ5" s="922"/>
      <c r="AK5" s="922"/>
      <c r="AL5" s="662"/>
      <c r="AM5" s="665"/>
      <c r="AN5" s="981" t="s">
        <v>1477</v>
      </c>
      <c r="AO5" s="922"/>
      <c r="AP5" s="922"/>
      <c r="AQ5" s="922"/>
      <c r="AR5" s="665"/>
      <c r="AS5" s="980" t="s">
        <v>1478</v>
      </c>
      <c r="AT5" s="919"/>
      <c r="AU5" s="919"/>
      <c r="AV5" s="919"/>
      <c r="AW5" s="919"/>
      <c r="AX5" s="919"/>
      <c r="AY5" s="919"/>
      <c r="AZ5" s="920"/>
      <c r="BA5" s="665"/>
      <c r="BB5" s="666" t="s">
        <v>1479</v>
      </c>
      <c r="BC5" s="665"/>
      <c r="BD5" s="665"/>
      <c r="BE5" s="665"/>
      <c r="BF5" s="665"/>
      <c r="BG5" s="665"/>
      <c r="BH5" s="665"/>
      <c r="BI5" s="665"/>
      <c r="BJ5" s="665"/>
      <c r="BK5" s="667"/>
      <c r="BL5" s="661"/>
      <c r="BM5" s="981" t="s">
        <v>1480</v>
      </c>
      <c r="BN5" s="922"/>
      <c r="BO5" s="922"/>
      <c r="BP5" s="660"/>
      <c r="BQ5" s="668" t="s">
        <v>1481</v>
      </c>
      <c r="BR5" s="660"/>
      <c r="BS5" s="663"/>
      <c r="BT5" s="663"/>
      <c r="BU5" s="666" t="s">
        <v>1482</v>
      </c>
      <c r="BV5" s="664"/>
      <c r="BW5" s="664"/>
      <c r="BX5" s="662"/>
      <c r="BY5" s="660"/>
      <c r="BZ5" s="669"/>
      <c r="CA5" s="983" t="s">
        <v>1483</v>
      </c>
      <c r="CB5" s="984"/>
      <c r="CC5" s="984"/>
      <c r="CD5" s="984"/>
      <c r="CE5" s="984"/>
      <c r="CF5" s="984"/>
      <c r="CG5" s="985"/>
      <c r="CH5" s="665"/>
      <c r="CI5" s="981" t="s">
        <v>1484</v>
      </c>
      <c r="CJ5" s="922"/>
      <c r="CK5" s="922"/>
      <c r="CL5" s="922"/>
      <c r="CM5" s="922"/>
      <c r="CN5" s="922"/>
      <c r="CO5" s="922"/>
      <c r="CP5" s="670"/>
      <c r="CQ5" s="660"/>
      <c r="CR5" s="661"/>
      <c r="CS5" s="983" t="s">
        <v>1485</v>
      </c>
      <c r="CT5" s="984"/>
      <c r="CU5" s="984"/>
      <c r="CV5" s="984"/>
      <c r="CW5" s="984"/>
      <c r="CX5" s="984"/>
      <c r="CY5" s="984"/>
      <c r="CZ5" s="985"/>
      <c r="DA5" s="668" t="s">
        <v>1486</v>
      </c>
      <c r="DB5" s="664"/>
      <c r="DC5" s="664"/>
      <c r="DD5" s="980" t="s">
        <v>1487</v>
      </c>
      <c r="DE5" s="919"/>
      <c r="DF5" s="919"/>
      <c r="DG5" s="920"/>
      <c r="DH5" s="662"/>
      <c r="DI5" s="660"/>
      <c r="DJ5" s="661"/>
      <c r="DK5" s="660" t="s">
        <v>1488</v>
      </c>
      <c r="DL5" s="660"/>
      <c r="DM5" s="660"/>
      <c r="DN5" s="660"/>
      <c r="DO5" s="660"/>
      <c r="DP5" s="660" t="s">
        <v>1489</v>
      </c>
      <c r="DQ5" s="660"/>
      <c r="DR5" s="660"/>
      <c r="DS5" s="660"/>
      <c r="DT5" s="660"/>
      <c r="DU5" s="660" t="s">
        <v>1489</v>
      </c>
      <c r="DV5" s="660"/>
      <c r="DW5" s="660"/>
      <c r="DX5" s="660"/>
    </row>
    <row r="6" spans="1:128" x14ac:dyDescent="0.25">
      <c r="B6" s="116"/>
      <c r="I6" s="655"/>
      <c r="K6" s="116"/>
      <c r="X6" s="1"/>
      <c r="Y6" s="1"/>
      <c r="Z6" s="1"/>
      <c r="AA6" s="1"/>
      <c r="AB6" s="655"/>
      <c r="AC6" s="380"/>
      <c r="AD6" s="116"/>
      <c r="AL6" s="655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5"/>
      <c r="BZ6" s="656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5"/>
      <c r="DJ6" s="116"/>
    </row>
    <row r="7" spans="1:128" x14ac:dyDescent="0.25">
      <c r="B7" s="116"/>
      <c r="C7" s="381" t="s">
        <v>804</v>
      </c>
      <c r="I7" s="655"/>
      <c r="K7" s="116"/>
      <c r="L7" s="381" t="s">
        <v>804</v>
      </c>
      <c r="Q7" s="381" t="s">
        <v>804</v>
      </c>
      <c r="U7" s="381" t="s">
        <v>804</v>
      </c>
      <c r="X7" s="1"/>
      <c r="Y7" s="381" t="s">
        <v>804</v>
      </c>
      <c r="Z7" s="1"/>
      <c r="AA7" s="1"/>
      <c r="AB7" s="655"/>
      <c r="AC7" s="1"/>
      <c r="AD7" s="116"/>
      <c r="AE7" s="381" t="s">
        <v>804</v>
      </c>
      <c r="AI7" s="381" t="s">
        <v>804</v>
      </c>
      <c r="AL7" s="655"/>
      <c r="AM7" s="1"/>
      <c r="AN7" s="381" t="s">
        <v>804</v>
      </c>
      <c r="AR7" s="1"/>
      <c r="AS7" s="381" t="s">
        <v>804</v>
      </c>
      <c r="AT7" s="1"/>
      <c r="AU7" s="1"/>
      <c r="AV7" s="1"/>
      <c r="AW7" s="1"/>
      <c r="AX7" s="381" t="s">
        <v>804</v>
      </c>
      <c r="AY7" s="1"/>
      <c r="AZ7" s="1"/>
      <c r="BA7" s="1"/>
      <c r="BB7" s="381" t="s">
        <v>804</v>
      </c>
      <c r="BC7" s="1"/>
      <c r="BD7" s="1"/>
      <c r="BE7" s="1"/>
      <c r="BF7" s="1"/>
      <c r="BG7" s="381" t="s">
        <v>804</v>
      </c>
      <c r="BH7" s="1"/>
      <c r="BI7" s="1"/>
      <c r="BJ7" s="1"/>
      <c r="BK7" s="43"/>
      <c r="BL7" s="116"/>
      <c r="BM7" s="381" t="s">
        <v>804</v>
      </c>
      <c r="BQ7" s="381" t="s">
        <v>804</v>
      </c>
      <c r="BU7" s="381" t="s">
        <v>804</v>
      </c>
      <c r="BV7" s="381"/>
      <c r="BW7" s="1"/>
      <c r="BX7" s="655"/>
      <c r="BZ7" s="656"/>
      <c r="CA7" s="381" t="s">
        <v>804</v>
      </c>
      <c r="CD7" s="1"/>
      <c r="CE7" s="381" t="s">
        <v>804</v>
      </c>
      <c r="CH7" s="1"/>
      <c r="CI7" s="381" t="s">
        <v>804</v>
      </c>
      <c r="CM7" s="381" t="s">
        <v>804</v>
      </c>
      <c r="CP7" s="305"/>
      <c r="CR7" s="116"/>
      <c r="CS7" s="381" t="s">
        <v>804</v>
      </c>
      <c r="CW7" s="381" t="s">
        <v>804</v>
      </c>
      <c r="CX7" s="381"/>
      <c r="CZ7" s="1"/>
      <c r="DA7" s="381" t="s">
        <v>804</v>
      </c>
      <c r="DE7" s="381" t="s">
        <v>804</v>
      </c>
      <c r="DF7" s="381"/>
      <c r="DH7" s="655"/>
      <c r="DJ7" s="116"/>
      <c r="DK7" s="381" t="s">
        <v>804</v>
      </c>
      <c r="DP7" s="381" t="s">
        <v>804</v>
      </c>
      <c r="DU7" s="381" t="s">
        <v>804</v>
      </c>
    </row>
    <row r="8" spans="1:128" x14ac:dyDescent="0.25">
      <c r="B8" s="116"/>
      <c r="C8" s="354" t="s">
        <v>272</v>
      </c>
      <c r="D8" s="671" t="s">
        <v>806</v>
      </c>
      <c r="E8" s="671" t="s">
        <v>46</v>
      </c>
      <c r="F8" s="671" t="s">
        <v>1490</v>
      </c>
      <c r="G8" s="671" t="s">
        <v>1491</v>
      </c>
      <c r="H8" s="671" t="s">
        <v>854</v>
      </c>
      <c r="I8" s="672"/>
      <c r="K8" s="116"/>
      <c r="L8" s="354" t="s">
        <v>272</v>
      </c>
      <c r="M8" s="355" t="s">
        <v>852</v>
      </c>
      <c r="N8" s="355" t="s">
        <v>1038</v>
      </c>
      <c r="O8" s="355" t="s">
        <v>897</v>
      </c>
      <c r="Q8" s="673" t="s">
        <v>272</v>
      </c>
      <c r="R8" s="671" t="s">
        <v>805</v>
      </c>
      <c r="S8" s="671" t="s">
        <v>867</v>
      </c>
      <c r="U8" s="354" t="s">
        <v>272</v>
      </c>
      <c r="V8" s="674" t="s">
        <v>806</v>
      </c>
      <c r="W8" s="674" t="s">
        <v>854</v>
      </c>
      <c r="X8" s="426"/>
      <c r="Y8" s="354" t="s">
        <v>272</v>
      </c>
      <c r="Z8" s="674" t="s">
        <v>1491</v>
      </c>
      <c r="AA8" s="426"/>
      <c r="AB8" s="675"/>
      <c r="AC8" s="1"/>
      <c r="AD8" s="116"/>
      <c r="AE8" s="334" t="s">
        <v>272</v>
      </c>
      <c r="AF8" s="209" t="s">
        <v>805</v>
      </c>
      <c r="AG8" s="209" t="s">
        <v>854</v>
      </c>
      <c r="AI8" s="334" t="s">
        <v>272</v>
      </c>
      <c r="AJ8" s="209" t="s">
        <v>806</v>
      </c>
      <c r="AK8" s="371" t="s">
        <v>1492</v>
      </c>
      <c r="AL8" s="676"/>
      <c r="AM8" s="677"/>
      <c r="AN8" s="371" t="s">
        <v>272</v>
      </c>
      <c r="AO8" s="371" t="s">
        <v>805</v>
      </c>
      <c r="AP8" s="678" t="s">
        <v>806</v>
      </c>
      <c r="AQ8" s="679" t="s">
        <v>854</v>
      </c>
      <c r="AR8" s="677"/>
      <c r="AS8" s="371" t="s">
        <v>272</v>
      </c>
      <c r="AT8" s="371" t="s">
        <v>805</v>
      </c>
      <c r="AU8" s="678" t="s">
        <v>806</v>
      </c>
      <c r="AV8" s="679" t="s">
        <v>854</v>
      </c>
      <c r="AW8" s="1"/>
      <c r="AX8" s="371" t="s">
        <v>272</v>
      </c>
      <c r="AY8" s="680" t="s">
        <v>1039</v>
      </c>
      <c r="AZ8" s="680" t="s">
        <v>46</v>
      </c>
      <c r="BA8" s="681"/>
      <c r="BB8" s="682" t="s">
        <v>272</v>
      </c>
      <c r="BC8" s="682" t="s">
        <v>805</v>
      </c>
      <c r="BD8" s="683" t="s">
        <v>806</v>
      </c>
      <c r="BE8" s="684" t="s">
        <v>854</v>
      </c>
      <c r="BF8" s="681"/>
      <c r="BG8" s="682" t="s">
        <v>272</v>
      </c>
      <c r="BH8" s="685" t="s">
        <v>1039</v>
      </c>
      <c r="BI8" s="685" t="s">
        <v>46</v>
      </c>
      <c r="BJ8" s="677"/>
      <c r="BK8" s="43"/>
      <c r="BL8" s="116"/>
      <c r="BM8" s="334" t="s">
        <v>272</v>
      </c>
      <c r="BN8" s="371" t="s">
        <v>46</v>
      </c>
      <c r="BO8" s="680" t="s">
        <v>1039</v>
      </c>
      <c r="BQ8" s="334" t="s">
        <v>272</v>
      </c>
      <c r="BR8" s="678" t="s">
        <v>805</v>
      </c>
      <c r="BS8" s="678" t="s">
        <v>854</v>
      </c>
      <c r="BU8" s="334" t="s">
        <v>272</v>
      </c>
      <c r="BV8" s="678" t="s">
        <v>806</v>
      </c>
      <c r="BW8" s="678" t="s">
        <v>1492</v>
      </c>
      <c r="BX8" s="686"/>
      <c r="BZ8" s="687"/>
      <c r="CA8" s="688" t="s">
        <v>272</v>
      </c>
      <c r="CB8" s="689" t="s">
        <v>805</v>
      </c>
      <c r="CC8" s="688" t="s">
        <v>974</v>
      </c>
      <c r="CD8" s="677"/>
      <c r="CE8" s="690" t="s">
        <v>272</v>
      </c>
      <c r="CF8" s="689" t="s">
        <v>806</v>
      </c>
      <c r="CG8" s="691" t="s">
        <v>854</v>
      </c>
      <c r="CH8" s="677"/>
      <c r="CI8" s="371" t="s">
        <v>272</v>
      </c>
      <c r="CJ8" s="678" t="s">
        <v>805</v>
      </c>
      <c r="CK8" s="371" t="s">
        <v>974</v>
      </c>
      <c r="CM8" s="334" t="s">
        <v>272</v>
      </c>
      <c r="CN8" s="678" t="s">
        <v>806</v>
      </c>
      <c r="CO8" s="372" t="s">
        <v>854</v>
      </c>
      <c r="CP8" s="305"/>
      <c r="CR8" s="116"/>
      <c r="CS8" s="692" t="s">
        <v>272</v>
      </c>
      <c r="CT8" s="683" t="s">
        <v>805</v>
      </c>
      <c r="CU8" s="677"/>
      <c r="CW8" s="692" t="s">
        <v>272</v>
      </c>
      <c r="CX8" s="683" t="s">
        <v>806</v>
      </c>
      <c r="CY8" s="684" t="s">
        <v>854</v>
      </c>
      <c r="CZ8" s="693"/>
      <c r="DA8" s="334" t="s">
        <v>272</v>
      </c>
      <c r="DB8" s="678" t="s">
        <v>805</v>
      </c>
      <c r="DC8" s="677"/>
      <c r="DE8" s="334" t="s">
        <v>272</v>
      </c>
      <c r="DF8" s="678" t="s">
        <v>806</v>
      </c>
      <c r="DG8" s="679" t="s">
        <v>854</v>
      </c>
      <c r="DH8" s="694"/>
      <c r="DJ8" s="116"/>
      <c r="DK8" s="334" t="s">
        <v>272</v>
      </c>
      <c r="DL8" s="678" t="s">
        <v>805</v>
      </c>
      <c r="DM8" s="678" t="s">
        <v>806</v>
      </c>
      <c r="DN8" s="371" t="s">
        <v>854</v>
      </c>
      <c r="DP8" s="334" t="s">
        <v>272</v>
      </c>
      <c r="DQ8" s="678" t="s">
        <v>805</v>
      </c>
      <c r="DR8" s="678" t="s">
        <v>806</v>
      </c>
      <c r="DS8" s="371" t="s">
        <v>854</v>
      </c>
      <c r="DU8" s="334" t="s">
        <v>272</v>
      </c>
      <c r="DV8" s="678" t="s">
        <v>805</v>
      </c>
      <c r="DW8" s="678" t="s">
        <v>806</v>
      </c>
      <c r="DX8" s="371" t="s">
        <v>854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897</v>
      </c>
      <c r="F9" s="402">
        <f t="array" ref="F9:F15">+'5. Data'!AB99:AB105</f>
        <v>266.73883552000007</v>
      </c>
      <c r="G9" s="695">
        <f t="shared" ref="G9:G15" si="0">1/(1000000)</f>
        <v>9.9999999999999995E-7</v>
      </c>
      <c r="H9" s="295">
        <v>1</v>
      </c>
      <c r="I9" s="696"/>
      <c r="K9" s="116"/>
      <c r="L9" s="214" t="str">
        <f>+PROCESS!N24</f>
        <v>PROF-CAM1</v>
      </c>
      <c r="M9" s="214" t="s">
        <v>1039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7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8"/>
      <c r="Y9" s="698" t="str">
        <f t="array" ref="Y9:Y15">+U9:U15</f>
        <v>PROF-CAM1</v>
      </c>
      <c r="Z9" s="380">
        <v>1</v>
      </c>
      <c r="AA9" s="698"/>
      <c r="AB9" s="699"/>
      <c r="AC9" s="700"/>
      <c r="AD9" s="116"/>
      <c r="AE9" s="12" t="str">
        <f t="array" ref="AE9:AE15">+PROCESS!N44:N50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1493</v>
      </c>
      <c r="AK9" s="11">
        <f>+('5. Data'!O99-'5. Data'!S99)/('5. Data'!AH99-'5. Data'!S99)</f>
        <v>1</v>
      </c>
      <c r="AL9" s="701"/>
      <c r="AM9" s="19"/>
      <c r="AN9" s="12" t="str">
        <f t="array" ref="AN9:AN29">+PROCESS!N97:N117</f>
        <v>FTE-FUEL-GAS-CAM1</v>
      </c>
      <c r="AO9" s="12" t="str">
        <f t="array" ref="AO9:AO15">+COMM!D30:D36</f>
        <v>GAS-CAM1</v>
      </c>
      <c r="AP9" s="12" t="str">
        <f t="array" ref="AP9:AP15">+COMM!D100:D106</f>
        <v>FUEL-GAS-CAM1</v>
      </c>
      <c r="AQ9" s="228">
        <v>1</v>
      </c>
      <c r="AR9" s="19"/>
      <c r="AS9" s="702" t="str">
        <f t="array" ref="AS9:AS11">+PROCESS!N119:N121</f>
        <v>AUTO-GAS-CAM1</v>
      </c>
      <c r="AT9" s="703" t="str">
        <f>+AP9</f>
        <v>FUEL-GAS-CAM1</v>
      </c>
      <c r="AU9" s="702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897</v>
      </c>
      <c r="BA9" s="19"/>
      <c r="BB9" s="19" t="str">
        <f t="array" ref="BB9:BB11">+PROCESS!N138:N140</f>
        <v>AUTO-COL-GAS-CAM1</v>
      </c>
      <c r="BC9" s="19" t="str">
        <f t="array" ref="BC9:BC23">+AT9:AT23</f>
        <v>FUEL-GAS-CAM1</v>
      </c>
      <c r="BD9" s="19" t="str">
        <f>+COMM!D124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4"/>
      <c r="BI9" s="19" t="s">
        <v>897</v>
      </c>
      <c r="BJ9" s="19"/>
      <c r="BK9" s="43"/>
      <c r="BL9" s="116"/>
      <c r="BM9" s="14" t="str" cm="1">
        <f t="array" ref="BM9:BM15">+PROCESS!N54:N60</f>
        <v>PLT-CAM1</v>
      </c>
      <c r="BN9" s="14" t="s">
        <v>897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5"/>
      <c r="BZ9" s="706"/>
      <c r="CA9" s="12" t="str">
        <f>+PROCESS!N92</f>
        <v>COLELC-LOIL-CAM2</v>
      </c>
      <c r="CB9" s="12" t="s">
        <v>127</v>
      </c>
      <c r="CC9" s="707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8">
        <f>1/(1+'5. Data'!Y184)</f>
        <v>0.99789444272584837</v>
      </c>
      <c r="CH9" s="309"/>
      <c r="CI9" s="12" t="str">
        <f>+PROCESS!N87</f>
        <v>COLFUEL-LOIL-CAM2</v>
      </c>
      <c r="CJ9" s="12" t="s">
        <v>127</v>
      </c>
      <c r="CK9" s="707">
        <f>+CO9</f>
        <v>0.99790440075840736</v>
      </c>
      <c r="CM9" s="12" t="str">
        <f>+CI9</f>
        <v>COLFUEL-LOIL-CAM2</v>
      </c>
      <c r="CN9" s="12" t="s">
        <v>13</v>
      </c>
      <c r="CO9" s="266">
        <f>1/(1+'5. Data'!U184)</f>
        <v>0.99790440075840736</v>
      </c>
      <c r="CP9" s="305"/>
      <c r="CR9" s="116"/>
      <c r="CS9" s="12" t="str">
        <f>+CW9</f>
        <v>COLELC-GAS-CAM1</v>
      </c>
      <c r="CT9" s="12" t="s">
        <v>1493</v>
      </c>
      <c r="CU9" s="228"/>
      <c r="CW9" s="214" t="str">
        <f>+(PROCESS!N80)</f>
        <v>COLELC-GAS-CAM1</v>
      </c>
      <c r="CX9" s="12" t="s">
        <v>7</v>
      </c>
      <c r="CY9" s="313">
        <v>0.98873167284455521</v>
      </c>
      <c r="CZ9" s="708"/>
      <c r="DA9" s="12" t="str">
        <f>+DE9</f>
        <v>COLFUEL-GAS-CAM1</v>
      </c>
      <c r="DB9" s="12" t="s">
        <v>1493</v>
      </c>
      <c r="DC9" s="228"/>
      <c r="DE9" s="214" t="str">
        <f t="array" ref="DE9:DE15">+PROCESS!N73:N79</f>
        <v>COLFUEL-GAS-CAM1</v>
      </c>
      <c r="DF9" s="12" t="s">
        <v>7</v>
      </c>
      <c r="DG9" s="313">
        <f t="shared" ref="DG9:DG15" si="3">100%-DC26</f>
        <v>0.99790440075840736</v>
      </c>
      <c r="DH9" s="709"/>
      <c r="DJ9" s="116"/>
      <c r="DK9" s="12" t="str">
        <f t="array" ref="DK9:DK14">+PROCESS!N61:N66</f>
        <v>COMPRA-ELC-CAM1</v>
      </c>
      <c r="DL9" s="12" t="str">
        <f>+'1. EXP_IMP'!$K$66</f>
        <v>ELC-SIN</v>
      </c>
      <c r="DM9" s="11" t="str">
        <f>+AU9</f>
        <v>ELC-CAM1</v>
      </c>
      <c r="DN9" s="292">
        <v>1</v>
      </c>
      <c r="DP9" s="12" t="str">
        <f t="array" ref="DP9:DP14">+PROCESS!N67:N72</f>
        <v>COMPRA-ELC-COLO-CAM1</v>
      </c>
      <c r="DQ9" s="14" t="str">
        <f>+'1. EXP_IMP'!$K$66</f>
        <v>ELC-SIN</v>
      </c>
      <c r="DR9" s="11" t="str">
        <f t="array" ref="DR9:DR14">+COMM!D131:D136</f>
        <v>ELC-O-COL-CAM1</v>
      </c>
      <c r="DS9" s="292">
        <v>1</v>
      </c>
      <c r="DU9" s="12" t="str">
        <f t="array" ref="DU9:DU14">+PROCESS!N156:N161</f>
        <v>COMPRA-ELC-COLG-CAM1</v>
      </c>
      <c r="DV9" s="14" t="str">
        <f>+'1. EXP_IMP'!$K$66</f>
        <v>ELC-SIN</v>
      </c>
      <c r="DW9" s="11" t="str">
        <f t="array" ref="DW9:DW14">+COMM!D137:D142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897</v>
      </c>
      <c r="F10" s="402">
        <v>2135.7396415784524</v>
      </c>
      <c r="G10" s="695">
        <f t="shared" si="0"/>
        <v>9.9999999999999995E-7</v>
      </c>
      <c r="H10" s="295">
        <v>1</v>
      </c>
      <c r="I10" s="696"/>
      <c r="K10" s="116"/>
      <c r="L10" s="214"/>
      <c r="M10" s="214" t="s">
        <v>1039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7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8"/>
      <c r="Y10" s="698" t="str">
        <v>PROF-CAM2</v>
      </c>
      <c r="Z10" s="380">
        <v>1</v>
      </c>
      <c r="AA10" s="698"/>
      <c r="AB10" s="699"/>
      <c r="AC10" s="698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1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2" t="str">
        <v>AUTO-OIL-CAM1</v>
      </c>
      <c r="AT10" s="703" t="str">
        <f>+AP23</f>
        <v>FUEL-OIL-CAM1</v>
      </c>
      <c r="AU10" s="702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897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897</v>
      </c>
      <c r="BJ10" s="19"/>
      <c r="BK10" s="43"/>
      <c r="BL10" s="116"/>
      <c r="BM10" s="14" t="str">
        <v>PLT-CAM2</v>
      </c>
      <c r="BN10" s="14" t="s">
        <v>897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5"/>
      <c r="BZ10" s="706"/>
      <c r="CB10" s="12" t="str">
        <f>+CB12</f>
        <v>ELC-O-COL-CAM2-CAM3</v>
      </c>
      <c r="CC10" s="707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8">
        <f>1/(1+'5. Data'!Y185)</f>
        <v>0.99789444272584837</v>
      </c>
      <c r="CH10" s="309"/>
      <c r="CJ10" s="12" t="str">
        <f>+BD29</f>
        <v>ELC-COL-CAM2-CAM3</v>
      </c>
      <c r="CK10" s="707">
        <f>100%-CK9</f>
        <v>2.0955992415926383E-3</v>
      </c>
      <c r="CM10" s="12" t="str">
        <f>+CI11</f>
        <v>COLFUEL-HOIL-CAM3</v>
      </c>
      <c r="CN10" s="12" t="s">
        <v>21</v>
      </c>
      <c r="CO10" s="266">
        <f>1/(1+'5. Data'!U185)</f>
        <v>0.99790440075840736</v>
      </c>
      <c r="CP10" s="305"/>
      <c r="CR10" s="116"/>
      <c r="CT10" s="11" t="s">
        <v>1494</v>
      </c>
      <c r="CU10" s="228"/>
      <c r="CW10" s="214" t="str">
        <f>+(PROCESS!N81)</f>
        <v>COLELC-GAS-CAM2</v>
      </c>
      <c r="CX10" s="12" t="s">
        <v>7</v>
      </c>
      <c r="CY10" s="313">
        <v>0.9887316728445551</v>
      </c>
      <c r="CZ10" s="708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>100%-DC27</f>
        <v>0.99790440075840736</v>
      </c>
      <c r="DH10" s="709"/>
      <c r="DJ10" s="116"/>
      <c r="DK10" s="12" t="str">
        <v>COMPRA-ELC-CAM2-CAM3</v>
      </c>
      <c r="DL10" s="12" t="str">
        <f>+'1. EXP_IMP'!$K$66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EXP_IMP'!$K$66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EXP_IMP'!$K$66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897</v>
      </c>
      <c r="F11" s="402">
        <v>6496.7121983715815</v>
      </c>
      <c r="G11" s="695">
        <f t="shared" si="0"/>
        <v>9.9999999999999995E-7</v>
      </c>
      <c r="H11" s="295">
        <v>1</v>
      </c>
      <c r="I11" s="696"/>
      <c r="K11" s="116"/>
      <c r="L11" s="214"/>
      <c r="M11" s="214" t="s">
        <v>1039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7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8"/>
      <c r="Y11" s="698" t="str">
        <v>PROF-CAM3</v>
      </c>
      <c r="Z11" s="380">
        <v>1</v>
      </c>
      <c r="AA11" s="698"/>
      <c r="AB11" s="699"/>
      <c r="AC11" s="698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1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2" t="str">
        <v>AUTO-DSL-CAM1</v>
      </c>
      <c r="AT11" s="703" t="str">
        <f>+AP16</f>
        <v>FUEL-DSL-CAM1</v>
      </c>
      <c r="AU11" s="702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897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897</v>
      </c>
      <c r="BJ11" s="19"/>
      <c r="BK11" s="43"/>
      <c r="BL11" s="116"/>
      <c r="BM11" s="14" t="str">
        <v>PLT-CAM3</v>
      </c>
      <c r="BN11" s="14" t="s">
        <v>897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0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5"/>
      <c r="BZ11" s="706"/>
      <c r="CA11" s="12" t="str">
        <f>+PROCESS!N93</f>
        <v>COLELC-HOIL-CAM3</v>
      </c>
      <c r="CB11" s="12" t="s">
        <v>141</v>
      </c>
      <c r="CC11" s="707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8">
        <f>1/(1+'5. Data'!Y186)</f>
        <v>0.99789444272584837</v>
      </c>
      <c r="CH11" s="309"/>
      <c r="CI11" s="12" t="str">
        <f>+PROCESS!N88</f>
        <v>COLFUEL-HOIL-CAM3</v>
      </c>
      <c r="CJ11" s="12" t="s">
        <v>141</v>
      </c>
      <c r="CK11" s="707">
        <f>+CO10</f>
        <v>0.99790440075840736</v>
      </c>
      <c r="CM11" s="12" t="str">
        <f>+CI13</f>
        <v>COLFUEL-LOIL-CAM4</v>
      </c>
      <c r="CN11" s="12" t="s">
        <v>13</v>
      </c>
      <c r="CO11" s="266">
        <f>1/(1+'5. Data'!U186)</f>
        <v>0.99790440075840736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+(PROCESS!N82)</f>
        <v>COLELC-GAS-CAM3</v>
      </c>
      <c r="CX11" s="12" t="s">
        <v>7</v>
      </c>
      <c r="CY11" s="313">
        <v>0.98873167284455521</v>
      </c>
      <c r="CZ11" s="708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0.99790440075840736</v>
      </c>
      <c r="DH11" s="709"/>
      <c r="DJ11" s="116"/>
      <c r="DK11" s="12" t="str">
        <v>COMPRA-ELC-CAM4</v>
      </c>
      <c r="DL11" s="12" t="str">
        <f>+'1. EXP_IMP'!$K$66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EXP_IMP'!$K$66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EXP_IMP'!$K$66</f>
        <v>ELC-SIN</v>
      </c>
      <c r="DW11" s="11" t="str">
        <v>ELC-G-COL-CAM4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897</v>
      </c>
      <c r="F12" s="402">
        <v>44.660401360000002</v>
      </c>
      <c r="G12" s="695">
        <f t="shared" si="0"/>
        <v>9.9999999999999995E-7</v>
      </c>
      <c r="H12" s="295">
        <v>1</v>
      </c>
      <c r="I12" s="696"/>
      <c r="K12" s="116"/>
      <c r="L12" s="214"/>
      <c r="M12" s="214" t="s">
        <v>1039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7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8"/>
      <c r="Y12" s="698" t="str">
        <v>PROF-CAM4</v>
      </c>
      <c r="Z12" s="380">
        <v>1</v>
      </c>
      <c r="AA12" s="698"/>
      <c r="AB12" s="699"/>
      <c r="AC12" s="698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699"/>
      <c r="AM12" s="698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8"/>
      <c r="AS12" s="702" t="str">
        <f t="array" ref="AS12:AS23">+PROCESS!N126:N137</f>
        <v>AUTO-GAS-CAM4</v>
      </c>
      <c r="AT12" s="703" t="str">
        <f>+AP12</f>
        <v>FUEL-GAS-CAM4</v>
      </c>
      <c r="AU12" s="702" t="str">
        <f>+COMM!D93</f>
        <v>ELC-CAM4</v>
      </c>
      <c r="AV12" s="322">
        <f t="array" ref="AV12:AV14">+TRANSPOSE('5. Data'!U211:W211)</f>
        <v>0.35</v>
      </c>
      <c r="AW12" s="370"/>
      <c r="AX12" s="698" t="str">
        <v>AUTO-GAS-CAM4</v>
      </c>
      <c r="AY12" s="370">
        <f t="array" ref="AY12:AY14">+TRANSPOSE('5. Data'!AA211:AC211)</f>
        <v>0</v>
      </c>
      <c r="AZ12" s="19" t="s">
        <v>897</v>
      </c>
      <c r="BA12" s="19"/>
      <c r="BB12" s="19" t="str">
        <f t="array" ref="BB12:BB23">+PROCESS!N144:N155</f>
        <v>AUTO-COL-GAS-CAM4</v>
      </c>
      <c r="BC12" s="19" t="str">
        <v>FUEL-GAS-CAM4</v>
      </c>
      <c r="BD12" s="19" t="str">
        <f>+COMM!D127</f>
        <v>ELC-COL-CAM4</v>
      </c>
      <c r="BE12" s="19">
        <f t="array" ref="BE12:BE14">+TRANSPOSE('5. Data'!U223:W223)</f>
        <v>0.35</v>
      </c>
      <c r="BF12" s="19"/>
      <c r="BG12" s="698" t="str">
        <v>AUTO-COL-GAS-CAM4</v>
      </c>
      <c r="BH12" s="370">
        <f t="array" ref="BH12:BH14">+TRANSPOSE('5. Data'!Z223:AB223)</f>
        <v>1.1095172121600003E-2</v>
      </c>
      <c r="BI12" s="19" t="s">
        <v>897</v>
      </c>
      <c r="BJ12" s="698"/>
      <c r="BK12" s="43"/>
      <c r="BL12" s="116"/>
      <c r="BM12" s="14" t="str">
        <v>PLT-CAM4</v>
      </c>
      <c r="BN12" s="14" t="s">
        <v>897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5"/>
      <c r="BZ12" s="706"/>
      <c r="CB12" s="12" t="str">
        <f>+DR10</f>
        <v>ELC-O-COL-CAM2-CAM3</v>
      </c>
      <c r="CC12" s="707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8">
        <f>1/(1+'5. Data'!Y187)</f>
        <v>0.99789444272584837</v>
      </c>
      <c r="CH12" s="309"/>
      <c r="CJ12" s="12" t="str">
        <f>+CJ10</f>
        <v>ELC-COL-CAM2-CAM3</v>
      </c>
      <c r="CK12" s="707">
        <f>100%-CK11</f>
        <v>2.0955992415926383E-3</v>
      </c>
      <c r="CM12" s="12" t="str">
        <f>+CI15</f>
        <v>COLFUEL-MOIL-CAM5</v>
      </c>
      <c r="CN12" s="12" t="s">
        <v>17</v>
      </c>
      <c r="CO12" s="266">
        <f>1/(1+'5. Data'!U187)</f>
        <v>0.99790440075840736</v>
      </c>
      <c r="CP12" s="305"/>
      <c r="CR12" s="116"/>
      <c r="CT12" s="11" t="s">
        <v>142</v>
      </c>
      <c r="CU12" s="228"/>
      <c r="CW12" s="214" t="str">
        <f>+(PROCESS!N83)</f>
        <v>COLELC-GAS-CAM4</v>
      </c>
      <c r="CX12" s="12" t="s">
        <v>7</v>
      </c>
      <c r="CY12" s="313">
        <v>0.98873167284455521</v>
      </c>
      <c r="CZ12" s="708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0.99790440075840736</v>
      </c>
      <c r="DH12" s="709"/>
      <c r="DJ12" s="116"/>
      <c r="DK12" s="12" t="str">
        <v>COMPRA-ELC-CAM5</v>
      </c>
      <c r="DL12" s="12" t="str">
        <f>+'1. EXP_IMP'!$K$66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EXP_IMP'!$K$66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EXP_IMP'!$K$66</f>
        <v>ELC-SIN</v>
      </c>
      <c r="DW12" s="11" t="str">
        <v>ELC-G-COL-CAM5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897</v>
      </c>
      <c r="F13" s="402">
        <v>1058.6607668001971</v>
      </c>
      <c r="G13" s="695">
        <f t="shared" si="0"/>
        <v>9.9999999999999995E-7</v>
      </c>
      <c r="H13" s="295">
        <v>1</v>
      </c>
      <c r="I13" s="696"/>
      <c r="K13" s="116"/>
      <c r="L13" s="214"/>
      <c r="M13" s="214" t="s">
        <v>1039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7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8"/>
      <c r="Y13" s="698" t="str">
        <v>PROF-CAM5</v>
      </c>
      <c r="Z13" s="380">
        <v>1</v>
      </c>
      <c r="AA13" s="698"/>
      <c r="AB13" s="699"/>
      <c r="AC13" s="698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1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2" t="str">
        <v>AUTO-OIL-CAM4</v>
      </c>
      <c r="AT13" s="703" t="str">
        <f>+AP26</f>
        <v>FUEL-OIL-CAM4</v>
      </c>
      <c r="AU13" s="702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897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897</v>
      </c>
      <c r="BJ13" s="19"/>
      <c r="BK13" s="43"/>
      <c r="BL13" s="116"/>
      <c r="BM13" s="14" t="str">
        <v>PLT-CAM5</v>
      </c>
      <c r="BN13" s="14" t="s">
        <v>897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0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5"/>
      <c r="BZ13" s="706"/>
      <c r="CA13" s="12" t="str">
        <f>+PROCESS!N94</f>
        <v>COLELC-LOIL-CAM4</v>
      </c>
      <c r="CB13" s="12" t="s">
        <v>132</v>
      </c>
      <c r="CC13" s="707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8">
        <f>1/(1+'5. Data'!Y188)</f>
        <v>0.99789444272584837</v>
      </c>
      <c r="CH13" s="309"/>
      <c r="CI13" s="12" t="str">
        <f>+PROCESS!N89</f>
        <v>COLFUEL-LOIL-CAM4</v>
      </c>
      <c r="CJ13" s="12" t="s">
        <v>132</v>
      </c>
      <c r="CK13" s="707">
        <f>+CO11</f>
        <v>0.99790440075840736</v>
      </c>
      <c r="CM13" s="12" t="str">
        <f>+CI17</f>
        <v>COLFUEL-MOIL-CAM6</v>
      </c>
      <c r="CN13" s="12" t="s">
        <v>17</v>
      </c>
      <c r="CO13" s="266">
        <f>1/(1+'5. Data'!U188)</f>
        <v>0.99790440075840736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+(PROCESS!N84)</f>
        <v>COLELC-GAS-CAM5</v>
      </c>
      <c r="CX13" s="12" t="s">
        <v>7</v>
      </c>
      <c r="CY13" s="313">
        <v>0.98873167284455521</v>
      </c>
      <c r="CZ13" s="708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0.99790440075840736</v>
      </c>
      <c r="DH13" s="709"/>
      <c r="DJ13" s="116"/>
      <c r="DK13" s="12" t="str">
        <v>COMPRA-ELC-CAM6</v>
      </c>
      <c r="DL13" s="12" t="str">
        <f>+'1. EXP_IMP'!$K$66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EXP_IMP'!$K$66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EXP_IMP'!$K$66</f>
        <v>ELC-SIN</v>
      </c>
      <c r="DW13" s="11" t="str">
        <v>ELC-G-COL-CAM6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897</v>
      </c>
      <c r="F14" s="402">
        <v>283.33235609852005</v>
      </c>
      <c r="G14" s="695">
        <f t="shared" si="0"/>
        <v>9.9999999999999995E-7</v>
      </c>
      <c r="H14" s="295">
        <v>1</v>
      </c>
      <c r="I14" s="696"/>
      <c r="K14" s="116"/>
      <c r="L14" s="214"/>
      <c r="M14" s="214" t="s">
        <v>1039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7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8"/>
      <c r="Y14" s="698" t="str">
        <v>PROF-CAM6</v>
      </c>
      <c r="Z14" s="380">
        <v>1</v>
      </c>
      <c r="AA14" s="698"/>
      <c r="AB14" s="699"/>
      <c r="AC14" s="698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5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2" t="str">
        <v>AUTO-DSL-CAM4</v>
      </c>
      <c r="AT14" s="2" t="str">
        <f>+AP19</f>
        <v>FUEL-DSL-CAM4</v>
      </c>
      <c r="AU14" s="702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897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897</v>
      </c>
      <c r="BJ14" s="309"/>
      <c r="BK14" s="43"/>
      <c r="BL14" s="116"/>
      <c r="BM14" s="14" t="str">
        <v>PLT-CAM6</v>
      </c>
      <c r="BN14" s="14" t="s">
        <v>897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5"/>
      <c r="BZ14" s="706"/>
      <c r="CB14" s="11" t="str">
        <f>+DR11</f>
        <v>ELC-O-COL-CAM4</v>
      </c>
      <c r="CC14" s="707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7">
        <f>100%-CK13</f>
        <v>2.0955992415926383E-3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+(PROCESS!N85)</f>
        <v>COLELC-GAS-CAM6</v>
      </c>
      <c r="CX14" s="12" t="s">
        <v>7</v>
      </c>
      <c r="CY14" s="313">
        <v>0.98873167284455521</v>
      </c>
      <c r="CZ14" s="708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0.99790440075840736</v>
      </c>
      <c r="DH14" s="709"/>
      <c r="DJ14" s="116"/>
      <c r="DK14" s="12" t="str">
        <v>COMPRA-ELC-CAM7</v>
      </c>
      <c r="DL14" s="12" t="str">
        <f>+'1. EXP_IMP'!$K$66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EXP_IMP'!$K$66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EXP_IMP'!$K$66</f>
        <v>ELC-SIN</v>
      </c>
      <c r="DW14" s="11" t="str">
        <v>ELC-G-COL-CAM7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897</v>
      </c>
      <c r="F15" s="402">
        <v>157.75252398843665</v>
      </c>
      <c r="G15" s="695">
        <f t="shared" si="0"/>
        <v>9.9999999999999995E-7</v>
      </c>
      <c r="H15" s="295">
        <v>1</v>
      </c>
      <c r="I15" s="655"/>
      <c r="K15" s="116"/>
      <c r="L15" s="214"/>
      <c r="M15" s="214" t="s">
        <v>1039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7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8"/>
      <c r="Y15" s="698" t="str">
        <v>PROF-CAM7</v>
      </c>
      <c r="Z15" s="380">
        <v>1</v>
      </c>
      <c r="AA15" s="698"/>
      <c r="AB15" s="655"/>
      <c r="AC15" s="698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1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2" t="str">
        <v>AUTO-GAS-CAM5</v>
      </c>
      <c r="AT15" s="2" t="str">
        <f>+AP13</f>
        <v>FUEL-GAS-CAM5</v>
      </c>
      <c r="AU15" s="702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897</v>
      </c>
      <c r="BA15" s="19"/>
      <c r="BB15" s="19" t="str">
        <v>AUTO-COL-GAS-CAM5</v>
      </c>
      <c r="BC15" s="19" t="str">
        <v>FUEL-GAS-CAM5</v>
      </c>
      <c r="BD15" s="19" t="str">
        <f>+COMM!D128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897</v>
      </c>
      <c r="BJ15" s="19"/>
      <c r="BK15" s="43"/>
      <c r="BL15" s="116"/>
      <c r="BM15" s="14" t="str">
        <v>PLT-CAM7</v>
      </c>
      <c r="BN15" s="14" t="s">
        <v>897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5"/>
      <c r="BZ15" s="711"/>
      <c r="CA15" s="12" t="str">
        <f>+PROCESS!N95</f>
        <v>COLELC-MOIL-CAM5</v>
      </c>
      <c r="CB15" s="12" t="s">
        <v>139</v>
      </c>
      <c r="CC15" s="707">
        <f>+CG12</f>
        <v>0.99789444272584837</v>
      </c>
      <c r="CD15" s="712"/>
      <c r="CE15" s="712"/>
      <c r="CF15" s="712"/>
      <c r="CG15" s="712"/>
      <c r="CH15" s="712"/>
      <c r="CI15" s="12" t="str">
        <f>+PROCESS!N90</f>
        <v>COLFUEL-MOIL-CAM5</v>
      </c>
      <c r="CJ15" s="12" t="s">
        <v>139</v>
      </c>
      <c r="CK15" s="707">
        <f>+CO12</f>
        <v>0.99790440075840736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+(PROCESS!N86)</f>
        <v>COLELC-GAS-CAM7</v>
      </c>
      <c r="CX15" s="12" t="s">
        <v>7</v>
      </c>
      <c r="CY15" s="314">
        <v>0.98873167284455521</v>
      </c>
      <c r="CZ15" s="707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0.99790440075840736</v>
      </c>
      <c r="DH15" s="655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5"/>
      <c r="K16" s="116"/>
      <c r="L16" s="214"/>
      <c r="M16" s="214" t="s">
        <v>1039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7">
        <f>+'5. Data'!N124/(1+'5. Data'!N124)</f>
        <v>1.0471193826923495E-2</v>
      </c>
      <c r="X16" s="1"/>
      <c r="Y16" s="1"/>
      <c r="Z16" s="1"/>
      <c r="AA16" s="1"/>
      <c r="AB16" s="655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1"/>
      <c r="AM16" s="19"/>
      <c r="AN16" s="12" t="str">
        <v>FTE-FUEL-DSL-CAM1</v>
      </c>
      <c r="AO16" s="12" t="s">
        <v>14</v>
      </c>
      <c r="AP16" s="12" t="str" cm="1">
        <f t="array" ref="AP16:AP22">+COMM!D114:D120</f>
        <v>FUEL-DSL-CAM1</v>
      </c>
      <c r="AQ16" s="228">
        <v>1</v>
      </c>
      <c r="AR16" s="19"/>
      <c r="AS16" s="702" t="str">
        <v>AUTO-OIL-CAM5</v>
      </c>
      <c r="AT16" s="2" t="str">
        <f>+AP27</f>
        <v>FUEL-OIL-CAM5</v>
      </c>
      <c r="AU16" s="702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897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897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5"/>
      <c r="BZ16" s="706"/>
      <c r="CB16" s="11" t="str">
        <f>+DR13</f>
        <v>ELC-O-COL-CAM6</v>
      </c>
      <c r="CC16" s="707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7">
        <f>100%-CK15</f>
        <v>2.0955992415926383E-3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5"/>
      <c r="DJ16" s="116"/>
    </row>
    <row r="17" spans="2:127" x14ac:dyDescent="0.25">
      <c r="B17" s="116"/>
      <c r="F17" s="231"/>
      <c r="I17" s="655"/>
      <c r="K17" s="116"/>
      <c r="L17" s="214"/>
      <c r="M17" s="214" t="s">
        <v>1039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7">
        <f>100%-S18</f>
        <v>0.98952880617307648</v>
      </c>
      <c r="X17" s="1"/>
      <c r="Y17" s="1"/>
      <c r="Z17" s="1"/>
      <c r="AA17" s="1"/>
      <c r="AB17" s="655"/>
      <c r="AC17" s="1"/>
      <c r="AD17" s="116"/>
      <c r="AJ17" s="12" t="s">
        <v>139</v>
      </c>
      <c r="AK17" s="11">
        <f>100%-AK16</f>
        <v>0.97553366105218631</v>
      </c>
      <c r="AL17" s="701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2" t="str">
        <v>AUTO-DSL-CAM5</v>
      </c>
      <c r="AT17" s="2" t="str">
        <f>+AP20</f>
        <v>FUEL-DSL-CAM5</v>
      </c>
      <c r="AU17" s="702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897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897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5"/>
      <c r="BZ17" s="706"/>
      <c r="CA17" s="12" t="str">
        <f>+PROCESS!N96</f>
        <v>COLELC-MOIL-CAM6</v>
      </c>
      <c r="CB17" s="12" t="s">
        <v>140</v>
      </c>
      <c r="CC17" s="707">
        <f>+CG13</f>
        <v>0.99789444272584837</v>
      </c>
      <c r="CD17" s="309"/>
      <c r="CE17" s="309"/>
      <c r="CF17" s="309"/>
      <c r="CG17" s="309"/>
      <c r="CH17" s="309"/>
      <c r="CI17" s="12" t="str">
        <f>+PROCESS!N91</f>
        <v>COLFUEL-MOIL-CAM6</v>
      </c>
      <c r="CJ17" s="12" t="s">
        <v>140</v>
      </c>
      <c r="CK17" s="707">
        <f>+CO13</f>
        <v>0.99790440075840736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5"/>
      <c r="DJ17" s="116"/>
    </row>
    <row r="18" spans="2:127" x14ac:dyDescent="0.25">
      <c r="B18" s="116"/>
      <c r="I18" s="655"/>
      <c r="K18" s="116"/>
      <c r="L18" s="214"/>
      <c r="M18" s="214" t="s">
        <v>1039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7">
        <f>+'5. Data'!N125/(1+'5. Data'!N125)</f>
        <v>1.0471193826923495E-2</v>
      </c>
      <c r="U18" s="14"/>
      <c r="V18" s="14" t="s">
        <v>480</v>
      </c>
      <c r="X18" s="1"/>
      <c r="Y18" s="1"/>
      <c r="Z18" s="1"/>
      <c r="AA18" s="1"/>
      <c r="AB18" s="655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1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2" t="str">
        <v>AUTO-GAS-CAM6</v>
      </c>
      <c r="AT18" s="2" t="str">
        <f>+AP14</f>
        <v>FUEL-GAS-CAM6</v>
      </c>
      <c r="AU18" s="702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897</v>
      </c>
      <c r="BA18" s="19"/>
      <c r="BB18" s="19" t="str">
        <v>AUTO-COL-GAS-CAM6</v>
      </c>
      <c r="BC18" s="19" t="str">
        <v>FUEL-GAS-CAM6</v>
      </c>
      <c r="BD18" s="19" t="str">
        <f>+COMM!D129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897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5"/>
      <c r="BZ18" s="706"/>
      <c r="CB18" s="11" t="str">
        <f>+DR13</f>
        <v>ELC-O-COL-CAM6</v>
      </c>
      <c r="CC18" s="707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7">
        <f>100%-CK17</f>
        <v>2.0955992415926383E-3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5"/>
      <c r="DJ18" s="116"/>
      <c r="DM18" s="12" t="s">
        <v>480</v>
      </c>
    </row>
    <row r="19" spans="2:127" x14ac:dyDescent="0.25">
      <c r="B19" s="116"/>
      <c r="I19" s="655"/>
      <c r="K19" s="116"/>
      <c r="L19" s="214"/>
      <c r="M19" s="214" t="s">
        <v>1039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7">
        <f>100%-S20</f>
        <v>0.98952880617307648</v>
      </c>
      <c r="U19" s="14" t="s">
        <v>1495</v>
      </c>
      <c r="V19" s="365">
        <f>+'Bases de Cálculo'!G6</f>
        <v>55.539114956987063</v>
      </c>
      <c r="X19" s="1"/>
      <c r="Y19" s="1"/>
      <c r="Z19" s="1"/>
      <c r="AA19" s="1"/>
      <c r="AB19" s="655"/>
      <c r="AC19" s="1"/>
      <c r="AD19" s="116"/>
      <c r="AJ19" s="12" t="s">
        <v>140</v>
      </c>
      <c r="AK19" s="11">
        <f>100%-AK18</f>
        <v>0.95858072158790708</v>
      </c>
      <c r="AL19" s="701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2" t="str">
        <v>AUTO-OIL-CAM6</v>
      </c>
      <c r="AT19" s="2" t="str">
        <f>+AP28</f>
        <v>FUEL-OIL-CAM6</v>
      </c>
      <c r="AU19" s="702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897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897</v>
      </c>
      <c r="BJ19" s="19"/>
      <c r="BK19" s="43"/>
      <c r="BL19" s="116"/>
      <c r="BU19" s="710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5"/>
      <c r="BZ19" s="706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5"/>
      <c r="DJ19" s="116"/>
    </row>
    <row r="20" spans="2:127" x14ac:dyDescent="0.25">
      <c r="B20" s="116"/>
      <c r="I20" s="655"/>
      <c r="K20" s="116"/>
      <c r="L20" s="214"/>
      <c r="M20" s="214" t="s">
        <v>1039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7">
        <f>+'5. Data'!N126/(1+'5. Data'!N126)</f>
        <v>1.0471193826923495E-2</v>
      </c>
      <c r="X20" s="1"/>
      <c r="Y20" s="1"/>
      <c r="Z20" s="1"/>
      <c r="AA20" s="1"/>
      <c r="AB20" s="655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5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2" t="str">
        <v>AUTO-DSL-CAM6</v>
      </c>
      <c r="AT20" s="2" t="str">
        <f>+AP21</f>
        <v>FUEL-DSL-CAM6</v>
      </c>
      <c r="AU20" s="702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897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897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5"/>
      <c r="BZ20" s="706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5"/>
      <c r="DJ20" s="116"/>
      <c r="DK20" s="381" t="s">
        <v>804</v>
      </c>
      <c r="DP20" s="381" t="s">
        <v>804</v>
      </c>
      <c r="DU20" s="381" t="s">
        <v>804</v>
      </c>
    </row>
    <row r="21" spans="2:127" ht="15.75" customHeight="1" x14ac:dyDescent="0.25">
      <c r="B21" s="116"/>
      <c r="I21" s="655"/>
      <c r="K21" s="116"/>
      <c r="L21" s="214"/>
      <c r="M21" s="214" t="s">
        <v>1039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7">
        <f>100%-S22</f>
        <v>0.98952880617307648</v>
      </c>
      <c r="X21" s="1"/>
      <c r="Y21" s="1"/>
      <c r="Z21" s="1"/>
      <c r="AA21" s="1"/>
      <c r="AB21" s="655"/>
      <c r="AC21" s="1"/>
      <c r="AD21" s="116"/>
      <c r="AJ21" s="12" t="str">
        <f>+COMM!D46</f>
        <v>LOIL-CAM7</v>
      </c>
      <c r="AK21" s="11">
        <f>100%-AK20</f>
        <v>5.5238705439885072E-3</v>
      </c>
      <c r="AL21" s="655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2" t="str">
        <v>AUTO-GAS-CAM7</v>
      </c>
      <c r="AT21" s="2" t="str">
        <f>+AP15</f>
        <v>FUEL-GAS-CAM7</v>
      </c>
      <c r="AU21" s="702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897</v>
      </c>
      <c r="BA21" s="19"/>
      <c r="BB21" s="19" t="str">
        <v>AUTO-COL-GAS-CAM7</v>
      </c>
      <c r="BC21" s="19" t="str">
        <v>FUEL-GAS-CAM7</v>
      </c>
      <c r="BD21" s="19" t="str">
        <f>+COMM!D130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897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5"/>
      <c r="BZ21" s="706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5"/>
      <c r="DJ21" s="116"/>
      <c r="DK21" s="337" t="s">
        <v>272</v>
      </c>
      <c r="DL21" s="337" t="s">
        <v>806</v>
      </c>
      <c r="DM21" s="337" t="s">
        <v>978</v>
      </c>
      <c r="DP21" s="337" t="s">
        <v>272</v>
      </c>
      <c r="DQ21" s="337" t="s">
        <v>806</v>
      </c>
      <c r="DR21" s="337" t="s">
        <v>978</v>
      </c>
      <c r="DU21" s="337" t="s">
        <v>272</v>
      </c>
      <c r="DV21" s="337" t="s">
        <v>806</v>
      </c>
      <c r="DW21" s="337" t="s">
        <v>978</v>
      </c>
    </row>
    <row r="22" spans="2:127" ht="15.75" customHeight="1" x14ac:dyDescent="0.25">
      <c r="B22" s="116"/>
      <c r="I22" s="655"/>
      <c r="K22" s="116"/>
      <c r="L22" s="214"/>
      <c r="M22" s="214" t="s">
        <v>1039</v>
      </c>
      <c r="N22" s="214">
        <v>2050</v>
      </c>
      <c r="O22" s="287">
        <v>0</v>
      </c>
      <c r="R22" s="18" t="str">
        <f>+COMM!D96</f>
        <v>ELC-CAM7</v>
      </c>
      <c r="S22" s="697">
        <f>+'5. Data'!N127/(1+'5. Data'!N127)</f>
        <v>1.0471193826923495E-2</v>
      </c>
      <c r="X22" s="1"/>
      <c r="Y22" s="1"/>
      <c r="Z22" s="1"/>
      <c r="AA22" s="1"/>
      <c r="AB22" s="655"/>
      <c r="AC22" s="1"/>
      <c r="AD22" s="116"/>
      <c r="AL22" s="655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2" t="str">
        <v>AUTO-OIL-CAM7</v>
      </c>
      <c r="AT22" s="2" t="str">
        <f>+AP29</f>
        <v>FUEL-OIL-CAM7</v>
      </c>
      <c r="AU22" s="702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897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897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5"/>
      <c r="BZ22" s="706"/>
      <c r="CA22" s="309"/>
      <c r="CB22" s="309"/>
      <c r="CC22" s="309"/>
      <c r="CD22" s="309"/>
      <c r="CE22" s="309"/>
      <c r="CF22" s="309"/>
      <c r="CG22" s="309"/>
      <c r="CH22" s="309"/>
      <c r="CM22" s="381" t="s">
        <v>804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5"/>
      <c r="DJ22" s="116"/>
      <c r="DK22" s="12" t="str">
        <f>+(DK9)</f>
        <v>COMPRA-ELC-CAM1</v>
      </c>
      <c r="DL22" s="12" t="s">
        <v>1496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1496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1496</v>
      </c>
      <c r="DW22" s="222">
        <f>+'3. Scope3'!$G$19</f>
        <v>46.111111111111114</v>
      </c>
    </row>
    <row r="23" spans="2:127" ht="15.75" customHeight="1" x14ac:dyDescent="0.25">
      <c r="B23" s="116"/>
      <c r="I23" s="655"/>
      <c r="K23" s="116"/>
      <c r="L23" s="214" t="str">
        <f>+PROCESS!N25</f>
        <v>PROF-CAM2</v>
      </c>
      <c r="M23" s="214" t="s">
        <v>1039</v>
      </c>
      <c r="N23" s="214">
        <v>2019</v>
      </c>
      <c r="O23" s="287">
        <f t="array" ref="O23:O36">+TRANSPOSE('5. Data'!AI100:AV100)</f>
        <v>363.68563536317856</v>
      </c>
      <c r="U23" s="381" t="s">
        <v>804</v>
      </c>
      <c r="X23" s="1"/>
      <c r="Y23" s="1"/>
      <c r="Z23" s="1"/>
      <c r="AA23" s="1"/>
      <c r="AB23" s="655"/>
      <c r="AC23" s="1"/>
      <c r="AD23" s="116"/>
      <c r="AL23" s="655"/>
      <c r="AM23" s="1"/>
      <c r="AN23" s="12" t="str">
        <v>FTE-FUEL-OIL-CAM1</v>
      </c>
      <c r="AO23" s="12" t="s">
        <v>13</v>
      </c>
      <c r="AP23" s="12" t="str">
        <f t="array" ref="AP23:AP29">+COMM!D107:D113</f>
        <v>FUEL-OIL-CAM1</v>
      </c>
      <c r="AQ23" s="228">
        <v>1</v>
      </c>
      <c r="AR23" s="1"/>
      <c r="AS23" s="702" t="str">
        <v>AUTO-DSL-CAM7</v>
      </c>
      <c r="AT23" s="2" t="str">
        <f>+AP22</f>
        <v>FUEL-DSL-CAM7</v>
      </c>
      <c r="AU23" s="702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897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897</v>
      </c>
      <c r="BJ23" s="1"/>
      <c r="BK23" s="43"/>
      <c r="BL23" s="116"/>
      <c r="BU23" s="1"/>
      <c r="BV23" s="1"/>
      <c r="BW23" s="1"/>
      <c r="BX23" s="655"/>
      <c r="BZ23" s="706"/>
      <c r="CC23" s="222"/>
      <c r="CE23" s="309"/>
      <c r="CF23" s="309"/>
      <c r="CG23" s="309"/>
      <c r="CH23" s="309"/>
      <c r="CL23" s="99"/>
      <c r="CM23" s="334" t="s">
        <v>272</v>
      </c>
      <c r="CN23" s="713" t="s">
        <v>1491</v>
      </c>
      <c r="CP23" s="305"/>
      <c r="CR23" s="116"/>
      <c r="CZ23" s="1"/>
      <c r="DH23" s="655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5"/>
      <c r="K24" s="116"/>
      <c r="M24" s="214" t="s">
        <v>1039</v>
      </c>
      <c r="N24" s="214">
        <v>2020</v>
      </c>
      <c r="O24" s="287">
        <v>357.03963544887284</v>
      </c>
      <c r="U24" s="337" t="s">
        <v>272</v>
      </c>
      <c r="V24" s="337" t="s">
        <v>806</v>
      </c>
      <c r="W24" s="337" t="s">
        <v>978</v>
      </c>
      <c r="X24" s="677"/>
      <c r="Y24" s="677"/>
      <c r="Z24" s="677"/>
      <c r="AA24" s="677"/>
      <c r="AB24" s="676"/>
      <c r="AC24" s="1"/>
      <c r="AD24" s="116"/>
      <c r="AE24" s="381" t="s">
        <v>804</v>
      </c>
      <c r="AL24" s="655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897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897</v>
      </c>
      <c r="BJ24" s="1"/>
      <c r="BK24" s="43"/>
      <c r="BL24" s="116"/>
      <c r="BU24" s="1"/>
      <c r="BV24" s="1"/>
      <c r="BW24" s="1"/>
      <c r="BX24" s="655"/>
      <c r="BZ24" s="656"/>
      <c r="CA24" s="1"/>
      <c r="CB24" s="1"/>
      <c r="CC24" s="1"/>
      <c r="CD24" s="1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804</v>
      </c>
      <c r="CZ24" s="1"/>
      <c r="DA24" s="381" t="s">
        <v>804</v>
      </c>
      <c r="DH24" s="655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5"/>
      <c r="K25" s="116"/>
      <c r="M25" s="214" t="s">
        <v>1039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0"/>
      <c r="Z25" s="1"/>
      <c r="AA25" s="700"/>
      <c r="AB25" s="714"/>
      <c r="AC25" s="390"/>
      <c r="AD25" s="116"/>
      <c r="AE25" s="337" t="s">
        <v>272</v>
      </c>
      <c r="AF25" s="337" t="s">
        <v>806</v>
      </c>
      <c r="AG25" s="337" t="s">
        <v>978</v>
      </c>
      <c r="AL25" s="655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897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897</v>
      </c>
      <c r="BJ25" s="1"/>
      <c r="BK25" s="43"/>
      <c r="BL25" s="116"/>
      <c r="BU25" s="1"/>
      <c r="BV25" s="1"/>
      <c r="BW25" s="1"/>
      <c r="BX25" s="655"/>
      <c r="BZ25" s="656"/>
      <c r="CA25" s="1"/>
      <c r="CB25" s="1"/>
      <c r="CC25" s="1"/>
      <c r="CD25" s="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2" t="s">
        <v>272</v>
      </c>
      <c r="CT25" s="683" t="s">
        <v>805</v>
      </c>
      <c r="CU25" s="715" t="s">
        <v>974</v>
      </c>
      <c r="CZ25" s="1"/>
      <c r="DA25" s="334" t="s">
        <v>272</v>
      </c>
      <c r="DB25" s="678" t="s">
        <v>805</v>
      </c>
      <c r="DC25" s="371" t="s">
        <v>974</v>
      </c>
      <c r="DH25" s="655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5"/>
      <c r="K26" s="116"/>
      <c r="M26" s="214" t="s">
        <v>1039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0"/>
      <c r="Z26" s="1"/>
      <c r="AA26" s="700"/>
      <c r="AB26" s="714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5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0.35951040000000006</v>
      </c>
      <c r="AZ26" s="19" t="s">
        <v>897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897</v>
      </c>
      <c r="BJ26" s="1"/>
      <c r="BK26" s="43"/>
      <c r="BL26" s="116"/>
      <c r="BU26" s="1"/>
      <c r="BV26" s="1"/>
      <c r="BW26" s="1"/>
      <c r="BX26" s="655"/>
      <c r="BZ26" s="687"/>
      <c r="CA26" s="1"/>
      <c r="CB26" s="1"/>
      <c r="CC26" s="1"/>
      <c r="CD26" s="1"/>
      <c r="CE26" s="677"/>
      <c r="CF26" s="677"/>
      <c r="CG26" s="677"/>
      <c r="CH26" s="677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2.0955992415926552E-3</v>
      </c>
      <c r="DH26" s="655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5"/>
      <c r="K27" s="116"/>
      <c r="M27" s="214" t="s">
        <v>1039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0"/>
      <c r="Z27" s="1"/>
      <c r="AA27" s="700"/>
      <c r="AB27" s="714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5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804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897</v>
      </c>
      <c r="BA27" s="1"/>
      <c r="BB27" s="381" t="s">
        <v>804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5"/>
      <c r="BZ27" s="716"/>
      <c r="CA27" s="1"/>
      <c r="CB27" s="1"/>
      <c r="CC27" s="1"/>
      <c r="CD27" s="1"/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480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2.0955992415926552E-3</v>
      </c>
      <c r="DF27" s="14"/>
      <c r="DG27" s="14" t="str">
        <f>V18</f>
        <v>kt/PJ</v>
      </c>
      <c r="DH27" s="655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5"/>
      <c r="K28" s="116"/>
      <c r="M28" s="214" t="s">
        <v>1039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0"/>
      <c r="Z28" s="1"/>
      <c r="AA28" s="700"/>
      <c r="AB28" s="714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5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272</v>
      </c>
      <c r="AT28" s="371" t="s">
        <v>805</v>
      </c>
      <c r="AU28" s="678" t="s">
        <v>806</v>
      </c>
      <c r="AV28" s="679" t="s">
        <v>854</v>
      </c>
      <c r="AW28" s="1"/>
      <c r="AX28" s="1"/>
      <c r="AY28" s="1"/>
      <c r="AZ28" s="1"/>
      <c r="BA28" s="1"/>
      <c r="BB28" s="682" t="s">
        <v>272</v>
      </c>
      <c r="BC28" s="682" t="s">
        <v>805</v>
      </c>
      <c r="BD28" s="683" t="s">
        <v>806</v>
      </c>
      <c r="BE28" s="684" t="s">
        <v>854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5"/>
      <c r="BZ28" s="716"/>
      <c r="CA28" s="1"/>
      <c r="CB28" s="1"/>
      <c r="CC28" s="1"/>
      <c r="CD28" s="1"/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1495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2.0955992415926552E-3</v>
      </c>
      <c r="DF28" s="14" t="str">
        <f t="shared" ref="DF28:DG28" si="18">U19</f>
        <v>F.E. GAS</v>
      </c>
      <c r="DG28" s="365">
        <f t="shared" si="18"/>
        <v>55.539114956987063</v>
      </c>
      <c r="DH28" s="655"/>
      <c r="DJ28" s="116"/>
      <c r="DM28" s="222"/>
    </row>
    <row r="29" spans="2:127" ht="15.75" customHeight="1" x14ac:dyDescent="0.25">
      <c r="B29" s="116"/>
      <c r="I29" s="655"/>
      <c r="K29" s="116"/>
      <c r="M29" s="214" t="s">
        <v>1039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0"/>
      <c r="Z29" s="1"/>
      <c r="AA29" s="700"/>
      <c r="AB29" s="714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5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+PROCESS!N122</f>
        <v>AUTO-GAS-CAM2-CAM3</v>
      </c>
      <c r="AT29" s="344" t="str">
        <f>AP10</f>
        <v>FUEL-GAS-CAM2</v>
      </c>
      <c r="AU29" s="344" t="str">
        <f>+COMM!D123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+PROCESS!N141</f>
        <v>AUTO-COL-GAS-CAM2-CAM3</v>
      </c>
      <c r="BC29" s="344" t="str">
        <f t="array" ref="BC29:BC34">+AT29:AT34</f>
        <v>FUEL-GAS-CAM2</v>
      </c>
      <c r="BD29" s="344" t="str">
        <f>+COMM!D125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5"/>
      <c r="BZ29" s="716"/>
      <c r="CA29" s="1"/>
      <c r="CB29" s="1"/>
      <c r="CC29" s="1"/>
      <c r="CD29" s="1"/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ELC-G-COL-CAM4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2.0955992415926552E-3</v>
      </c>
      <c r="DH29" s="655"/>
      <c r="DJ29" s="116"/>
    </row>
    <row r="30" spans="2:127" ht="15.75" customHeight="1" x14ac:dyDescent="0.25">
      <c r="B30" s="116"/>
      <c r="I30" s="655"/>
      <c r="K30" s="116"/>
      <c r="M30" s="214" t="s">
        <v>1039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0"/>
      <c r="Z30" s="1"/>
      <c r="AA30" s="700"/>
      <c r="AB30" s="714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5"/>
      <c r="AM30" s="1"/>
      <c r="AN30" s="1" t="str">
        <f>+PROCESS!N118</f>
        <v>FTE-FUEL-LPG-CAM2</v>
      </c>
      <c r="AO30" s="1" t="s">
        <v>22</v>
      </c>
      <c r="AP30" s="1" t="str">
        <f>+COMM!D121</f>
        <v>FUEL-LPG-CAM2</v>
      </c>
      <c r="AQ30" s="309">
        <v>1</v>
      </c>
      <c r="AR30" s="1"/>
      <c r="AS30" s="1"/>
      <c r="AT30" s="717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7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5"/>
      <c r="BZ30" s="716"/>
      <c r="CA30" s="1"/>
      <c r="CB30" s="1"/>
      <c r="CC30" s="1"/>
      <c r="CD30" s="1"/>
      <c r="CE30" s="390"/>
      <c r="CF30" s="390"/>
      <c r="CG30" s="390"/>
      <c r="CH30" s="390"/>
      <c r="CM30" s="718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ELC-G-COL-CAM5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2.0955992415926552E-3</v>
      </c>
      <c r="DH30" s="655"/>
      <c r="DJ30" s="116"/>
    </row>
    <row r="31" spans="2:127" ht="15.75" customHeight="1" x14ac:dyDescent="0.25">
      <c r="B31" s="116"/>
      <c r="I31" s="655"/>
      <c r="K31" s="116"/>
      <c r="M31" s="214" t="s">
        <v>1039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0"/>
      <c r="Z31" s="1"/>
      <c r="AA31" s="700"/>
      <c r="AB31" s="655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5"/>
      <c r="AM31" s="1"/>
      <c r="AN31" s="1"/>
      <c r="AO31" s="1"/>
      <c r="AP31" s="1"/>
      <c r="AQ31" s="1"/>
      <c r="AR31" s="1"/>
      <c r="AS31" s="19" t="str">
        <f>+PROCESS!N123</f>
        <v>AUTO-OIL-CAM2-CAM3</v>
      </c>
      <c r="AT31" s="717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+PROCESS!N142</f>
        <v>AUTO-COL-OIL-CAM2-CAM3</v>
      </c>
      <c r="BC31" s="717" t="str">
        <v>FUEL-OIL-CAM2</v>
      </c>
      <c r="BD31" s="344" t="str">
        <f>+COMM!D125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5"/>
      <c r="BZ31" s="716"/>
      <c r="CA31" s="1"/>
      <c r="CB31" s="1"/>
      <c r="CC31" s="1"/>
      <c r="CD31" s="1"/>
      <c r="CE31" s="390"/>
      <c r="CF31" s="390"/>
      <c r="CG31" s="390"/>
      <c r="CH31" s="390"/>
      <c r="CM31" s="718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ELC-G-COL-CAM6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2.0955992415926552E-3</v>
      </c>
      <c r="DH31" s="655"/>
      <c r="DJ31" s="116"/>
      <c r="DK31">
        <v>2019</v>
      </c>
    </row>
    <row r="32" spans="2:127" ht="15.75" customHeight="1" x14ac:dyDescent="0.25">
      <c r="B32" s="116"/>
      <c r="I32" s="655"/>
      <c r="K32" s="116"/>
      <c r="M32" s="214" t="s">
        <v>1039</v>
      </c>
      <c r="N32" s="214">
        <v>2040</v>
      </c>
      <c r="O32" s="287">
        <v>23.3968962245543</v>
      </c>
      <c r="X32" s="1"/>
      <c r="Y32" s="1"/>
      <c r="Z32" s="1"/>
      <c r="AA32" s="1"/>
      <c r="AB32" s="655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5"/>
      <c r="AM32" s="1"/>
      <c r="AN32" s="1"/>
      <c r="AO32" s="1"/>
      <c r="AP32" s="1"/>
      <c r="AQ32" s="1"/>
      <c r="AR32" s="1"/>
      <c r="AS32" s="1"/>
      <c r="AT32" s="717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7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5"/>
      <c r="BZ32" s="716"/>
      <c r="CA32" s="1"/>
      <c r="CB32" s="1"/>
      <c r="CC32" s="1"/>
      <c r="CD32" s="1"/>
      <c r="CE32" s="390"/>
      <c r="CF32" s="390"/>
      <c r="CG32" s="390"/>
      <c r="CH32" s="390"/>
      <c r="CM32" s="718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ELC-G-COL-CAM7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2.0955992415926552E-3</v>
      </c>
      <c r="DH32" s="655"/>
      <c r="DJ32" s="116"/>
      <c r="DK32" t="s">
        <v>1567</v>
      </c>
      <c r="DL32">
        <v>1646</v>
      </c>
      <c r="DM32" t="s">
        <v>523</v>
      </c>
      <c r="DN32">
        <f>+DL32*0.0036</f>
        <v>5.9256000000000002</v>
      </c>
      <c r="DO32" t="s">
        <v>59</v>
      </c>
      <c r="DP32" s="381" t="s">
        <v>804</v>
      </c>
    </row>
    <row r="33" spans="2:121" ht="15.75" customHeight="1" x14ac:dyDescent="0.25">
      <c r="B33" s="116"/>
      <c r="I33" s="655"/>
      <c r="K33" s="116"/>
      <c r="M33" s="214" t="s">
        <v>1039</v>
      </c>
      <c r="N33" s="214">
        <v>2043</v>
      </c>
      <c r="O33" s="287">
        <v>17.354491524384926</v>
      </c>
      <c r="X33" s="1"/>
      <c r="Y33" s="1"/>
      <c r="Z33" s="1"/>
      <c r="AA33" s="1"/>
      <c r="AB33" s="655"/>
      <c r="AC33" s="1"/>
      <c r="AD33" s="116"/>
      <c r="AL33" s="655"/>
      <c r="AM33" s="1"/>
      <c r="AN33" s="1"/>
      <c r="AO33" s="1"/>
      <c r="AP33" s="1"/>
      <c r="AQ33" s="1"/>
      <c r="AR33" s="1"/>
      <c r="AS33" s="19" t="str">
        <f>+PROCESS!N124</f>
        <v>AUTO-DSL-CAM2-CAM3</v>
      </c>
      <c r="AT33" s="719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+PROCESS!N143</f>
        <v>AUTO-COL-DSL-CAM2-CAM3</v>
      </c>
      <c r="BC33" s="719" t="str">
        <v>FUEL-DSL-CAM2</v>
      </c>
      <c r="BD33" s="344" t="str">
        <f>+COMM!D125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5"/>
      <c r="BZ33" s="656"/>
      <c r="CA33" s="1"/>
      <c r="CB33" s="1"/>
      <c r="CC33" s="1"/>
      <c r="CD33" s="1"/>
      <c r="CE33" s="1"/>
      <c r="CF33" s="1"/>
      <c r="CG33" s="1"/>
      <c r="CH33" s="1"/>
      <c r="CM33" s="718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5"/>
      <c r="DJ33" s="116"/>
      <c r="DK33" t="s">
        <v>1568</v>
      </c>
      <c r="DL33">
        <v>509</v>
      </c>
      <c r="DM33" t="s">
        <v>523</v>
      </c>
      <c r="DN33">
        <f>+DL33*0.0036</f>
        <v>1.8324</v>
      </c>
      <c r="DO33" t="s">
        <v>59</v>
      </c>
      <c r="DP33" s="334" t="s">
        <v>272</v>
      </c>
      <c r="DQ33" s="334" t="s">
        <v>1039</v>
      </c>
    </row>
    <row r="34" spans="2:121" ht="15.75" customHeight="1" x14ac:dyDescent="0.25">
      <c r="B34" s="116"/>
      <c r="I34" s="655"/>
      <c r="K34" s="116"/>
      <c r="M34" s="214" t="s">
        <v>1039</v>
      </c>
      <c r="N34" s="214">
        <v>2045</v>
      </c>
      <c r="O34" s="287">
        <v>13.326221724272058</v>
      </c>
      <c r="X34" s="1"/>
      <c r="Y34" s="1"/>
      <c r="Z34" s="1"/>
      <c r="AA34" s="1"/>
      <c r="AB34" s="655"/>
      <c r="AC34" s="1"/>
      <c r="AD34" s="116"/>
      <c r="AL34" s="655"/>
      <c r="AM34" s="1"/>
      <c r="AN34" s="1"/>
      <c r="AO34" s="1"/>
      <c r="AP34" s="1"/>
      <c r="AQ34" s="1"/>
      <c r="AR34" s="1"/>
      <c r="AS34" s="1"/>
      <c r="AT34" s="717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7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5"/>
      <c r="BZ34" s="656"/>
      <c r="CA34" s="1"/>
      <c r="CB34" s="1"/>
      <c r="CC34" s="1"/>
      <c r="CD34" s="1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5"/>
      <c r="DJ34" s="116"/>
      <c r="DK34" t="s">
        <v>1569</v>
      </c>
      <c r="DL34" s="812">
        <f>3566038/1000000</f>
        <v>3.5660379999999998</v>
      </c>
      <c r="DM34" t="s">
        <v>523</v>
      </c>
      <c r="DN34" s="811">
        <f>+DL34*0.0036</f>
        <v>1.2837736799999999E-2</v>
      </c>
      <c r="DO34" t="s">
        <v>59</v>
      </c>
      <c r="DP34" s="813" t="str">
        <f>+'1. EXP_IMP'!I66</f>
        <v>IMP-SIN</v>
      </c>
      <c r="DQ34" s="814">
        <f>+DN35</f>
        <v>7.7708377368000008</v>
      </c>
    </row>
    <row r="35" spans="2:121" ht="15.75" customHeight="1" x14ac:dyDescent="0.25">
      <c r="B35" s="116"/>
      <c r="I35" s="655"/>
      <c r="K35" s="116"/>
      <c r="M35" s="214" t="s">
        <v>1039</v>
      </c>
      <c r="N35" s="214">
        <v>2047</v>
      </c>
      <c r="O35" s="287">
        <v>10.029486407153993</v>
      </c>
      <c r="Q35" s="421"/>
      <c r="U35" s="720"/>
      <c r="V35" s="720"/>
      <c r="X35" s="1"/>
      <c r="Y35" s="1"/>
      <c r="Z35" s="1"/>
      <c r="AA35" s="1"/>
      <c r="AB35" s="655"/>
      <c r="AC35" s="1"/>
      <c r="AD35" s="116"/>
      <c r="AL35" s="655"/>
      <c r="AM35" s="1"/>
      <c r="AN35" s="1"/>
      <c r="AO35" s="1"/>
      <c r="AP35" s="1"/>
      <c r="AQ35" s="1"/>
      <c r="AR35" s="1"/>
      <c r="AS35" s="19" t="str">
        <f>+PROCESS!N125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5"/>
      <c r="BZ35" s="656"/>
      <c r="CA35" s="1"/>
      <c r="CB35" s="1"/>
      <c r="CC35" s="1"/>
      <c r="CD35" s="1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5"/>
      <c r="DJ35" s="116"/>
      <c r="DL35">
        <f>+DN35/0.0036</f>
        <v>2158.5660380000004</v>
      </c>
      <c r="DM35" t="s">
        <v>523</v>
      </c>
      <c r="DN35" s="811">
        <f>+DN34+DN33+DN32</f>
        <v>7.7708377368000008</v>
      </c>
      <c r="DO35" t="s">
        <v>59</v>
      </c>
    </row>
    <row r="36" spans="2:121" ht="15.75" customHeight="1" x14ac:dyDescent="0.25">
      <c r="B36" s="116"/>
      <c r="I36" s="655"/>
      <c r="K36" s="116"/>
      <c r="M36" s="214" t="s">
        <v>1039</v>
      </c>
      <c r="N36" s="214">
        <v>2050</v>
      </c>
      <c r="O36" s="287">
        <v>6.6898601086639449</v>
      </c>
      <c r="Q36" s="421"/>
      <c r="U36" s="721"/>
      <c r="X36" s="1"/>
      <c r="Y36" s="1"/>
      <c r="Z36" s="1"/>
      <c r="AA36" s="1"/>
      <c r="AB36" s="655"/>
      <c r="AC36" s="1"/>
      <c r="AD36" s="116"/>
      <c r="AL36" s="655"/>
      <c r="AM36" s="1"/>
      <c r="AN36" s="1"/>
      <c r="AO36" s="1"/>
      <c r="AP36" s="1"/>
      <c r="AQ36" s="1"/>
      <c r="AR36" s="1"/>
      <c r="AS36" s="1"/>
      <c r="AT36" s="1"/>
      <c r="AU36" s="703"/>
      <c r="AV36" s="702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5"/>
      <c r="BZ36" s="656"/>
      <c r="CA36" s="1"/>
      <c r="CB36" s="1"/>
      <c r="CC36" s="1"/>
      <c r="CD36" s="1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5"/>
      <c r="DJ36" s="116"/>
    </row>
    <row r="37" spans="2:121" ht="15.75" customHeight="1" x14ac:dyDescent="0.25">
      <c r="B37" s="116"/>
      <c r="I37" s="655"/>
      <c r="K37" s="116"/>
      <c r="L37" s="214" t="str">
        <f>+PROCESS!N26</f>
        <v>PROF-CAM3</v>
      </c>
      <c r="M37" s="214" t="s">
        <v>1039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5"/>
      <c r="AC37" s="1"/>
      <c r="AD37" s="116"/>
      <c r="AL37" s="655"/>
      <c r="AM37" s="1"/>
      <c r="AN37" s="1"/>
      <c r="AO37" s="1"/>
      <c r="AP37" s="1"/>
      <c r="AQ37" s="1"/>
      <c r="AR37" s="1"/>
      <c r="AS37" s="1"/>
      <c r="AT37" s="1"/>
      <c r="AU37" s="703"/>
      <c r="AV37" s="702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5"/>
      <c r="BZ37" s="656"/>
      <c r="CA37" s="1"/>
      <c r="CB37" s="1"/>
      <c r="CC37" s="1"/>
      <c r="CD37" s="1"/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5"/>
      <c r="DJ37" s="116"/>
      <c r="DK37" t="s">
        <v>1570</v>
      </c>
      <c r="DL37">
        <v>725000</v>
      </c>
      <c r="DM37" t="s">
        <v>1573</v>
      </c>
    </row>
    <row r="38" spans="2:121" ht="15.75" customHeight="1" x14ac:dyDescent="0.25">
      <c r="B38" s="116"/>
      <c r="I38" s="655"/>
      <c r="K38" s="116"/>
      <c r="M38" s="214" t="s">
        <v>1039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5"/>
      <c r="AC38" s="1"/>
      <c r="AD38" s="116"/>
      <c r="AL38" s="655"/>
      <c r="AM38" s="1"/>
      <c r="AN38" s="1"/>
      <c r="AO38" s="1"/>
      <c r="AP38" s="1"/>
      <c r="AQ38" s="1"/>
      <c r="AR38" s="1"/>
      <c r="AS38" s="1"/>
      <c r="AT38" s="1"/>
      <c r="AU38" s="703"/>
      <c r="AV38" s="702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5"/>
      <c r="BZ38" s="656"/>
      <c r="CA38" s="1"/>
      <c r="CB38" s="1"/>
      <c r="CC38" s="1"/>
      <c r="CD38" s="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5"/>
      <c r="DJ38" s="116"/>
      <c r="DK38" t="s">
        <v>1571</v>
      </c>
    </row>
    <row r="39" spans="2:121" ht="15.75" customHeight="1" x14ac:dyDescent="0.25">
      <c r="B39" s="116"/>
      <c r="I39" s="655"/>
      <c r="K39" s="116"/>
      <c r="M39" s="214" t="s">
        <v>1039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5"/>
      <c r="AC39" s="1"/>
      <c r="AD39" s="116"/>
      <c r="AL39" s="655"/>
      <c r="AM39" s="1"/>
      <c r="AN39" s="1"/>
      <c r="AO39" s="1"/>
      <c r="AP39" s="1"/>
      <c r="AQ39" s="1"/>
      <c r="AR39" s="1"/>
      <c r="AS39" s="1"/>
      <c r="AT39" s="1"/>
      <c r="AU39" s="19"/>
      <c r="AV39" s="702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5"/>
      <c r="BZ39" s="656"/>
      <c r="CA39" s="1"/>
      <c r="CB39" s="1"/>
      <c r="CC39" s="1"/>
      <c r="CD39" s="1"/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5"/>
      <c r="DJ39" s="116"/>
      <c r="DK39" t="s">
        <v>1572</v>
      </c>
      <c r="DL39">
        <v>168813</v>
      </c>
      <c r="DM39" t="s">
        <v>539</v>
      </c>
    </row>
    <row r="40" spans="2:121" ht="15.75" customHeight="1" x14ac:dyDescent="0.25">
      <c r="B40" s="116"/>
      <c r="I40" s="655"/>
      <c r="K40" s="116"/>
      <c r="M40" s="214" t="s">
        <v>1039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5"/>
      <c r="AC40" s="1"/>
      <c r="AD40" s="116"/>
      <c r="AL40" s="655"/>
      <c r="AM40" s="1"/>
      <c r="AN40" s="1"/>
      <c r="AO40" s="1"/>
      <c r="AP40" s="1"/>
      <c r="AQ40" s="1"/>
      <c r="AR40" s="1"/>
      <c r="AS40" s="1"/>
      <c r="AT40" s="1"/>
      <c r="AU40" s="19"/>
      <c r="AV40" s="702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5"/>
      <c r="BZ40" s="656"/>
      <c r="CA40" s="1"/>
      <c r="CB40" s="1"/>
      <c r="CC40" s="1"/>
      <c r="CD40" s="1"/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5"/>
      <c r="DJ40" s="116"/>
    </row>
    <row r="41" spans="2:121" ht="15.75" customHeight="1" x14ac:dyDescent="0.25">
      <c r="B41" s="116"/>
      <c r="I41" s="655"/>
      <c r="K41" s="116"/>
      <c r="M41" s="214" t="s">
        <v>1039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5"/>
      <c r="AC41" s="1"/>
      <c r="AD41" s="116"/>
      <c r="AL41" s="655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5"/>
      <c r="BZ41" s="656"/>
      <c r="CA41" s="1"/>
      <c r="CB41" s="1"/>
      <c r="CC41" s="1"/>
      <c r="CD41" s="1"/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5"/>
      <c r="DJ41" s="116"/>
    </row>
    <row r="42" spans="2:121" ht="15.75" customHeight="1" x14ac:dyDescent="0.25">
      <c r="B42" s="116"/>
      <c r="I42" s="655"/>
      <c r="K42" s="116"/>
      <c r="M42" s="214" t="s">
        <v>1039</v>
      </c>
      <c r="N42" s="214">
        <v>2030</v>
      </c>
      <c r="O42" s="287">
        <v>309.7910675373156</v>
      </c>
      <c r="X42" s="1"/>
      <c r="Y42" s="1"/>
      <c r="Z42" s="1"/>
      <c r="AA42" s="1"/>
      <c r="AB42" s="655"/>
      <c r="AC42" s="1"/>
      <c r="AD42" s="116"/>
      <c r="AL42" s="655"/>
      <c r="AM42" s="1"/>
      <c r="AN42" s="283" t="s">
        <v>910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5"/>
      <c r="BZ42" s="656"/>
      <c r="CA42" s="1"/>
      <c r="CB42" s="1"/>
      <c r="CC42" s="1"/>
      <c r="CD42" s="1"/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5"/>
      <c r="DJ42" s="116"/>
    </row>
    <row r="43" spans="2:121" ht="15.75" customHeight="1" x14ac:dyDescent="0.25">
      <c r="B43" s="116"/>
      <c r="I43" s="655"/>
      <c r="K43" s="116"/>
      <c r="M43" s="214" t="s">
        <v>1039</v>
      </c>
      <c r="N43" s="214">
        <v>2033</v>
      </c>
      <c r="O43" s="287">
        <v>257.83201320744161</v>
      </c>
      <c r="X43" s="1"/>
      <c r="Y43" s="1"/>
      <c r="Z43" s="1"/>
      <c r="AA43" s="1"/>
      <c r="AB43" s="655"/>
      <c r="AC43" s="1"/>
      <c r="AD43" s="116"/>
      <c r="AL43" s="655"/>
      <c r="AM43" s="1"/>
      <c r="AN43" s="337" t="s">
        <v>43</v>
      </c>
      <c r="AO43" s="722" t="str">
        <f>+AP9</f>
        <v>FUEL-GAS-CAM1</v>
      </c>
      <c r="AP43" s="337" t="str">
        <f>+AP16</f>
        <v>FUEL-DSL-CAM1</v>
      </c>
      <c r="AQ43" s="723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5"/>
      <c r="BZ43" s="656"/>
      <c r="CA43" s="1"/>
      <c r="CB43" s="1"/>
      <c r="CC43" s="1"/>
      <c r="CD43" s="1"/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5"/>
      <c r="DJ43" s="116"/>
    </row>
    <row r="44" spans="2:121" ht="15.75" customHeight="1" x14ac:dyDescent="0.25">
      <c r="B44" s="116"/>
      <c r="I44" s="655"/>
      <c r="K44" s="116"/>
      <c r="M44" s="214" t="s">
        <v>1039</v>
      </c>
      <c r="N44" s="214">
        <v>2035</v>
      </c>
      <c r="O44" s="287">
        <v>218.66172919585773</v>
      </c>
      <c r="X44" s="1"/>
      <c r="Y44" s="1"/>
      <c r="Z44" s="1"/>
      <c r="AA44" s="1"/>
      <c r="AB44" s="655"/>
      <c r="AC44" s="1"/>
      <c r="AD44" s="116"/>
      <c r="AL44" s="655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5"/>
      <c r="BZ44" s="656"/>
      <c r="CA44" s="1"/>
      <c r="CB44" s="1"/>
      <c r="CC44" s="1"/>
      <c r="CD44" s="1"/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5"/>
      <c r="DJ44" s="116"/>
    </row>
    <row r="45" spans="2:121" ht="15.75" customHeight="1" x14ac:dyDescent="0.25">
      <c r="B45" s="116"/>
      <c r="I45" s="655"/>
      <c r="K45" s="116"/>
      <c r="M45" s="214" t="s">
        <v>1039</v>
      </c>
      <c r="N45" s="214">
        <v>2037</v>
      </c>
      <c r="O45" s="287">
        <v>182.14935775491111</v>
      </c>
      <c r="X45" s="1"/>
      <c r="Y45" s="1"/>
      <c r="Z45" s="1"/>
      <c r="AA45" s="1"/>
      <c r="AB45" s="655"/>
      <c r="AC45" s="1"/>
      <c r="AD45" s="116"/>
      <c r="AL45" s="655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5"/>
      <c r="BZ45" s="656"/>
      <c r="CA45" s="1"/>
      <c r="CB45" s="1"/>
      <c r="CC45" s="1"/>
      <c r="CD45" s="1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5"/>
      <c r="DJ45" s="116"/>
    </row>
    <row r="46" spans="2:121" ht="15.75" customHeight="1" x14ac:dyDescent="0.25">
      <c r="B46" s="116"/>
      <c r="I46" s="655"/>
      <c r="K46" s="116"/>
      <c r="M46" s="214" t="s">
        <v>1039</v>
      </c>
      <c r="N46" s="214">
        <v>2040</v>
      </c>
      <c r="O46" s="287">
        <v>127.3982825137665</v>
      </c>
      <c r="X46" s="1"/>
      <c r="Y46" s="1"/>
      <c r="Z46" s="1"/>
      <c r="AA46" s="1"/>
      <c r="AB46" s="655"/>
      <c r="AC46" s="1"/>
      <c r="AD46" s="116"/>
      <c r="AL46" s="655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5"/>
      <c r="BZ46" s="656"/>
      <c r="CA46" s="1"/>
      <c r="CB46" s="1"/>
      <c r="CC46" s="1"/>
      <c r="CD46" s="1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5"/>
      <c r="DJ46" s="116"/>
    </row>
    <row r="47" spans="2:121" ht="15.75" customHeight="1" x14ac:dyDescent="0.25">
      <c r="B47" s="116"/>
      <c r="I47" s="655"/>
      <c r="K47" s="116"/>
      <c r="M47" s="214" t="s">
        <v>1039</v>
      </c>
      <c r="N47" s="214">
        <v>2043</v>
      </c>
      <c r="O47" s="287">
        <v>81.49849118140061</v>
      </c>
      <c r="X47" s="1"/>
      <c r="Y47" s="1"/>
      <c r="Z47" s="1"/>
      <c r="AA47" s="1"/>
      <c r="AB47" s="655"/>
      <c r="AC47" s="1"/>
      <c r="AD47" s="116"/>
      <c r="AL47" s="655"/>
      <c r="AM47" s="1"/>
      <c r="AN47" s="283" t="s">
        <v>910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5"/>
      <c r="BZ47" s="656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5"/>
      <c r="DJ47" s="116"/>
    </row>
    <row r="48" spans="2:121" ht="15.75" customHeight="1" x14ac:dyDescent="0.25">
      <c r="B48" s="116"/>
      <c r="I48" s="655"/>
      <c r="K48" s="116"/>
      <c r="M48" s="214" t="s">
        <v>1039</v>
      </c>
      <c r="N48" s="214">
        <v>2045</v>
      </c>
      <c r="O48" s="287">
        <v>70.347634082399537</v>
      </c>
      <c r="X48" s="1"/>
      <c r="Y48" s="1"/>
      <c r="Z48" s="1"/>
      <c r="AA48" s="1"/>
      <c r="AB48" s="655"/>
      <c r="AC48" s="1"/>
      <c r="AD48" s="116"/>
      <c r="AL48" s="655"/>
      <c r="AM48" s="1"/>
      <c r="AN48" s="337" t="s">
        <v>43</v>
      </c>
      <c r="AO48" s="722" t="str">
        <f>+AP10</f>
        <v>FUEL-GAS-CAM2</v>
      </c>
      <c r="AP48" s="337" t="str">
        <f>+AP17</f>
        <v>FUEL-DSL-CAM2</v>
      </c>
      <c r="AQ48" s="723" t="str">
        <f>+AP24</f>
        <v>FUEL-OIL-CAM2</v>
      </c>
      <c r="AR48" s="723" t="str">
        <f>+AP30</f>
        <v>FUEL-LPG-CAM2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5"/>
      <c r="BZ48" s="656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5"/>
      <c r="DJ48" s="116"/>
    </row>
    <row r="49" spans="2:114" ht="15.75" customHeight="1" x14ac:dyDescent="0.25">
      <c r="B49" s="116"/>
      <c r="I49" s="655"/>
      <c r="K49" s="116"/>
      <c r="M49" s="214" t="s">
        <v>1039</v>
      </c>
      <c r="N49" s="214">
        <v>2047</v>
      </c>
      <c r="O49" s="287">
        <v>64.244040865995586</v>
      </c>
      <c r="X49" s="1"/>
      <c r="Y49" s="1"/>
      <c r="Z49" s="1"/>
      <c r="AA49" s="1"/>
      <c r="AB49" s="655"/>
      <c r="AC49" s="1"/>
      <c r="AD49" s="116"/>
      <c r="AL49" s="655"/>
      <c r="AM49" s="1"/>
      <c r="AN49" s="214" t="str">
        <f>+V26</f>
        <v>CO2e-CAM2</v>
      </c>
      <c r="AO49" s="724">
        <f t="shared" ref="AO49:AQ49" si="22">+AO44</f>
        <v>55.539114956987063</v>
      </c>
      <c r="AP49" s="390">
        <f t="shared" si="22"/>
        <v>75.166375708662926</v>
      </c>
      <c r="AQ49" s="370">
        <f t="shared" si="22"/>
        <v>77.841777688967127</v>
      </c>
      <c r="AR49" s="370">
        <f>+'3. Scope3'!H26</f>
        <v>47.28933824683137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5"/>
      <c r="BZ49" s="656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5"/>
      <c r="DJ49" s="116"/>
    </row>
    <row r="50" spans="2:114" ht="15.75" customHeight="1" x14ac:dyDescent="0.25">
      <c r="B50" s="116"/>
      <c r="I50" s="655"/>
      <c r="K50" s="116"/>
      <c r="M50" s="214" t="s">
        <v>1039</v>
      </c>
      <c r="N50" s="214">
        <v>2050</v>
      </c>
      <c r="O50" s="287">
        <v>55.088651041389411</v>
      </c>
      <c r="X50" s="1"/>
      <c r="Y50" s="1"/>
      <c r="Z50" s="1"/>
      <c r="AA50" s="1"/>
      <c r="AB50" s="655"/>
      <c r="AC50" s="1"/>
      <c r="AD50" s="116"/>
      <c r="AL50" s="655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5"/>
      <c r="BZ50" s="656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5"/>
      <c r="DJ50" s="116"/>
    </row>
    <row r="51" spans="2:114" ht="15.75" customHeight="1" x14ac:dyDescent="0.25">
      <c r="B51" s="116"/>
      <c r="I51" s="655"/>
      <c r="K51" s="116"/>
      <c r="L51" s="214" t="str">
        <f>+PROCESS!N27</f>
        <v>PROF-CAM4</v>
      </c>
      <c r="M51" s="214" t="s">
        <v>1039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5"/>
      <c r="AC51" s="1"/>
      <c r="AD51" s="116"/>
      <c r="AL51" s="655"/>
      <c r="AM51" s="1"/>
      <c r="AN51" s="283" t="s">
        <v>910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5"/>
      <c r="BZ51" s="656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5"/>
      <c r="DJ51" s="116"/>
    </row>
    <row r="52" spans="2:114" ht="15.75" customHeight="1" x14ac:dyDescent="0.25">
      <c r="B52" s="116"/>
      <c r="I52" s="655"/>
      <c r="K52" s="116"/>
      <c r="M52" s="214" t="s">
        <v>1039</v>
      </c>
      <c r="N52" s="214">
        <v>2020</v>
      </c>
      <c r="O52" s="287">
        <v>5.3251450871105153</v>
      </c>
      <c r="X52" s="1"/>
      <c r="Y52" s="1"/>
      <c r="Z52" s="1"/>
      <c r="AA52" s="1"/>
      <c r="AB52" s="655"/>
      <c r="AC52" s="1"/>
      <c r="AD52" s="116"/>
      <c r="AL52" s="655"/>
      <c r="AM52" s="1"/>
      <c r="AN52" s="337" t="s">
        <v>43</v>
      </c>
      <c r="AO52" s="722" t="str">
        <f>+AP11</f>
        <v>FUEL-GAS-CAM3</v>
      </c>
      <c r="AP52" s="337" t="str">
        <f>+AP18</f>
        <v>FUEL-DSL-CAM3</v>
      </c>
      <c r="AQ52" s="723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5"/>
      <c r="BZ52" s="656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5"/>
      <c r="DJ52" s="116"/>
    </row>
    <row r="53" spans="2:114" ht="15.75" customHeight="1" x14ac:dyDescent="0.25">
      <c r="B53" s="116"/>
      <c r="I53" s="655"/>
      <c r="K53" s="116"/>
      <c r="M53" s="214" t="s">
        <v>1039</v>
      </c>
      <c r="N53" s="214">
        <v>2023</v>
      </c>
      <c r="O53" s="287">
        <v>4.6229281525464918</v>
      </c>
      <c r="X53" s="1"/>
      <c r="Y53" s="1"/>
      <c r="Z53" s="1"/>
      <c r="AA53" s="1"/>
      <c r="AB53" s="655"/>
      <c r="AC53" s="1"/>
      <c r="AD53" s="116"/>
      <c r="AL53" s="655"/>
      <c r="AM53" s="1"/>
      <c r="AN53" s="214" t="str">
        <f>+V27</f>
        <v>CO2e-CAM3</v>
      </c>
      <c r="AO53" s="724">
        <f t="shared" ref="AO53:AQ53" si="23">+AO44</f>
        <v>55.539114956987063</v>
      </c>
      <c r="AP53" s="390">
        <f t="shared" si="23"/>
        <v>75.166375708662926</v>
      </c>
      <c r="AQ53" s="370">
        <f t="shared" si="23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5"/>
      <c r="BZ53" s="656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5"/>
      <c r="DJ53" s="116"/>
    </row>
    <row r="54" spans="2:114" ht="15.75" customHeight="1" x14ac:dyDescent="0.25">
      <c r="B54" s="116"/>
      <c r="I54" s="655"/>
      <c r="K54" s="116"/>
      <c r="M54" s="214" t="s">
        <v>1039</v>
      </c>
      <c r="N54" s="214">
        <v>2025</v>
      </c>
      <c r="O54" s="287">
        <v>4.1547835295038089</v>
      </c>
      <c r="X54" s="1"/>
      <c r="Y54" s="1"/>
      <c r="Z54" s="1"/>
      <c r="AA54" s="1"/>
      <c r="AB54" s="655"/>
      <c r="AC54" s="1"/>
      <c r="AD54" s="116"/>
      <c r="AL54" s="655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5"/>
      <c r="BZ54" s="656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5"/>
      <c r="DJ54" s="116"/>
    </row>
    <row r="55" spans="2:114" ht="15.75" customHeight="1" x14ac:dyDescent="0.25">
      <c r="B55" s="116"/>
      <c r="I55" s="655"/>
      <c r="K55" s="116"/>
      <c r="M55" s="214" t="s">
        <v>1039</v>
      </c>
      <c r="N55" s="214">
        <v>2027</v>
      </c>
      <c r="O55" s="287">
        <v>3.4993810572440527</v>
      </c>
      <c r="X55" s="1"/>
      <c r="Y55" s="1"/>
      <c r="Z55" s="1"/>
      <c r="AA55" s="1"/>
      <c r="AB55" s="655"/>
      <c r="AC55" s="1"/>
      <c r="AD55" s="116"/>
      <c r="AL55" s="655"/>
      <c r="AM55" s="1"/>
      <c r="AN55" s="283" t="s">
        <v>910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5"/>
      <c r="BZ55" s="656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5"/>
      <c r="DJ55" s="116"/>
    </row>
    <row r="56" spans="2:114" ht="15.75" customHeight="1" x14ac:dyDescent="0.25">
      <c r="B56" s="116"/>
      <c r="I56" s="655"/>
      <c r="K56" s="116"/>
      <c r="M56" s="214" t="s">
        <v>1039</v>
      </c>
      <c r="N56" s="214">
        <v>2030</v>
      </c>
      <c r="O56" s="287">
        <v>2.5162773488544192</v>
      </c>
      <c r="X56" s="1"/>
      <c r="Y56" s="1"/>
      <c r="Z56" s="1"/>
      <c r="AA56" s="1"/>
      <c r="AB56" s="655"/>
      <c r="AC56" s="1"/>
      <c r="AD56" s="116"/>
      <c r="AL56" s="655"/>
      <c r="AM56" s="1"/>
      <c r="AN56" s="337" t="s">
        <v>43</v>
      </c>
      <c r="AO56" s="722" t="str">
        <f>+AP12</f>
        <v>FUEL-GAS-CAM4</v>
      </c>
      <c r="AP56" s="337" t="str">
        <f>+AP19</f>
        <v>FUEL-DSL-CAM4</v>
      </c>
      <c r="AQ56" s="723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5"/>
      <c r="BZ56" s="656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5"/>
      <c r="DJ56" s="116"/>
    </row>
    <row r="57" spans="2:114" ht="15.75" customHeight="1" x14ac:dyDescent="0.25">
      <c r="B57" s="116"/>
      <c r="I57" s="655"/>
      <c r="K57" s="116"/>
      <c r="M57" s="214" t="s">
        <v>1039</v>
      </c>
      <c r="N57" s="214">
        <v>2033</v>
      </c>
      <c r="O57" s="287">
        <v>2.0247254946596041</v>
      </c>
      <c r="X57" s="1"/>
      <c r="Y57" s="1"/>
      <c r="Z57" s="1"/>
      <c r="AA57" s="1"/>
      <c r="AB57" s="655"/>
      <c r="AC57" s="1"/>
      <c r="AD57" s="116"/>
      <c r="AL57" s="655"/>
      <c r="AM57" s="1"/>
      <c r="AN57" s="214" t="str">
        <f>+V28</f>
        <v>CO2e-CAM4</v>
      </c>
      <c r="AO57" s="724">
        <f t="shared" ref="AO57:AQ57" si="24">+AO44</f>
        <v>55.539114956987063</v>
      </c>
      <c r="AP57" s="390">
        <f t="shared" si="24"/>
        <v>75.166375708662926</v>
      </c>
      <c r="AQ57" s="370">
        <f t="shared" si="24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5"/>
      <c r="BZ57" s="656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5"/>
      <c r="DJ57" s="116"/>
    </row>
    <row r="58" spans="2:114" ht="15.75" customHeight="1" x14ac:dyDescent="0.25">
      <c r="B58" s="116"/>
      <c r="I58" s="655"/>
      <c r="K58" s="116"/>
      <c r="M58" s="214" t="s">
        <v>1039</v>
      </c>
      <c r="N58" s="214">
        <v>2035</v>
      </c>
      <c r="O58" s="287">
        <v>1.6970242585297266</v>
      </c>
      <c r="X58" s="1"/>
      <c r="Y58" s="1"/>
      <c r="Z58" s="1"/>
      <c r="AA58" s="1"/>
      <c r="AB58" s="655"/>
      <c r="AC58" s="1"/>
      <c r="AD58" s="116"/>
      <c r="AL58" s="655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5"/>
      <c r="BZ58" s="656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5"/>
      <c r="DJ58" s="116"/>
    </row>
    <row r="59" spans="2:114" ht="15.75" customHeight="1" x14ac:dyDescent="0.25">
      <c r="B59" s="116"/>
      <c r="I59" s="655"/>
      <c r="K59" s="116"/>
      <c r="M59" s="214" t="s">
        <v>1039</v>
      </c>
      <c r="N59" s="214">
        <v>2037</v>
      </c>
      <c r="O59" s="287">
        <v>1.4629519470083854</v>
      </c>
      <c r="X59" s="1"/>
      <c r="Y59" s="1"/>
      <c r="Z59" s="1"/>
      <c r="AA59" s="1"/>
      <c r="AB59" s="655"/>
      <c r="AC59" s="1"/>
      <c r="AD59" s="116"/>
      <c r="AL59" s="655"/>
      <c r="AM59" s="1"/>
      <c r="AN59" s="283" t="s">
        <v>910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5"/>
      <c r="BZ59" s="656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5"/>
      <c r="DJ59" s="116"/>
    </row>
    <row r="60" spans="2:114" ht="15.75" customHeight="1" x14ac:dyDescent="0.25">
      <c r="B60" s="116"/>
      <c r="I60" s="655"/>
      <c r="K60" s="116"/>
      <c r="M60" s="214" t="s">
        <v>1039</v>
      </c>
      <c r="N60" s="214">
        <v>2040</v>
      </c>
      <c r="O60" s="287">
        <v>1.1118434797263739</v>
      </c>
      <c r="X60" s="1"/>
      <c r="Y60" s="1"/>
      <c r="Z60" s="1"/>
      <c r="AA60" s="1"/>
      <c r="AB60" s="655"/>
      <c r="AC60" s="1"/>
      <c r="AD60" s="116"/>
      <c r="AL60" s="655"/>
      <c r="AM60" s="1"/>
      <c r="AN60" s="337" t="s">
        <v>43</v>
      </c>
      <c r="AO60" s="722" t="str">
        <f>+AP13</f>
        <v>FUEL-GAS-CAM5</v>
      </c>
      <c r="AP60" s="337" t="str">
        <f>+AP20</f>
        <v>FUEL-DSL-CAM5</v>
      </c>
      <c r="AQ60" s="723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5"/>
      <c r="BZ60" s="656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5"/>
      <c r="DJ60" s="116"/>
    </row>
    <row r="61" spans="2:114" ht="15.75" customHeight="1" x14ac:dyDescent="0.25">
      <c r="B61" s="116"/>
      <c r="I61" s="655"/>
      <c r="K61" s="116"/>
      <c r="M61" s="214" t="s">
        <v>1039</v>
      </c>
      <c r="N61" s="214">
        <v>2043</v>
      </c>
      <c r="O61" s="287">
        <v>0.99480732396570282</v>
      </c>
      <c r="X61" s="1"/>
      <c r="Y61" s="1"/>
      <c r="Z61" s="1"/>
      <c r="AA61" s="1"/>
      <c r="AB61" s="655"/>
      <c r="AC61" s="1"/>
      <c r="AD61" s="116"/>
      <c r="AL61" s="655"/>
      <c r="AM61" s="1"/>
      <c r="AN61" s="214" t="str">
        <f>+V29</f>
        <v>CO2e-CAM5</v>
      </c>
      <c r="AO61" s="724">
        <f t="shared" ref="AO61:AQ61" si="25">+AO44</f>
        <v>55.539114956987063</v>
      </c>
      <c r="AP61" s="390">
        <f t="shared" si="25"/>
        <v>75.166375708662926</v>
      </c>
      <c r="AQ61" s="370">
        <f t="shared" si="25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5"/>
      <c r="BZ61" s="656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5"/>
      <c r="DJ61" s="116"/>
    </row>
    <row r="62" spans="2:114" ht="15.75" customHeight="1" x14ac:dyDescent="0.25">
      <c r="B62" s="116"/>
      <c r="I62" s="655"/>
      <c r="K62" s="116"/>
      <c r="M62" s="214" t="s">
        <v>1039</v>
      </c>
      <c r="N62" s="214">
        <v>2045</v>
      </c>
      <c r="O62" s="287">
        <v>0.9167832201252627</v>
      </c>
      <c r="X62" s="1"/>
      <c r="Y62" s="1"/>
      <c r="Z62" s="1"/>
      <c r="AA62" s="1"/>
      <c r="AB62" s="655"/>
      <c r="AC62" s="1"/>
      <c r="AD62" s="116"/>
      <c r="AL62" s="655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5"/>
      <c r="BZ62" s="656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5"/>
      <c r="DJ62" s="116"/>
    </row>
    <row r="63" spans="2:114" ht="15.75" customHeight="1" x14ac:dyDescent="0.25">
      <c r="B63" s="116"/>
      <c r="I63" s="655"/>
      <c r="K63" s="116"/>
      <c r="M63" s="214" t="s">
        <v>1039</v>
      </c>
      <c r="N63" s="214">
        <v>2047</v>
      </c>
      <c r="O63" s="287">
        <v>0.83875911628481048</v>
      </c>
      <c r="X63" s="1"/>
      <c r="Y63" s="1"/>
      <c r="Z63" s="1"/>
      <c r="AA63" s="1"/>
      <c r="AB63" s="655"/>
      <c r="AC63" s="1"/>
      <c r="AD63" s="116"/>
      <c r="AL63" s="655"/>
      <c r="AM63" s="1"/>
      <c r="AN63" s="283" t="s">
        <v>910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5"/>
      <c r="BZ63" s="656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5"/>
      <c r="DJ63" s="116"/>
    </row>
    <row r="64" spans="2:114" ht="15.75" customHeight="1" x14ac:dyDescent="0.25">
      <c r="B64" s="116"/>
      <c r="I64" s="655"/>
      <c r="K64" s="116"/>
      <c r="M64" s="214" t="s">
        <v>1039</v>
      </c>
      <c r="N64" s="214">
        <v>2050</v>
      </c>
      <c r="O64" s="287">
        <v>0.72172296052414664</v>
      </c>
      <c r="X64" s="1"/>
      <c r="Y64" s="1"/>
      <c r="Z64" s="1"/>
      <c r="AA64" s="1"/>
      <c r="AB64" s="655"/>
      <c r="AC64" s="1"/>
      <c r="AD64" s="116"/>
      <c r="AL64" s="655"/>
      <c r="AM64" s="1"/>
      <c r="AN64" s="337" t="s">
        <v>43</v>
      </c>
      <c r="AO64" s="722" t="str">
        <f>+AP14</f>
        <v>FUEL-GAS-CAM6</v>
      </c>
      <c r="AP64" s="337" t="str">
        <f>+AP21</f>
        <v>FUEL-DSL-CAM6</v>
      </c>
      <c r="AQ64" s="723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5"/>
      <c r="BZ64" s="656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5"/>
      <c r="DJ64" s="116"/>
    </row>
    <row r="65" spans="2:114" ht="15.75" customHeight="1" x14ac:dyDescent="0.25">
      <c r="B65" s="116"/>
      <c r="I65" s="655"/>
      <c r="K65" s="116"/>
      <c r="L65" s="214" t="str">
        <f>+PROCESS!N28</f>
        <v>PROF-CAM5</v>
      </c>
      <c r="M65" s="214" t="s">
        <v>1039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5"/>
      <c r="AC65" s="1"/>
      <c r="AD65" s="116"/>
      <c r="AL65" s="655"/>
      <c r="AM65" s="1"/>
      <c r="AN65" s="214" t="str">
        <f>+V30</f>
        <v>CO2e-CAM6</v>
      </c>
      <c r="AO65" s="724">
        <f t="shared" ref="AO65:AQ65" si="26">+AO44</f>
        <v>55.539114956987063</v>
      </c>
      <c r="AP65" s="390">
        <f t="shared" si="26"/>
        <v>75.166375708662926</v>
      </c>
      <c r="AQ65" s="370">
        <f t="shared" si="26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5"/>
      <c r="BZ65" s="656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5"/>
      <c r="DJ65" s="116"/>
    </row>
    <row r="66" spans="2:114" ht="15.75" customHeight="1" x14ac:dyDescent="0.25">
      <c r="B66" s="116"/>
      <c r="I66" s="655"/>
      <c r="K66" s="116"/>
      <c r="M66" s="214" t="s">
        <v>1039</v>
      </c>
      <c r="N66" s="214">
        <v>2020</v>
      </c>
      <c r="O66" s="287">
        <v>153.89107121101256</v>
      </c>
      <c r="X66" s="1"/>
      <c r="Y66" s="1"/>
      <c r="Z66" s="1"/>
      <c r="AA66" s="1"/>
      <c r="AB66" s="655"/>
      <c r="AC66" s="1"/>
      <c r="AD66" s="116"/>
      <c r="AL66" s="655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5"/>
      <c r="BZ66" s="656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5"/>
      <c r="DJ66" s="116"/>
    </row>
    <row r="67" spans="2:114" ht="15.75" customHeight="1" x14ac:dyDescent="0.25">
      <c r="B67" s="116"/>
      <c r="I67" s="655"/>
      <c r="K67" s="116"/>
      <c r="M67" s="214" t="s">
        <v>1039</v>
      </c>
      <c r="N67" s="214">
        <v>2023</v>
      </c>
      <c r="O67" s="287">
        <v>117.34515536171116</v>
      </c>
      <c r="X67" s="1"/>
      <c r="Y67" s="1"/>
      <c r="Z67" s="1"/>
      <c r="AA67" s="1"/>
      <c r="AB67" s="655"/>
      <c r="AC67" s="1"/>
      <c r="AD67" s="116"/>
      <c r="AL67" s="655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5"/>
      <c r="BZ67" s="656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5"/>
      <c r="DJ67" s="116"/>
    </row>
    <row r="68" spans="2:114" ht="15.75" customHeight="1" x14ac:dyDescent="0.25">
      <c r="B68" s="116"/>
      <c r="I68" s="655"/>
      <c r="K68" s="116"/>
      <c r="M68" s="214" t="s">
        <v>1039</v>
      </c>
      <c r="N68" s="214">
        <v>2025</v>
      </c>
      <c r="O68" s="287">
        <v>91.230677358831571</v>
      </c>
      <c r="X68" s="1"/>
      <c r="Y68" s="1"/>
      <c r="Z68" s="1"/>
      <c r="AA68" s="1"/>
      <c r="AB68" s="655"/>
      <c r="AC68" s="1"/>
      <c r="AD68" s="116"/>
      <c r="AL68" s="655"/>
      <c r="AM68" s="1"/>
      <c r="AN68" s="283" t="s">
        <v>910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5"/>
      <c r="BZ68" s="656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5"/>
      <c r="DJ68" s="116"/>
    </row>
    <row r="69" spans="2:114" ht="15.75" customHeight="1" x14ac:dyDescent="0.25">
      <c r="B69" s="116"/>
      <c r="I69" s="655"/>
      <c r="K69" s="116"/>
      <c r="M69" s="214" t="s">
        <v>1039</v>
      </c>
      <c r="N69" s="214">
        <v>2027</v>
      </c>
      <c r="O69" s="287">
        <v>73.19355276753096</v>
      </c>
      <c r="X69" s="1"/>
      <c r="Y69" s="1"/>
      <c r="Z69" s="1"/>
      <c r="AA69" s="1"/>
      <c r="AB69" s="655"/>
      <c r="AC69" s="1"/>
      <c r="AD69" s="116"/>
      <c r="AL69" s="655"/>
      <c r="AM69" s="1"/>
      <c r="AN69" s="337" t="s">
        <v>43</v>
      </c>
      <c r="AO69" s="722" t="str">
        <f>+AP15</f>
        <v>FUEL-GAS-CAM7</v>
      </c>
      <c r="AP69" s="337" t="str">
        <f>+AP22</f>
        <v>FUEL-DSL-CAM7</v>
      </c>
      <c r="AQ69" s="723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5"/>
      <c r="BZ69" s="656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5"/>
      <c r="DJ69" s="116"/>
    </row>
    <row r="70" spans="2:114" ht="15.75" customHeight="1" x14ac:dyDescent="0.25">
      <c r="B70" s="116"/>
      <c r="I70" s="655"/>
      <c r="K70" s="116"/>
      <c r="M70" s="214" t="s">
        <v>1039</v>
      </c>
      <c r="N70" s="214">
        <v>2030</v>
      </c>
      <c r="O70" s="287">
        <v>46.137865880580037</v>
      </c>
      <c r="X70" s="1"/>
      <c r="Y70" s="1"/>
      <c r="Z70" s="1"/>
      <c r="AA70" s="1"/>
      <c r="AB70" s="655"/>
      <c r="AC70" s="1"/>
      <c r="AD70" s="116"/>
      <c r="AL70" s="655"/>
      <c r="AM70" s="1"/>
      <c r="AN70" s="214" t="str">
        <f>+COMM!AK26</f>
        <v>CO2e-CAM7</v>
      </c>
      <c r="AO70" s="286">
        <f t="shared" ref="AO70:AQ70" si="27">+AO44</f>
        <v>55.539114956987063</v>
      </c>
      <c r="AP70" s="390">
        <f t="shared" si="27"/>
        <v>75.166375708662926</v>
      </c>
      <c r="AQ70" s="370">
        <f t="shared" si="27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5"/>
      <c r="BZ70" s="656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5"/>
      <c r="DJ70" s="116"/>
    </row>
    <row r="71" spans="2:114" ht="15.75" customHeight="1" x14ac:dyDescent="0.25">
      <c r="B71" s="116"/>
      <c r="I71" s="655"/>
      <c r="K71" s="116"/>
      <c r="M71" s="214" t="s">
        <v>1039</v>
      </c>
      <c r="N71" s="214">
        <v>2033</v>
      </c>
      <c r="O71" s="287">
        <v>34.93812928869707</v>
      </c>
      <c r="X71" s="1"/>
      <c r="Y71" s="1"/>
      <c r="Z71" s="1"/>
      <c r="AA71" s="1"/>
      <c r="AB71" s="655"/>
      <c r="AC71" s="1"/>
      <c r="AD71" s="116"/>
      <c r="AL71" s="655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5"/>
      <c r="BZ71" s="656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5"/>
      <c r="DJ71" s="116"/>
    </row>
    <row r="72" spans="2:114" ht="15.75" customHeight="1" x14ac:dyDescent="0.25">
      <c r="B72" s="116"/>
      <c r="I72" s="655"/>
      <c r="K72" s="116"/>
      <c r="M72" s="214" t="s">
        <v>1039</v>
      </c>
      <c r="N72" s="214">
        <v>2035</v>
      </c>
      <c r="O72" s="287">
        <v>27.471638227441758</v>
      </c>
      <c r="X72" s="1"/>
      <c r="Y72" s="1"/>
      <c r="Z72" s="1"/>
      <c r="AA72" s="1"/>
      <c r="AB72" s="655"/>
      <c r="AC72" s="1"/>
      <c r="AD72" s="116"/>
      <c r="AL72" s="655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5"/>
      <c r="BZ72" s="656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5"/>
      <c r="DJ72" s="116"/>
    </row>
    <row r="73" spans="2:114" ht="15.75" customHeight="1" x14ac:dyDescent="0.25">
      <c r="B73" s="116"/>
      <c r="I73" s="655"/>
      <c r="K73" s="116"/>
      <c r="M73" s="214" t="s">
        <v>1039</v>
      </c>
      <c r="N73" s="214">
        <v>2037</v>
      </c>
      <c r="O73" s="287">
        <v>23.215461459279428</v>
      </c>
      <c r="X73" s="1"/>
      <c r="Y73" s="1"/>
      <c r="Z73" s="1"/>
      <c r="AA73" s="1"/>
      <c r="AB73" s="655"/>
      <c r="AC73" s="1"/>
      <c r="AD73" s="116"/>
      <c r="AL73" s="655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5"/>
      <c r="BZ73" s="656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5"/>
      <c r="DJ73" s="116"/>
    </row>
    <row r="74" spans="2:114" ht="15.75" customHeight="1" x14ac:dyDescent="0.25">
      <c r="B74" s="116"/>
      <c r="I74" s="655"/>
      <c r="K74" s="116"/>
      <c r="M74" s="214" t="s">
        <v>1039</v>
      </c>
      <c r="N74" s="214">
        <v>2040</v>
      </c>
      <c r="O74" s="287">
        <v>16.831196307035714</v>
      </c>
      <c r="X74" s="1"/>
      <c r="Y74" s="1"/>
      <c r="Z74" s="1"/>
      <c r="AA74" s="1"/>
      <c r="AB74" s="655"/>
      <c r="AC74" s="1"/>
      <c r="AD74" s="116"/>
      <c r="AL74" s="655"/>
      <c r="AM74" s="1"/>
      <c r="AO74" s="12" t="s">
        <v>1497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5"/>
      <c r="BZ74" s="656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5"/>
      <c r="DJ74" s="116"/>
    </row>
    <row r="75" spans="2:114" ht="15.75" customHeight="1" x14ac:dyDescent="0.25">
      <c r="B75" s="116"/>
      <c r="I75" s="655"/>
      <c r="K75" s="116"/>
      <c r="M75" s="214" t="s">
        <v>1039</v>
      </c>
      <c r="N75" s="214">
        <v>2043</v>
      </c>
      <c r="O75" s="287">
        <v>12.14520015893914</v>
      </c>
      <c r="X75" s="1"/>
      <c r="Y75" s="1"/>
      <c r="Z75" s="1"/>
      <c r="AA75" s="1"/>
      <c r="AB75" s="655"/>
      <c r="AC75" s="1"/>
      <c r="AD75" s="116"/>
      <c r="AL75" s="655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5"/>
      <c r="BZ75" s="656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5"/>
      <c r="DJ75" s="116"/>
    </row>
    <row r="76" spans="2:114" ht="15.75" customHeight="1" x14ac:dyDescent="0.25">
      <c r="B76" s="116"/>
      <c r="I76" s="655"/>
      <c r="K76" s="116"/>
      <c r="M76" s="214" t="s">
        <v>1039</v>
      </c>
      <c r="N76" s="214">
        <v>2045</v>
      </c>
      <c r="O76" s="287">
        <v>9.7568222406346106</v>
      </c>
      <c r="X76" s="1"/>
      <c r="Y76" s="1"/>
      <c r="Z76" s="1"/>
      <c r="AA76" s="1"/>
      <c r="AB76" s="655"/>
      <c r="AC76" s="1"/>
      <c r="AD76" s="116"/>
      <c r="AL76" s="655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5"/>
      <c r="BZ76" s="656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5"/>
      <c r="DJ76" s="116"/>
    </row>
    <row r="77" spans="2:114" ht="15.75" customHeight="1" x14ac:dyDescent="0.25">
      <c r="B77" s="116"/>
      <c r="I77" s="655"/>
      <c r="K77" s="116"/>
      <c r="M77" s="214" t="s">
        <v>1039</v>
      </c>
      <c r="N77" s="214">
        <v>2047</v>
      </c>
      <c r="O77" s="287">
        <v>7.7567559465187346</v>
      </c>
      <c r="X77" s="1"/>
      <c r="Y77" s="1"/>
      <c r="Z77" s="1"/>
      <c r="AA77" s="1"/>
      <c r="AB77" s="655"/>
      <c r="AC77" s="1"/>
      <c r="AD77" s="116"/>
      <c r="AL77" s="655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5"/>
      <c r="BZ77" s="656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5"/>
      <c r="DJ77" s="116"/>
    </row>
    <row r="78" spans="2:114" ht="15.75" customHeight="1" x14ac:dyDescent="0.25">
      <c r="B78" s="116"/>
      <c r="I78" s="655"/>
      <c r="K78" s="116"/>
      <c r="M78" s="214" t="s">
        <v>1039</v>
      </c>
      <c r="N78" s="214">
        <v>2050</v>
      </c>
      <c r="O78" s="287">
        <v>5.7455960840757854</v>
      </c>
      <c r="X78" s="1"/>
      <c r="Y78" s="1"/>
      <c r="Z78" s="1"/>
      <c r="AA78" s="1"/>
      <c r="AB78" s="655"/>
      <c r="AC78" s="1"/>
      <c r="AD78" s="116"/>
      <c r="AL78" s="655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5"/>
      <c r="BZ78" s="656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5"/>
      <c r="DJ78" s="116"/>
    </row>
    <row r="79" spans="2:114" ht="15.75" customHeight="1" x14ac:dyDescent="0.25">
      <c r="B79" s="116"/>
      <c r="I79" s="655"/>
      <c r="K79" s="116"/>
      <c r="L79" s="214" t="str">
        <f>+PROCESS!N29</f>
        <v>PROF-CAM6</v>
      </c>
      <c r="M79" s="214" t="s">
        <v>1039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5"/>
      <c r="AC79" s="1"/>
      <c r="AD79" s="116"/>
      <c r="AL79" s="655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5"/>
      <c r="BZ79" s="656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5"/>
      <c r="DJ79" s="116"/>
    </row>
    <row r="80" spans="2:114" ht="15.75" customHeight="1" x14ac:dyDescent="0.25">
      <c r="B80" s="116"/>
      <c r="I80" s="655"/>
      <c r="K80" s="116"/>
      <c r="M80" s="214" t="s">
        <v>1039</v>
      </c>
      <c r="N80" s="214">
        <v>2020</v>
      </c>
      <c r="O80" s="287">
        <v>27.835107673690871</v>
      </c>
      <c r="X80" s="1"/>
      <c r="Y80" s="1"/>
      <c r="Z80" s="1"/>
      <c r="AA80" s="1"/>
      <c r="AB80" s="655"/>
      <c r="AC80" s="1"/>
      <c r="AD80" s="116"/>
      <c r="AL80" s="655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5"/>
      <c r="BZ80" s="656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5"/>
      <c r="DJ80" s="116"/>
    </row>
    <row r="81" spans="2:114" ht="15.75" customHeight="1" x14ac:dyDescent="0.25">
      <c r="B81" s="116"/>
      <c r="I81" s="655"/>
      <c r="K81" s="116"/>
      <c r="M81" s="214" t="s">
        <v>1039</v>
      </c>
      <c r="N81" s="214">
        <v>2023</v>
      </c>
      <c r="O81" s="287">
        <v>23.993658119029163</v>
      </c>
      <c r="X81" s="1"/>
      <c r="Y81" s="1"/>
      <c r="Z81" s="1"/>
      <c r="AA81" s="1"/>
      <c r="AB81" s="655"/>
      <c r="AC81" s="1"/>
      <c r="AD81" s="116"/>
      <c r="AL81" s="655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5"/>
      <c r="BZ81" s="656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5"/>
      <c r="DJ81" s="116"/>
    </row>
    <row r="82" spans="2:114" ht="15.75" customHeight="1" x14ac:dyDescent="0.25">
      <c r="B82" s="116"/>
      <c r="I82" s="655"/>
      <c r="K82" s="116"/>
      <c r="M82" s="214" t="s">
        <v>1039</v>
      </c>
      <c r="N82" s="214">
        <v>2025</v>
      </c>
      <c r="O82" s="287">
        <v>20.274712206938659</v>
      </c>
      <c r="X82" s="1"/>
      <c r="Y82" s="1"/>
      <c r="Z82" s="1"/>
      <c r="AA82" s="1"/>
      <c r="AB82" s="655"/>
      <c r="AC82" s="1"/>
      <c r="AD82" s="116"/>
      <c r="AL82" s="655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5"/>
      <c r="BZ82" s="656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5"/>
      <c r="DJ82" s="116"/>
    </row>
    <row r="83" spans="2:114" ht="15.75" customHeight="1" x14ac:dyDescent="0.25">
      <c r="B83" s="116"/>
      <c r="I83" s="655"/>
      <c r="K83" s="116"/>
      <c r="M83" s="214" t="s">
        <v>1039</v>
      </c>
      <c r="N83" s="214">
        <v>2027</v>
      </c>
      <c r="O83" s="287">
        <v>17.1777557482433</v>
      </c>
      <c r="X83" s="1"/>
      <c r="Y83" s="1"/>
      <c r="Z83" s="1"/>
      <c r="AA83" s="1"/>
      <c r="AB83" s="655"/>
      <c r="AC83" s="1"/>
      <c r="AD83" s="116"/>
      <c r="AL83" s="655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5"/>
      <c r="BZ83" s="656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5"/>
      <c r="DJ83" s="116"/>
    </row>
    <row r="84" spans="2:114" ht="15.75" customHeight="1" x14ac:dyDescent="0.25">
      <c r="B84" s="116"/>
      <c r="I84" s="655"/>
      <c r="K84" s="116"/>
      <c r="M84" s="214" t="s">
        <v>1039</v>
      </c>
      <c r="N84" s="214">
        <v>2030</v>
      </c>
      <c r="O84" s="287">
        <v>12.747595139993381</v>
      </c>
      <c r="X84" s="1"/>
      <c r="Y84" s="1"/>
      <c r="Z84" s="1"/>
      <c r="AA84" s="1"/>
      <c r="AB84" s="655"/>
      <c r="AC84" s="1"/>
      <c r="AD84" s="116"/>
      <c r="AL84" s="655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5"/>
      <c r="BZ84" s="656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5"/>
      <c r="DJ84" s="116"/>
    </row>
    <row r="85" spans="2:114" ht="15.75" customHeight="1" x14ac:dyDescent="0.25">
      <c r="B85" s="116"/>
      <c r="I85" s="655"/>
      <c r="K85" s="116"/>
      <c r="M85" s="214" t="s">
        <v>1039</v>
      </c>
      <c r="N85" s="214">
        <v>2033</v>
      </c>
      <c r="O85" s="287">
        <v>10.454848192395344</v>
      </c>
      <c r="X85" s="1"/>
      <c r="Y85" s="1"/>
      <c r="Z85" s="1"/>
      <c r="AA85" s="1"/>
      <c r="AB85" s="655"/>
      <c r="AC85" s="1"/>
      <c r="AD85" s="116"/>
      <c r="AL85" s="655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5"/>
      <c r="BZ85" s="656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5"/>
      <c r="DJ85" s="116"/>
    </row>
    <row r="86" spans="2:114" ht="15.75" customHeight="1" x14ac:dyDescent="0.25">
      <c r="B86" s="116"/>
      <c r="I86" s="655"/>
      <c r="K86" s="116"/>
      <c r="M86" s="214" t="s">
        <v>1039</v>
      </c>
      <c r="N86" s="214">
        <v>2035</v>
      </c>
      <c r="O86" s="287">
        <v>8.9263502273299657</v>
      </c>
      <c r="X86" s="1"/>
      <c r="Y86" s="1"/>
      <c r="Z86" s="1"/>
      <c r="AA86" s="1"/>
      <c r="AB86" s="655"/>
      <c r="AC86" s="1"/>
      <c r="AD86" s="116"/>
      <c r="AL86" s="655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5"/>
      <c r="BZ86" s="656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5"/>
      <c r="DJ86" s="116"/>
    </row>
    <row r="87" spans="2:114" ht="15.75" customHeight="1" x14ac:dyDescent="0.25">
      <c r="B87" s="116"/>
      <c r="I87" s="655"/>
      <c r="K87" s="116"/>
      <c r="M87" s="214" t="s">
        <v>1039</v>
      </c>
      <c r="N87" s="214">
        <v>2037</v>
      </c>
      <c r="O87" s="287">
        <v>7.8276051073700268</v>
      </c>
      <c r="X87" s="1"/>
      <c r="Y87" s="1"/>
      <c r="Z87" s="1"/>
      <c r="AA87" s="1"/>
      <c r="AB87" s="655"/>
      <c r="AC87" s="1"/>
      <c r="AD87" s="116"/>
      <c r="AL87" s="655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5"/>
      <c r="BZ87" s="656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5"/>
      <c r="DJ87" s="116"/>
    </row>
    <row r="88" spans="2:114" ht="15.75" customHeight="1" x14ac:dyDescent="0.25">
      <c r="B88" s="116"/>
      <c r="I88" s="655"/>
      <c r="K88" s="116"/>
      <c r="M88" s="214" t="s">
        <v>1039</v>
      </c>
      <c r="N88" s="214">
        <v>2040</v>
      </c>
      <c r="O88" s="287">
        <v>6.2430911328234622</v>
      </c>
      <c r="X88" s="1"/>
      <c r="Y88" s="1"/>
      <c r="Z88" s="1"/>
      <c r="AA88" s="1"/>
      <c r="AB88" s="655"/>
      <c r="AC88" s="1"/>
      <c r="AD88" s="116"/>
      <c r="AL88" s="655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5"/>
      <c r="BZ88" s="656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5"/>
      <c r="DJ88" s="116"/>
    </row>
    <row r="89" spans="2:114" ht="15.75" customHeight="1" x14ac:dyDescent="0.25">
      <c r="B89" s="116"/>
      <c r="I89" s="655"/>
      <c r="K89" s="116"/>
      <c r="M89" s="214" t="s">
        <v>1039</v>
      </c>
      <c r="N89" s="214">
        <v>2043</v>
      </c>
      <c r="O89" s="287">
        <v>4.9217966700768256</v>
      </c>
      <c r="X89" s="1"/>
      <c r="Y89" s="1"/>
      <c r="Z89" s="1"/>
      <c r="AA89" s="1"/>
      <c r="AB89" s="655"/>
      <c r="AC89" s="1"/>
      <c r="AD89" s="116"/>
      <c r="AL89" s="655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5"/>
      <c r="BZ89" s="656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5"/>
      <c r="DJ89" s="116"/>
    </row>
    <row r="90" spans="2:114" ht="15.75" customHeight="1" x14ac:dyDescent="0.25">
      <c r="B90" s="116"/>
      <c r="I90" s="655"/>
      <c r="K90" s="116"/>
      <c r="M90" s="214" t="s">
        <v>1039</v>
      </c>
      <c r="N90" s="214">
        <v>2045</v>
      </c>
      <c r="O90" s="287">
        <v>4.3266071106673554</v>
      </c>
      <c r="X90" s="1"/>
      <c r="Y90" s="1"/>
      <c r="Z90" s="1"/>
      <c r="AA90" s="1"/>
      <c r="AB90" s="655"/>
      <c r="AC90" s="1"/>
      <c r="AD90" s="116"/>
      <c r="AL90" s="655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5"/>
      <c r="BZ90" s="656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5"/>
      <c r="DJ90" s="116"/>
    </row>
    <row r="91" spans="2:114" ht="15.75" customHeight="1" x14ac:dyDescent="0.25">
      <c r="B91" s="116"/>
      <c r="I91" s="655"/>
      <c r="K91" s="116"/>
      <c r="M91" s="214" t="s">
        <v>1039</v>
      </c>
      <c r="N91" s="214">
        <v>2047</v>
      </c>
      <c r="O91" s="287">
        <v>3.9981896052775259</v>
      </c>
      <c r="X91" s="1"/>
      <c r="Y91" s="1"/>
      <c r="Z91" s="1"/>
      <c r="AA91" s="1"/>
      <c r="AB91" s="655"/>
      <c r="AC91" s="1"/>
      <c r="AD91" s="116"/>
      <c r="AL91" s="655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5"/>
      <c r="BZ91" s="656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5"/>
      <c r="DJ91" s="116"/>
    </row>
    <row r="92" spans="2:114" ht="15.75" customHeight="1" x14ac:dyDescent="0.25">
      <c r="B92" s="116"/>
      <c r="I92" s="655"/>
      <c r="K92" s="116"/>
      <c r="M92" s="214" t="s">
        <v>1039</v>
      </c>
      <c r="N92" s="214">
        <v>2050</v>
      </c>
      <c r="O92" s="287">
        <v>3.5055633471927838</v>
      </c>
      <c r="X92" s="1"/>
      <c r="Y92" s="1"/>
      <c r="Z92" s="1"/>
      <c r="AA92" s="1"/>
      <c r="AB92" s="655"/>
      <c r="AC92" s="1"/>
      <c r="AD92" s="116"/>
      <c r="AL92" s="655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5"/>
      <c r="BZ92" s="656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5"/>
      <c r="DJ92" s="116"/>
    </row>
    <row r="93" spans="2:114" ht="15.75" customHeight="1" x14ac:dyDescent="0.25">
      <c r="B93" s="116"/>
      <c r="I93" s="655"/>
      <c r="K93" s="116"/>
      <c r="L93" s="214" t="str">
        <f>+PROCESS!N30</f>
        <v>PROF-CAM7</v>
      </c>
      <c r="M93" s="214" t="s">
        <v>1039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5"/>
      <c r="AC93" s="1"/>
      <c r="AD93" s="116"/>
      <c r="AL93" s="655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5"/>
      <c r="BZ93" s="656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5"/>
      <c r="DJ93" s="116"/>
    </row>
    <row r="94" spans="2:114" ht="15.75" customHeight="1" x14ac:dyDescent="0.25">
      <c r="B94" s="116"/>
      <c r="I94" s="655"/>
      <c r="K94" s="116"/>
      <c r="M94" s="214" t="s">
        <v>1039</v>
      </c>
      <c r="N94" s="214">
        <v>2020</v>
      </c>
      <c r="O94" s="274">
        <v>13.555017760421741</v>
      </c>
      <c r="X94" s="1"/>
      <c r="Y94" s="1"/>
      <c r="Z94" s="1"/>
      <c r="AA94" s="1"/>
      <c r="AB94" s="655"/>
      <c r="AC94" s="1"/>
      <c r="AD94" s="116"/>
      <c r="AL94" s="655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5"/>
      <c r="BZ94" s="656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5"/>
      <c r="DJ94" s="116"/>
    </row>
    <row r="95" spans="2:114" ht="15.75" customHeight="1" x14ac:dyDescent="0.25">
      <c r="B95" s="116"/>
      <c r="I95" s="655"/>
      <c r="K95" s="116"/>
      <c r="M95" s="214" t="s">
        <v>1039</v>
      </c>
      <c r="N95" s="214">
        <v>2023</v>
      </c>
      <c r="O95" s="274">
        <v>13.580367821962039</v>
      </c>
      <c r="X95" s="1"/>
      <c r="Y95" s="1"/>
      <c r="Z95" s="1"/>
      <c r="AA95" s="1"/>
      <c r="AB95" s="655"/>
      <c r="AC95" s="1"/>
      <c r="AD95" s="116"/>
      <c r="AL95" s="655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5"/>
      <c r="BZ95" s="656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5"/>
      <c r="DJ95" s="116"/>
    </row>
    <row r="96" spans="2:114" ht="15.75" customHeight="1" x14ac:dyDescent="0.25">
      <c r="B96" s="116"/>
      <c r="I96" s="655"/>
      <c r="K96" s="116"/>
      <c r="M96" s="214" t="s">
        <v>1039</v>
      </c>
      <c r="N96" s="214">
        <v>2025</v>
      </c>
      <c r="O96" s="274">
        <v>11.513307662146612</v>
      </c>
      <c r="X96" s="1"/>
      <c r="Y96" s="1"/>
      <c r="Z96" s="1"/>
      <c r="AA96" s="1"/>
      <c r="AB96" s="655"/>
      <c r="AC96" s="1"/>
      <c r="AD96" s="116"/>
      <c r="AL96" s="655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5"/>
      <c r="BZ96" s="656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5"/>
      <c r="DJ96" s="116"/>
    </row>
    <row r="97" spans="2:114" ht="15.75" customHeight="1" x14ac:dyDescent="0.25">
      <c r="B97" s="116"/>
      <c r="I97" s="655"/>
      <c r="K97" s="116"/>
      <c r="M97" s="214" t="s">
        <v>1039</v>
      </c>
      <c r="N97" s="214">
        <v>2027</v>
      </c>
      <c r="O97" s="274">
        <v>9.8123614879947141</v>
      </c>
      <c r="X97" s="1"/>
      <c r="Y97" s="1"/>
      <c r="Z97" s="1"/>
      <c r="AA97" s="1"/>
      <c r="AB97" s="655"/>
      <c r="AC97" s="1"/>
      <c r="AD97" s="116"/>
      <c r="AL97" s="655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5"/>
      <c r="BZ97" s="656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5"/>
      <c r="DJ97" s="116"/>
    </row>
    <row r="98" spans="2:114" ht="15.75" customHeight="1" x14ac:dyDescent="0.25">
      <c r="B98" s="116"/>
      <c r="I98" s="655"/>
      <c r="K98" s="116"/>
      <c r="M98" s="214" t="s">
        <v>1039</v>
      </c>
      <c r="N98" s="214">
        <v>2030</v>
      </c>
      <c r="O98" s="274">
        <v>7.6975094726589486</v>
      </c>
      <c r="X98" s="1"/>
      <c r="Y98" s="1"/>
      <c r="Z98" s="1"/>
      <c r="AA98" s="1"/>
      <c r="AB98" s="655"/>
      <c r="AC98" s="1"/>
      <c r="AD98" s="116"/>
      <c r="AL98" s="655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5"/>
      <c r="BZ98" s="656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5"/>
      <c r="DJ98" s="116"/>
    </row>
    <row r="99" spans="2:114" ht="15.75" customHeight="1" x14ac:dyDescent="0.25">
      <c r="B99" s="116"/>
      <c r="I99" s="655"/>
      <c r="K99" s="116"/>
      <c r="M99" s="214" t="s">
        <v>1039</v>
      </c>
      <c r="N99" s="214">
        <v>2033</v>
      </c>
      <c r="O99" s="274">
        <v>6.213889795624481</v>
      </c>
      <c r="X99" s="1"/>
      <c r="Y99" s="1"/>
      <c r="Z99" s="1"/>
      <c r="AA99" s="1"/>
      <c r="AB99" s="655"/>
      <c r="AC99" s="1"/>
      <c r="AD99" s="116"/>
      <c r="AL99" s="655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5"/>
      <c r="BZ99" s="656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5"/>
      <c r="DJ99" s="116"/>
    </row>
    <row r="100" spans="2:114" ht="15.75" customHeight="1" x14ac:dyDescent="0.25">
      <c r="B100" s="116"/>
      <c r="I100" s="655"/>
      <c r="K100" s="116"/>
      <c r="M100" s="214" t="s">
        <v>1039</v>
      </c>
      <c r="N100" s="214">
        <v>2035</v>
      </c>
      <c r="O100" s="274">
        <v>5.3187837596252985</v>
      </c>
      <c r="X100" s="1"/>
      <c r="Y100" s="1"/>
      <c r="Z100" s="1"/>
      <c r="AA100" s="1"/>
      <c r="AB100" s="655"/>
      <c r="AC100" s="1"/>
      <c r="AD100" s="116"/>
      <c r="AL100" s="655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5"/>
      <c r="BZ100" s="656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5"/>
      <c r="DJ100" s="116"/>
    </row>
    <row r="101" spans="2:114" ht="15.75" customHeight="1" x14ac:dyDescent="0.25">
      <c r="B101" s="116"/>
      <c r="I101" s="655"/>
      <c r="K101" s="116"/>
      <c r="M101" s="214" t="s">
        <v>1039</v>
      </c>
      <c r="N101" s="214">
        <v>2037</v>
      </c>
      <c r="O101" s="274">
        <v>4.5635467610294596</v>
      </c>
      <c r="X101" s="1"/>
      <c r="Y101" s="1"/>
      <c r="Z101" s="1"/>
      <c r="AA101" s="1"/>
      <c r="AB101" s="655"/>
      <c r="AC101" s="1"/>
      <c r="AD101" s="116"/>
      <c r="AL101" s="655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5"/>
      <c r="BZ101" s="656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5"/>
      <c r="DJ101" s="116"/>
    </row>
    <row r="102" spans="2:114" ht="15.75" customHeight="1" x14ac:dyDescent="0.25">
      <c r="B102" s="116"/>
      <c r="I102" s="655"/>
      <c r="K102" s="116"/>
      <c r="M102" s="214" t="s">
        <v>1039</v>
      </c>
      <c r="N102" s="214">
        <v>2040</v>
      </c>
      <c r="O102" s="274">
        <v>3.6682050453013875</v>
      </c>
      <c r="X102" s="1"/>
      <c r="Y102" s="1"/>
      <c r="Z102" s="1"/>
      <c r="AA102" s="1"/>
      <c r="AB102" s="655"/>
      <c r="AC102" s="1"/>
      <c r="AD102" s="116"/>
      <c r="AL102" s="655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5"/>
      <c r="BZ102" s="656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5"/>
      <c r="DJ102" s="116"/>
    </row>
    <row r="103" spans="2:114" ht="15.75" customHeight="1" x14ac:dyDescent="0.25">
      <c r="B103" s="116"/>
      <c r="I103" s="655"/>
      <c r="K103" s="116"/>
      <c r="M103" s="214" t="s">
        <v>1039</v>
      </c>
      <c r="N103" s="214">
        <v>2043</v>
      </c>
      <c r="O103" s="274">
        <v>2.8293262902704885</v>
      </c>
      <c r="X103" s="1"/>
      <c r="Y103" s="1"/>
      <c r="Z103" s="1"/>
      <c r="AA103" s="1"/>
      <c r="AB103" s="655"/>
      <c r="AC103" s="1"/>
      <c r="AD103" s="116"/>
      <c r="AL103" s="655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5"/>
      <c r="BZ103" s="656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5"/>
      <c r="DJ103" s="116"/>
    </row>
    <row r="104" spans="2:114" ht="15.75" customHeight="1" x14ac:dyDescent="0.25">
      <c r="B104" s="116"/>
      <c r="I104" s="655"/>
      <c r="K104" s="116"/>
      <c r="M104" s="214" t="s">
        <v>1039</v>
      </c>
      <c r="N104" s="214">
        <v>2045</v>
      </c>
      <c r="O104" s="274">
        <v>2.286975390331242</v>
      </c>
      <c r="X104" s="1"/>
      <c r="Y104" s="1"/>
      <c r="Z104" s="1"/>
      <c r="AA104" s="1"/>
      <c r="AB104" s="655"/>
      <c r="AC104" s="1"/>
      <c r="AD104" s="116"/>
      <c r="AL104" s="655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5"/>
      <c r="BZ104" s="656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5"/>
      <c r="DJ104" s="116"/>
    </row>
    <row r="105" spans="2:114" ht="15.75" customHeight="1" x14ac:dyDescent="0.25">
      <c r="B105" s="116"/>
      <c r="I105" s="655"/>
      <c r="K105" s="116"/>
      <c r="M105" s="214" t="s">
        <v>1039</v>
      </c>
      <c r="N105" s="214">
        <v>2047</v>
      </c>
      <c r="O105" s="274">
        <v>1.7612347432495417</v>
      </c>
      <c r="X105" s="1"/>
      <c r="Y105" s="1"/>
      <c r="Z105" s="1"/>
      <c r="AA105" s="1"/>
      <c r="AB105" s="655"/>
      <c r="AC105" s="1"/>
      <c r="AD105" s="116"/>
      <c r="AL105" s="655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5"/>
      <c r="BZ105" s="656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5"/>
      <c r="DJ105" s="116"/>
    </row>
    <row r="106" spans="2:114" ht="15.75" customHeight="1" x14ac:dyDescent="0.25">
      <c r="B106" s="116"/>
      <c r="I106" s="655"/>
      <c r="K106" s="116"/>
      <c r="M106" s="214" t="s">
        <v>1039</v>
      </c>
      <c r="N106" s="214">
        <v>2050</v>
      </c>
      <c r="O106" s="274">
        <v>0.97262377262695476</v>
      </c>
      <c r="X106" s="1"/>
      <c r="Y106" s="1"/>
      <c r="Z106" s="1"/>
      <c r="AA106" s="1"/>
      <c r="AB106" s="655"/>
      <c r="AC106" s="1"/>
      <c r="AD106" s="116"/>
      <c r="AL106" s="655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5"/>
      <c r="BZ106" s="656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5"/>
      <c r="DJ106" s="116"/>
    </row>
    <row r="107" spans="2:114" ht="15.75" customHeight="1" x14ac:dyDescent="0.25">
      <c r="B107" s="116"/>
      <c r="I107" s="655"/>
      <c r="K107" s="116"/>
      <c r="X107" s="1"/>
      <c r="Y107" s="1"/>
      <c r="Z107" s="1"/>
      <c r="AA107" s="1"/>
      <c r="AB107" s="655"/>
      <c r="AC107" s="1"/>
      <c r="AD107" s="116"/>
      <c r="AL107" s="655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5"/>
      <c r="BZ107" s="656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5"/>
      <c r="DJ107" s="116"/>
    </row>
    <row r="108" spans="2:114" ht="15.75" customHeight="1" x14ac:dyDescent="0.25">
      <c r="B108" s="116"/>
      <c r="I108" s="655"/>
      <c r="K108" s="116"/>
      <c r="X108" s="1"/>
      <c r="Y108" s="1"/>
      <c r="Z108" s="1"/>
      <c r="AA108" s="1"/>
      <c r="AB108" s="655"/>
      <c r="AC108" s="1"/>
      <c r="AD108" s="116"/>
      <c r="AL108" s="655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5"/>
      <c r="BZ108" s="656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5"/>
      <c r="DJ108" s="116"/>
    </row>
    <row r="109" spans="2:114" ht="15.75" customHeight="1" x14ac:dyDescent="0.25">
      <c r="B109" s="116"/>
      <c r="I109" s="655"/>
      <c r="K109" s="116"/>
      <c r="X109" s="1"/>
      <c r="Y109" s="1"/>
      <c r="Z109" s="1"/>
      <c r="AA109" s="1"/>
      <c r="AB109" s="655"/>
      <c r="AC109" s="1"/>
      <c r="AD109" s="116"/>
      <c r="AL109" s="655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5"/>
      <c r="BZ109" s="656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5"/>
      <c r="DJ109" s="116"/>
    </row>
    <row r="110" spans="2:114" ht="15.75" customHeight="1" x14ac:dyDescent="0.25">
      <c r="B110" s="116"/>
      <c r="I110" s="655"/>
      <c r="K110" s="116"/>
      <c r="X110" s="1"/>
      <c r="Y110" s="1"/>
      <c r="Z110" s="1"/>
      <c r="AA110" s="1"/>
      <c r="AB110" s="655"/>
      <c r="AC110" s="1"/>
      <c r="AD110" s="116"/>
      <c r="AL110" s="655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5"/>
      <c r="BZ110" s="656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5"/>
      <c r="DJ110" s="116"/>
    </row>
    <row r="111" spans="2:114" ht="15.75" customHeight="1" x14ac:dyDescent="0.25">
      <c r="B111" s="116"/>
      <c r="I111" s="655"/>
      <c r="K111" s="116"/>
      <c r="X111" s="1"/>
      <c r="Y111" s="1"/>
      <c r="Z111" s="1"/>
      <c r="AA111" s="1"/>
      <c r="AB111" s="655"/>
      <c r="AC111" s="1"/>
      <c r="AD111" s="116"/>
      <c r="AL111" s="655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5"/>
      <c r="BZ111" s="656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5"/>
      <c r="DJ111" s="116"/>
    </row>
    <row r="112" spans="2:114" ht="15.75" customHeight="1" x14ac:dyDescent="0.25">
      <c r="B112" s="116"/>
      <c r="I112" s="655"/>
      <c r="K112" s="116"/>
      <c r="X112" s="1"/>
      <c r="Y112" s="1"/>
      <c r="Z112" s="1"/>
      <c r="AA112" s="1"/>
      <c r="AB112" s="655"/>
      <c r="AC112" s="1"/>
      <c r="AD112" s="116"/>
      <c r="AL112" s="655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5"/>
      <c r="BZ112" s="656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5"/>
      <c r="DJ112" s="116"/>
    </row>
    <row r="113" spans="2:114" ht="15.75" customHeight="1" x14ac:dyDescent="0.25">
      <c r="B113" s="116"/>
      <c r="I113" s="655"/>
      <c r="K113" s="116"/>
      <c r="X113" s="1"/>
      <c r="Y113" s="1"/>
      <c r="Z113" s="1"/>
      <c r="AA113" s="1"/>
      <c r="AB113" s="655"/>
      <c r="AC113" s="1"/>
      <c r="AD113" s="116"/>
      <c r="AL113" s="655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5"/>
      <c r="BZ113" s="656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5"/>
      <c r="DJ113" s="116"/>
    </row>
    <row r="114" spans="2:114" ht="15.75" customHeight="1" x14ac:dyDescent="0.25">
      <c r="B114" s="116"/>
      <c r="I114" s="655"/>
      <c r="K114" s="116"/>
      <c r="X114" s="1"/>
      <c r="Y114" s="1"/>
      <c r="Z114" s="1"/>
      <c r="AA114" s="1"/>
      <c r="AB114" s="655"/>
      <c r="AC114" s="1"/>
      <c r="AD114" s="116"/>
      <c r="AL114" s="655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5"/>
      <c r="BZ114" s="656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5"/>
      <c r="DJ114" s="116"/>
    </row>
    <row r="115" spans="2:114" ht="15.75" customHeight="1" x14ac:dyDescent="0.25">
      <c r="B115" s="116"/>
      <c r="I115" s="655"/>
      <c r="K115" s="116"/>
      <c r="X115" s="1"/>
      <c r="Y115" s="1"/>
      <c r="Z115" s="1"/>
      <c r="AA115" s="1"/>
      <c r="AB115" s="655"/>
      <c r="AC115" s="1"/>
      <c r="AD115" s="116"/>
      <c r="AL115" s="655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5"/>
      <c r="BZ115" s="656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5"/>
      <c r="DJ115" s="116"/>
    </row>
    <row r="116" spans="2:114" ht="15.75" customHeight="1" x14ac:dyDescent="0.25">
      <c r="B116" s="116"/>
      <c r="I116" s="655"/>
      <c r="K116" s="116"/>
      <c r="X116" s="1"/>
      <c r="Y116" s="1"/>
      <c r="Z116" s="1"/>
      <c r="AA116" s="1"/>
      <c r="AB116" s="655"/>
      <c r="AC116" s="1"/>
      <c r="AD116" s="116"/>
      <c r="AL116" s="655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5"/>
      <c r="BZ116" s="656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5"/>
      <c r="DJ116" s="116"/>
    </row>
    <row r="117" spans="2:114" ht="15.75" customHeight="1" x14ac:dyDescent="0.25">
      <c r="B117" s="116"/>
      <c r="I117" s="655"/>
      <c r="K117" s="116"/>
      <c r="X117" s="1"/>
      <c r="Y117" s="1"/>
      <c r="Z117" s="1"/>
      <c r="AA117" s="1"/>
      <c r="AB117" s="655"/>
      <c r="AC117" s="1"/>
      <c r="AD117" s="116"/>
      <c r="AL117" s="655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5"/>
      <c r="BZ117" s="656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5"/>
      <c r="DJ117" s="116"/>
    </row>
    <row r="118" spans="2:114" ht="15.75" customHeight="1" x14ac:dyDescent="0.25">
      <c r="B118" s="116"/>
      <c r="I118" s="655"/>
      <c r="K118" s="116"/>
      <c r="X118" s="1"/>
      <c r="Y118" s="1"/>
      <c r="Z118" s="1"/>
      <c r="AA118" s="1"/>
      <c r="AB118" s="655"/>
      <c r="AC118" s="1"/>
      <c r="AD118" s="116"/>
      <c r="AL118" s="655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5"/>
      <c r="BZ118" s="656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5"/>
      <c r="DJ118" s="116"/>
    </row>
    <row r="119" spans="2:114" ht="15.75" customHeight="1" x14ac:dyDescent="0.25">
      <c r="B119" s="116"/>
      <c r="I119" s="655"/>
      <c r="K119" s="116"/>
      <c r="X119" s="1"/>
      <c r="Y119" s="1"/>
      <c r="Z119" s="1"/>
      <c r="AA119" s="1"/>
      <c r="AB119" s="655"/>
      <c r="AC119" s="1"/>
      <c r="AD119" s="116"/>
      <c r="AL119" s="655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5"/>
      <c r="BZ119" s="656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5"/>
      <c r="DJ119" s="116"/>
    </row>
    <row r="120" spans="2:114" ht="15.75" customHeight="1" x14ac:dyDescent="0.25">
      <c r="B120" s="116"/>
      <c r="I120" s="655"/>
      <c r="K120" s="116"/>
      <c r="X120" s="1"/>
      <c r="Y120" s="1"/>
      <c r="Z120" s="1"/>
      <c r="AA120" s="1"/>
      <c r="AB120" s="655"/>
      <c r="AC120" s="1"/>
      <c r="AD120" s="116"/>
      <c r="AL120" s="655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5"/>
      <c r="BZ120" s="656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5"/>
      <c r="DJ120" s="116"/>
    </row>
    <row r="121" spans="2:114" ht="15.75" customHeight="1" x14ac:dyDescent="0.25">
      <c r="B121" s="116"/>
      <c r="I121" s="655"/>
      <c r="K121" s="116"/>
      <c r="X121" s="1"/>
      <c r="Y121" s="1"/>
      <c r="Z121" s="1"/>
      <c r="AA121" s="1"/>
      <c r="AB121" s="655"/>
      <c r="AC121" s="1"/>
      <c r="AD121" s="116"/>
      <c r="AL121" s="655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5"/>
      <c r="BZ121" s="656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5"/>
      <c r="DJ121" s="116"/>
    </row>
    <row r="122" spans="2:114" ht="15.75" customHeight="1" x14ac:dyDescent="0.25">
      <c r="B122" s="116"/>
      <c r="I122" s="655"/>
      <c r="K122" s="116"/>
      <c r="X122" s="1"/>
      <c r="Y122" s="1"/>
      <c r="Z122" s="1"/>
      <c r="AA122" s="1"/>
      <c r="AB122" s="655"/>
      <c r="AC122" s="1"/>
      <c r="AD122" s="116"/>
      <c r="AL122" s="655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5"/>
      <c r="BZ122" s="656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5"/>
      <c r="DJ122" s="116"/>
    </row>
    <row r="123" spans="2:114" ht="15.75" customHeight="1" x14ac:dyDescent="0.25">
      <c r="B123" s="116"/>
      <c r="I123" s="655"/>
      <c r="K123" s="116"/>
      <c r="X123" s="1"/>
      <c r="Y123" s="1"/>
      <c r="Z123" s="1"/>
      <c r="AA123" s="1"/>
      <c r="AB123" s="655"/>
      <c r="AC123" s="1"/>
      <c r="AD123" s="116"/>
      <c r="AL123" s="655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5"/>
      <c r="BZ123" s="656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5"/>
      <c r="DJ123" s="116"/>
    </row>
    <row r="124" spans="2:114" ht="15.75" customHeight="1" x14ac:dyDescent="0.25">
      <c r="B124" s="116"/>
      <c r="I124" s="655"/>
      <c r="K124" s="116"/>
      <c r="X124" s="1"/>
      <c r="Y124" s="1"/>
      <c r="Z124" s="1"/>
      <c r="AA124" s="1"/>
      <c r="AB124" s="655"/>
      <c r="AC124" s="1"/>
      <c r="AD124" s="116"/>
      <c r="AL124" s="655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5"/>
      <c r="BZ124" s="656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5"/>
      <c r="DJ124" s="116"/>
    </row>
    <row r="125" spans="2:114" ht="15.75" customHeight="1" x14ac:dyDescent="0.25">
      <c r="B125" s="116"/>
      <c r="I125" s="655"/>
      <c r="K125" s="116"/>
      <c r="X125" s="1"/>
      <c r="Y125" s="1"/>
      <c r="Z125" s="1"/>
      <c r="AA125" s="1"/>
      <c r="AB125" s="655"/>
      <c r="AC125" s="1"/>
      <c r="AD125" s="116"/>
      <c r="AL125" s="655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5"/>
      <c r="BZ125" s="656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5"/>
      <c r="DJ125" s="116"/>
    </row>
    <row r="126" spans="2:114" ht="15.75" customHeight="1" x14ac:dyDescent="0.25">
      <c r="B126" s="116"/>
      <c r="I126" s="655"/>
      <c r="K126" s="116"/>
      <c r="X126" s="1"/>
      <c r="Y126" s="1"/>
      <c r="Z126" s="1"/>
      <c r="AA126" s="1"/>
      <c r="AB126" s="655"/>
      <c r="AC126" s="1"/>
      <c r="AD126" s="116"/>
      <c r="AL126" s="655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5"/>
      <c r="BZ126" s="656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5"/>
      <c r="DJ126" s="116"/>
    </row>
    <row r="127" spans="2:114" ht="15.75" customHeight="1" x14ac:dyDescent="0.25">
      <c r="B127" s="116"/>
      <c r="I127" s="655"/>
      <c r="K127" s="116"/>
      <c r="X127" s="1"/>
      <c r="Y127" s="1"/>
      <c r="Z127" s="1"/>
      <c r="AA127" s="1"/>
      <c r="AB127" s="655"/>
      <c r="AC127" s="1"/>
      <c r="AD127" s="116"/>
      <c r="AL127" s="655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5"/>
      <c r="BZ127" s="656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5"/>
      <c r="DJ127" s="116"/>
    </row>
    <row r="128" spans="2:114" ht="15.75" customHeight="1" x14ac:dyDescent="0.25">
      <c r="B128" s="116"/>
      <c r="I128" s="655"/>
      <c r="K128" s="116"/>
      <c r="X128" s="1"/>
      <c r="Y128" s="1"/>
      <c r="Z128" s="1"/>
      <c r="AA128" s="1"/>
      <c r="AB128" s="655"/>
      <c r="AC128" s="1"/>
      <c r="AD128" s="116"/>
      <c r="AL128" s="655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5"/>
      <c r="BZ128" s="656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5"/>
      <c r="DJ128" s="116"/>
    </row>
    <row r="129" spans="2:114" ht="15.75" customHeight="1" x14ac:dyDescent="0.25">
      <c r="B129" s="116"/>
      <c r="I129" s="655"/>
      <c r="K129" s="116"/>
      <c r="X129" s="1"/>
      <c r="Y129" s="1"/>
      <c r="Z129" s="1"/>
      <c r="AA129" s="1"/>
      <c r="AB129" s="655"/>
      <c r="AC129" s="1"/>
      <c r="AD129" s="116"/>
      <c r="AL129" s="655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5"/>
      <c r="BZ129" s="656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5"/>
      <c r="DJ129" s="116"/>
    </row>
    <row r="130" spans="2:114" ht="15.75" customHeight="1" x14ac:dyDescent="0.25">
      <c r="B130" s="116"/>
      <c r="I130" s="655"/>
      <c r="K130" s="116"/>
      <c r="N130" s="306"/>
      <c r="O130" s="306" t="s">
        <v>1498</v>
      </c>
      <c r="X130" s="1"/>
      <c r="Y130" s="1"/>
      <c r="Z130" s="1"/>
      <c r="AA130" s="1"/>
      <c r="AB130" s="655"/>
      <c r="AC130" s="1"/>
      <c r="AD130" s="116"/>
      <c r="AL130" s="655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5"/>
      <c r="BZ130" s="656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5"/>
      <c r="DJ130" s="116"/>
    </row>
    <row r="131" spans="2:114" ht="15.75" customHeight="1" x14ac:dyDescent="0.25">
      <c r="B131" s="116"/>
      <c r="I131" s="655"/>
      <c r="K131" s="116"/>
      <c r="X131" s="1"/>
      <c r="Y131" s="1"/>
      <c r="Z131" s="1"/>
      <c r="AA131" s="1"/>
      <c r="AB131" s="655"/>
      <c r="AC131" s="1"/>
      <c r="AD131" s="116"/>
      <c r="AL131" s="655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5"/>
      <c r="BZ131" s="656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5"/>
      <c r="DJ131" s="116"/>
    </row>
    <row r="132" spans="2:114" ht="15.75" customHeight="1" x14ac:dyDescent="0.25">
      <c r="B132" s="116"/>
      <c r="I132" s="655"/>
      <c r="K132" s="116"/>
      <c r="X132" s="1"/>
      <c r="Y132" s="1"/>
      <c r="Z132" s="1"/>
      <c r="AA132" s="1"/>
      <c r="AB132" s="655"/>
      <c r="AC132" s="1"/>
      <c r="AD132" s="116"/>
      <c r="AL132" s="655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5"/>
      <c r="BZ132" s="656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5"/>
      <c r="DJ132" s="116"/>
    </row>
    <row r="133" spans="2:114" ht="15.75" customHeight="1" x14ac:dyDescent="0.25">
      <c r="B133" s="116"/>
      <c r="I133" s="655"/>
      <c r="K133" s="116"/>
      <c r="X133" s="1"/>
      <c r="Y133" s="1"/>
      <c r="Z133" s="1"/>
      <c r="AA133" s="1"/>
      <c r="AB133" s="655"/>
      <c r="AC133" s="1"/>
      <c r="AD133" s="116"/>
      <c r="AL133" s="655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5"/>
      <c r="BZ133" s="656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5"/>
      <c r="DJ133" s="116"/>
    </row>
    <row r="134" spans="2:114" ht="15.75" customHeight="1" x14ac:dyDescent="0.25">
      <c r="B134" s="116"/>
      <c r="I134" s="655"/>
      <c r="K134" s="116"/>
      <c r="X134" s="1"/>
      <c r="Y134" s="1"/>
      <c r="Z134" s="1"/>
      <c r="AA134" s="1"/>
      <c r="AB134" s="655"/>
      <c r="AC134" s="1"/>
      <c r="AD134" s="116"/>
      <c r="AL134" s="655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5"/>
      <c r="BZ134" s="656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5"/>
      <c r="DJ134" s="116"/>
    </row>
    <row r="135" spans="2:114" ht="15.75" customHeight="1" x14ac:dyDescent="0.25">
      <c r="B135" s="116"/>
      <c r="I135" s="655"/>
      <c r="K135" s="116"/>
      <c r="X135" s="1"/>
      <c r="Y135" s="1"/>
      <c r="Z135" s="1"/>
      <c r="AA135" s="1"/>
      <c r="AB135" s="655"/>
      <c r="AC135" s="1"/>
      <c r="AD135" s="116"/>
      <c r="AL135" s="655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5"/>
      <c r="BZ135" s="656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5"/>
      <c r="DJ135" s="116"/>
    </row>
    <row r="136" spans="2:114" ht="15.75" customHeight="1" x14ac:dyDescent="0.25">
      <c r="B136" s="116"/>
      <c r="I136" s="655"/>
      <c r="K136" s="116"/>
      <c r="X136" s="1"/>
      <c r="Y136" s="1"/>
      <c r="Z136" s="1"/>
      <c r="AA136" s="1"/>
      <c r="AB136" s="655"/>
      <c r="AC136" s="1"/>
      <c r="AD136" s="116"/>
      <c r="AL136" s="655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5"/>
      <c r="BZ136" s="656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5"/>
      <c r="DJ136" s="116"/>
    </row>
    <row r="137" spans="2:114" ht="15.75" customHeight="1" x14ac:dyDescent="0.25">
      <c r="B137" s="116"/>
      <c r="I137" s="655"/>
      <c r="K137" s="116"/>
      <c r="X137" s="1"/>
      <c r="Y137" s="1"/>
      <c r="Z137" s="1"/>
      <c r="AA137" s="1"/>
      <c r="AB137" s="655"/>
      <c r="AC137" s="1"/>
      <c r="AD137" s="116"/>
      <c r="AL137" s="655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5"/>
      <c r="BZ137" s="656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5"/>
      <c r="DJ137" s="116"/>
    </row>
    <row r="138" spans="2:114" ht="15.75" customHeight="1" x14ac:dyDescent="0.25">
      <c r="B138" s="116"/>
      <c r="I138" s="655"/>
      <c r="K138" s="116"/>
      <c r="X138" s="1"/>
      <c r="Y138" s="1"/>
      <c r="Z138" s="1"/>
      <c r="AA138" s="1"/>
      <c r="AB138" s="655"/>
      <c r="AC138" s="1"/>
      <c r="AD138" s="116"/>
      <c r="AL138" s="655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5"/>
      <c r="BZ138" s="656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5"/>
      <c r="DJ138" s="116"/>
    </row>
    <row r="139" spans="2:114" ht="15.75" customHeight="1" x14ac:dyDescent="0.25">
      <c r="B139" s="116"/>
      <c r="I139" s="655"/>
      <c r="K139" s="116"/>
      <c r="X139" s="1"/>
      <c r="Y139" s="1"/>
      <c r="Z139" s="1"/>
      <c r="AA139" s="1"/>
      <c r="AB139" s="655"/>
      <c r="AC139" s="1"/>
      <c r="AD139" s="116"/>
      <c r="AL139" s="655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5"/>
      <c r="BZ139" s="656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5"/>
      <c r="DJ139" s="116"/>
    </row>
    <row r="140" spans="2:114" ht="15.75" customHeight="1" x14ac:dyDescent="0.25">
      <c r="B140" s="116"/>
      <c r="I140" s="655"/>
      <c r="K140" s="116"/>
      <c r="X140" s="1"/>
      <c r="Y140" s="1"/>
      <c r="Z140" s="1"/>
      <c r="AA140" s="1"/>
      <c r="AB140" s="655"/>
      <c r="AC140" s="1"/>
      <c r="AD140" s="116"/>
      <c r="AL140" s="655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5"/>
      <c r="BZ140" s="656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5"/>
      <c r="DJ140" s="116"/>
    </row>
    <row r="141" spans="2:114" ht="15.75" customHeight="1" x14ac:dyDescent="0.25">
      <c r="B141" s="116"/>
      <c r="I141" s="655"/>
      <c r="K141" s="116"/>
      <c r="X141" s="1"/>
      <c r="Y141" s="1"/>
      <c r="Z141" s="1"/>
      <c r="AA141" s="1"/>
      <c r="AB141" s="655"/>
      <c r="AC141" s="1"/>
      <c r="AD141" s="116"/>
      <c r="AL141" s="655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5"/>
      <c r="BZ141" s="656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5"/>
      <c r="DJ141" s="116"/>
    </row>
    <row r="142" spans="2:114" ht="15.75" customHeight="1" x14ac:dyDescent="0.25">
      <c r="B142" s="116"/>
      <c r="I142" s="655"/>
      <c r="K142" s="116"/>
      <c r="X142" s="1"/>
      <c r="Y142" s="1"/>
      <c r="Z142" s="1"/>
      <c r="AA142" s="1"/>
      <c r="AB142" s="655"/>
      <c r="AC142" s="1"/>
      <c r="AD142" s="116"/>
      <c r="AL142" s="655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5"/>
      <c r="BZ142" s="656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5"/>
      <c r="DJ142" s="116"/>
    </row>
    <row r="143" spans="2:114" ht="15.75" customHeight="1" x14ac:dyDescent="0.25">
      <c r="B143" s="116"/>
      <c r="I143" s="655"/>
      <c r="K143" s="116"/>
      <c r="X143" s="1"/>
      <c r="Y143" s="1"/>
      <c r="Z143" s="1"/>
      <c r="AA143" s="1"/>
      <c r="AB143" s="655"/>
      <c r="AC143" s="1"/>
      <c r="AD143" s="116"/>
      <c r="AL143" s="655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5"/>
      <c r="BZ143" s="656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5"/>
      <c r="DJ143" s="116"/>
    </row>
    <row r="144" spans="2:114" ht="15.75" customHeight="1" x14ac:dyDescent="0.25">
      <c r="B144" s="116"/>
      <c r="I144" s="655"/>
      <c r="K144" s="116"/>
      <c r="X144" s="1"/>
      <c r="Y144" s="1"/>
      <c r="Z144" s="1"/>
      <c r="AA144" s="1"/>
      <c r="AB144" s="655"/>
      <c r="AC144" s="1"/>
      <c r="AD144" s="116"/>
      <c r="AL144" s="655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5"/>
      <c r="BZ144" s="656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5"/>
      <c r="DJ144" s="116"/>
    </row>
    <row r="145" spans="2:114" ht="15.75" customHeight="1" x14ac:dyDescent="0.25">
      <c r="B145" s="116"/>
      <c r="I145" s="655"/>
      <c r="K145" s="116"/>
      <c r="X145" s="1"/>
      <c r="Y145" s="1"/>
      <c r="Z145" s="1"/>
      <c r="AA145" s="1"/>
      <c r="AB145" s="655"/>
      <c r="AC145" s="1"/>
      <c r="AD145" s="116"/>
      <c r="AL145" s="655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5"/>
      <c r="BZ145" s="656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5"/>
      <c r="DJ145" s="116"/>
    </row>
    <row r="146" spans="2:114" ht="15.75" customHeight="1" x14ac:dyDescent="0.25">
      <c r="B146" s="116"/>
      <c r="I146" s="655"/>
      <c r="K146" s="116"/>
      <c r="X146" s="1"/>
      <c r="Y146" s="1"/>
      <c r="Z146" s="1"/>
      <c r="AA146" s="1"/>
      <c r="AB146" s="655"/>
      <c r="AC146" s="1"/>
      <c r="AD146" s="116"/>
      <c r="AL146" s="655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5"/>
      <c r="BZ146" s="656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5"/>
      <c r="DJ146" s="116"/>
    </row>
    <row r="147" spans="2:114" ht="15.75" customHeight="1" x14ac:dyDescent="0.25">
      <c r="B147" s="116"/>
      <c r="I147" s="655"/>
      <c r="K147" s="116"/>
      <c r="X147" s="1"/>
      <c r="Y147" s="1"/>
      <c r="Z147" s="1"/>
      <c r="AA147" s="1"/>
      <c r="AB147" s="655"/>
      <c r="AC147" s="1"/>
      <c r="AD147" s="116"/>
      <c r="AL147" s="655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5"/>
      <c r="BZ147" s="656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5"/>
      <c r="DJ147" s="116"/>
    </row>
    <row r="148" spans="2:114" ht="15.75" customHeight="1" x14ac:dyDescent="0.25">
      <c r="B148" s="116"/>
      <c r="I148" s="655"/>
      <c r="K148" s="116"/>
      <c r="X148" s="1"/>
      <c r="Y148" s="1"/>
      <c r="Z148" s="1"/>
      <c r="AA148" s="1"/>
      <c r="AB148" s="655"/>
      <c r="AC148" s="1"/>
      <c r="AD148" s="116"/>
      <c r="AL148" s="655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5"/>
      <c r="BZ148" s="656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5"/>
      <c r="DJ148" s="116"/>
    </row>
    <row r="149" spans="2:114" ht="15.75" customHeight="1" x14ac:dyDescent="0.25">
      <c r="B149" s="116"/>
      <c r="I149" s="655"/>
      <c r="K149" s="116"/>
      <c r="X149" s="1"/>
      <c r="Y149" s="1"/>
      <c r="Z149" s="1"/>
      <c r="AA149" s="1"/>
      <c r="AB149" s="655"/>
      <c r="AC149" s="1"/>
      <c r="AD149" s="116"/>
      <c r="AL149" s="655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5"/>
      <c r="BZ149" s="656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5"/>
      <c r="DJ149" s="116"/>
    </row>
    <row r="150" spans="2:114" ht="15.75" customHeight="1" x14ac:dyDescent="0.25">
      <c r="B150" s="116"/>
      <c r="I150" s="655"/>
      <c r="K150" s="116"/>
      <c r="X150" s="1"/>
      <c r="Y150" s="1"/>
      <c r="Z150" s="1"/>
      <c r="AA150" s="1"/>
      <c r="AB150" s="655"/>
      <c r="AC150" s="1"/>
      <c r="AD150" s="116"/>
      <c r="AL150" s="655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5"/>
      <c r="BZ150" s="656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5"/>
      <c r="DJ150" s="116"/>
    </row>
    <row r="151" spans="2:114" ht="15.75" customHeight="1" x14ac:dyDescent="0.25">
      <c r="B151" s="116"/>
      <c r="I151" s="655"/>
      <c r="K151" s="116"/>
      <c r="X151" s="1"/>
      <c r="Y151" s="1"/>
      <c r="Z151" s="1"/>
      <c r="AA151" s="1"/>
      <c r="AB151" s="655"/>
      <c r="AC151" s="1"/>
      <c r="AD151" s="116"/>
      <c r="AL151" s="655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5"/>
      <c r="BZ151" s="656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5"/>
      <c r="DJ151" s="116"/>
    </row>
    <row r="152" spans="2:114" ht="15.75" customHeight="1" x14ac:dyDescent="0.25">
      <c r="B152" s="116"/>
      <c r="I152" s="655"/>
      <c r="K152" s="116"/>
      <c r="X152" s="1"/>
      <c r="Y152" s="1"/>
      <c r="Z152" s="1"/>
      <c r="AA152" s="1"/>
      <c r="AB152" s="655"/>
      <c r="AC152" s="1"/>
      <c r="AD152" s="116"/>
      <c r="AL152" s="655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5"/>
      <c r="BZ152" s="656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5"/>
      <c r="DJ152" s="116"/>
    </row>
    <row r="153" spans="2:114" ht="15.75" customHeight="1" x14ac:dyDescent="0.25">
      <c r="B153" s="116"/>
      <c r="I153" s="655"/>
      <c r="K153" s="116"/>
      <c r="X153" s="1"/>
      <c r="Y153" s="1"/>
      <c r="Z153" s="1"/>
      <c r="AA153" s="1"/>
      <c r="AB153" s="655"/>
      <c r="AC153" s="1"/>
      <c r="AD153" s="116"/>
      <c r="AL153" s="655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5"/>
      <c r="BZ153" s="656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5"/>
      <c r="DJ153" s="116"/>
    </row>
    <row r="154" spans="2:114" ht="15.75" customHeight="1" x14ac:dyDescent="0.25">
      <c r="B154" s="116"/>
      <c r="I154" s="655"/>
      <c r="K154" s="116"/>
      <c r="X154" s="1"/>
      <c r="Y154" s="1"/>
      <c r="Z154" s="1"/>
      <c r="AA154" s="1"/>
      <c r="AB154" s="655"/>
      <c r="AC154" s="1"/>
      <c r="AD154" s="116"/>
      <c r="AL154" s="655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5"/>
      <c r="BZ154" s="656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5"/>
      <c r="DJ154" s="116"/>
    </row>
    <row r="155" spans="2:114" ht="15.75" customHeight="1" x14ac:dyDescent="0.25">
      <c r="B155" s="116"/>
      <c r="I155" s="655"/>
      <c r="K155" s="116"/>
      <c r="X155" s="1"/>
      <c r="Y155" s="1"/>
      <c r="Z155" s="1"/>
      <c r="AA155" s="1"/>
      <c r="AB155" s="655"/>
      <c r="AC155" s="1"/>
      <c r="AD155" s="116"/>
      <c r="AL155" s="655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5"/>
      <c r="BZ155" s="656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5"/>
      <c r="DJ155" s="116"/>
    </row>
    <row r="156" spans="2:114" ht="15.75" customHeight="1" x14ac:dyDescent="0.25">
      <c r="B156" s="116"/>
      <c r="I156" s="655"/>
      <c r="K156" s="116"/>
      <c r="X156" s="1"/>
      <c r="Y156" s="1"/>
      <c r="Z156" s="1"/>
      <c r="AA156" s="1"/>
      <c r="AB156" s="655"/>
      <c r="AC156" s="1"/>
      <c r="AD156" s="116"/>
      <c r="AL156" s="655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5"/>
      <c r="BZ156" s="656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5"/>
      <c r="DJ156" s="116"/>
    </row>
    <row r="157" spans="2:114" ht="15.75" customHeight="1" x14ac:dyDescent="0.25">
      <c r="B157" s="116"/>
      <c r="I157" s="655"/>
      <c r="K157" s="116"/>
      <c r="X157" s="1"/>
      <c r="Y157" s="1"/>
      <c r="Z157" s="1"/>
      <c r="AA157" s="1"/>
      <c r="AB157" s="655"/>
      <c r="AC157" s="1"/>
      <c r="AD157" s="116"/>
      <c r="AL157" s="655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5"/>
      <c r="BZ157" s="656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5"/>
      <c r="DJ157" s="116"/>
    </row>
    <row r="158" spans="2:114" ht="15.75" customHeight="1" x14ac:dyDescent="0.25">
      <c r="B158" s="116"/>
      <c r="I158" s="655"/>
      <c r="K158" s="116"/>
      <c r="X158" s="1"/>
      <c r="Y158" s="1"/>
      <c r="Z158" s="1"/>
      <c r="AA158" s="1"/>
      <c r="AB158" s="655"/>
      <c r="AC158" s="1"/>
      <c r="AD158" s="116"/>
      <c r="AL158" s="655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5"/>
      <c r="BZ158" s="656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5"/>
      <c r="DJ158" s="116"/>
    </row>
    <row r="159" spans="2:114" ht="15.75" customHeight="1" x14ac:dyDescent="0.25">
      <c r="B159" s="116"/>
      <c r="I159" s="655"/>
      <c r="K159" s="116"/>
      <c r="X159" s="1"/>
      <c r="Y159" s="1"/>
      <c r="Z159" s="1"/>
      <c r="AA159" s="1"/>
      <c r="AB159" s="655"/>
      <c r="AC159" s="1"/>
      <c r="AD159" s="116"/>
      <c r="AL159" s="655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5"/>
      <c r="BZ159" s="656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5"/>
      <c r="DJ159" s="116"/>
    </row>
    <row r="160" spans="2:114" ht="15.75" customHeight="1" x14ac:dyDescent="0.25">
      <c r="B160" s="116"/>
      <c r="I160" s="655"/>
      <c r="K160" s="116"/>
      <c r="X160" s="1"/>
      <c r="Y160" s="1"/>
      <c r="Z160" s="1"/>
      <c r="AA160" s="1"/>
      <c r="AB160" s="655"/>
      <c r="AC160" s="1"/>
      <c r="AD160" s="116"/>
      <c r="AL160" s="655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5"/>
      <c r="BZ160" s="656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5"/>
      <c r="DJ160" s="116"/>
    </row>
    <row r="161" spans="2:114" ht="15.75" customHeight="1" x14ac:dyDescent="0.25">
      <c r="B161" s="116"/>
      <c r="I161" s="655"/>
      <c r="K161" s="116"/>
      <c r="X161" s="1"/>
      <c r="Y161" s="1"/>
      <c r="Z161" s="1"/>
      <c r="AA161" s="1"/>
      <c r="AB161" s="655"/>
      <c r="AC161" s="1"/>
      <c r="AD161" s="116"/>
      <c r="AL161" s="655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5"/>
      <c r="BZ161" s="656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5"/>
      <c r="DJ161" s="116"/>
    </row>
    <row r="162" spans="2:114" ht="15.75" customHeight="1" x14ac:dyDescent="0.25">
      <c r="B162" s="116"/>
      <c r="I162" s="655"/>
      <c r="K162" s="116"/>
      <c r="X162" s="1"/>
      <c r="Y162" s="1"/>
      <c r="Z162" s="1"/>
      <c r="AA162" s="1"/>
      <c r="AB162" s="655"/>
      <c r="AC162" s="1"/>
      <c r="AD162" s="116"/>
      <c r="AL162" s="655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5"/>
      <c r="BZ162" s="656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5"/>
      <c r="DJ162" s="116"/>
    </row>
    <row r="163" spans="2:114" ht="15.75" customHeight="1" x14ac:dyDescent="0.25">
      <c r="B163" s="116"/>
      <c r="I163" s="655"/>
      <c r="K163" s="116"/>
      <c r="X163" s="1"/>
      <c r="Y163" s="1"/>
      <c r="Z163" s="1"/>
      <c r="AA163" s="1"/>
      <c r="AB163" s="655"/>
      <c r="AC163" s="1"/>
      <c r="AD163" s="116"/>
      <c r="AL163" s="655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5"/>
      <c r="BZ163" s="656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5"/>
      <c r="DJ163" s="116"/>
    </row>
    <row r="164" spans="2:114" ht="15.75" customHeight="1" x14ac:dyDescent="0.25">
      <c r="B164" s="116"/>
      <c r="I164" s="655"/>
      <c r="K164" s="116"/>
      <c r="X164" s="1"/>
      <c r="Y164" s="1"/>
      <c r="Z164" s="1"/>
      <c r="AA164" s="1"/>
      <c r="AB164" s="655"/>
      <c r="AC164" s="1"/>
      <c r="AD164" s="116"/>
      <c r="AL164" s="655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5"/>
      <c r="BZ164" s="656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5"/>
      <c r="DJ164" s="116"/>
    </row>
    <row r="165" spans="2:114" ht="15.75" customHeight="1" x14ac:dyDescent="0.25">
      <c r="B165" s="116"/>
      <c r="I165" s="655"/>
      <c r="K165" s="116"/>
      <c r="X165" s="1"/>
      <c r="Y165" s="1"/>
      <c r="Z165" s="1"/>
      <c r="AA165" s="1"/>
      <c r="AB165" s="655"/>
      <c r="AC165" s="1"/>
      <c r="AD165" s="116"/>
      <c r="AL165" s="655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5"/>
      <c r="BZ165" s="656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5"/>
      <c r="DJ165" s="116"/>
    </row>
    <row r="166" spans="2:114" ht="15.75" customHeight="1" x14ac:dyDescent="0.25">
      <c r="B166" s="116"/>
      <c r="I166" s="655"/>
      <c r="K166" s="116"/>
      <c r="X166" s="1"/>
      <c r="Y166" s="1"/>
      <c r="Z166" s="1"/>
      <c r="AA166" s="1"/>
      <c r="AB166" s="655"/>
      <c r="AC166" s="1"/>
      <c r="AD166" s="116"/>
      <c r="AL166" s="655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5"/>
      <c r="BZ166" s="656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5"/>
      <c r="DJ166" s="116"/>
    </row>
    <row r="167" spans="2:114" ht="15.75" customHeight="1" x14ac:dyDescent="0.25">
      <c r="B167" s="116"/>
      <c r="I167" s="655"/>
      <c r="K167" s="116"/>
      <c r="X167" s="1"/>
      <c r="Y167" s="1"/>
      <c r="Z167" s="1"/>
      <c r="AA167" s="1"/>
      <c r="AB167" s="655"/>
      <c r="AC167" s="1"/>
      <c r="AD167" s="116"/>
      <c r="AL167" s="655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5"/>
      <c r="BZ167" s="656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5"/>
      <c r="DJ167" s="116"/>
    </row>
    <row r="168" spans="2:114" ht="15.75" customHeight="1" x14ac:dyDescent="0.25">
      <c r="B168" s="116"/>
      <c r="I168" s="655"/>
      <c r="K168" s="116"/>
      <c r="X168" s="1"/>
      <c r="Y168" s="1"/>
      <c r="Z168" s="1"/>
      <c r="AA168" s="1"/>
      <c r="AB168" s="655"/>
      <c r="AC168" s="1"/>
      <c r="AD168" s="116"/>
      <c r="AL168" s="655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5"/>
      <c r="BZ168" s="656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5"/>
      <c r="DJ168" s="116"/>
    </row>
    <row r="169" spans="2:114" ht="15.75" customHeight="1" x14ac:dyDescent="0.25">
      <c r="B169" s="116"/>
      <c r="I169" s="655"/>
      <c r="K169" s="116"/>
      <c r="X169" s="1"/>
      <c r="Y169" s="1"/>
      <c r="Z169" s="1"/>
      <c r="AA169" s="1"/>
      <c r="AB169" s="655"/>
      <c r="AC169" s="1"/>
      <c r="AD169" s="116"/>
      <c r="AL169" s="655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5"/>
      <c r="BZ169" s="656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5"/>
      <c r="DJ169" s="116"/>
    </row>
    <row r="170" spans="2:114" ht="15.75" customHeight="1" x14ac:dyDescent="0.25">
      <c r="B170" s="116"/>
      <c r="I170" s="655"/>
      <c r="K170" s="116"/>
      <c r="X170" s="1"/>
      <c r="Y170" s="1"/>
      <c r="Z170" s="1"/>
      <c r="AA170" s="1"/>
      <c r="AB170" s="655"/>
      <c r="AC170" s="1"/>
      <c r="AD170" s="116"/>
      <c r="AL170" s="655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5"/>
      <c r="BZ170" s="656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5"/>
      <c r="DJ170" s="116"/>
    </row>
    <row r="171" spans="2:114" ht="15.75" customHeight="1" x14ac:dyDescent="0.25">
      <c r="B171" s="116"/>
      <c r="I171" s="655"/>
      <c r="K171" s="116"/>
      <c r="X171" s="1"/>
      <c r="Y171" s="1"/>
      <c r="Z171" s="1"/>
      <c r="AA171" s="1"/>
      <c r="AB171" s="655"/>
      <c r="AC171" s="1"/>
      <c r="AD171" s="116"/>
      <c r="AL171" s="655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5"/>
      <c r="BZ171" s="656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5"/>
      <c r="DJ171" s="116"/>
    </row>
    <row r="172" spans="2:114" ht="15.75" customHeight="1" x14ac:dyDescent="0.25">
      <c r="B172" s="116"/>
      <c r="I172" s="655"/>
      <c r="K172" s="116"/>
      <c r="X172" s="1"/>
      <c r="Y172" s="1"/>
      <c r="Z172" s="1"/>
      <c r="AA172" s="1"/>
      <c r="AB172" s="655"/>
      <c r="AC172" s="1"/>
      <c r="AD172" s="116"/>
      <c r="AL172" s="655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5"/>
      <c r="BZ172" s="656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5"/>
      <c r="DJ172" s="116"/>
    </row>
    <row r="173" spans="2:114" ht="15.75" customHeight="1" x14ac:dyDescent="0.25">
      <c r="B173" s="116"/>
      <c r="I173" s="655"/>
      <c r="K173" s="116"/>
      <c r="X173" s="1"/>
      <c r="Y173" s="1"/>
      <c r="Z173" s="1"/>
      <c r="AA173" s="1"/>
      <c r="AB173" s="655"/>
      <c r="AC173" s="1"/>
      <c r="AD173" s="116"/>
      <c r="AL173" s="655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5"/>
      <c r="BZ173" s="656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5"/>
      <c r="DJ173" s="116"/>
    </row>
    <row r="174" spans="2:114" ht="15.75" customHeight="1" x14ac:dyDescent="0.25">
      <c r="B174" s="116"/>
      <c r="I174" s="655"/>
      <c r="K174" s="116"/>
      <c r="X174" s="1"/>
      <c r="Y174" s="1"/>
      <c r="Z174" s="1"/>
      <c r="AA174" s="1"/>
      <c r="AB174" s="655"/>
      <c r="AC174" s="1"/>
      <c r="AD174" s="116"/>
      <c r="AL174" s="655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5"/>
      <c r="BZ174" s="656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5"/>
      <c r="DJ174" s="116"/>
    </row>
    <row r="175" spans="2:114" ht="15.75" customHeight="1" x14ac:dyDescent="0.25">
      <c r="B175" s="116"/>
      <c r="I175" s="655"/>
      <c r="K175" s="116"/>
      <c r="X175" s="1"/>
      <c r="Y175" s="1"/>
      <c r="Z175" s="1"/>
      <c r="AA175" s="1"/>
      <c r="AB175" s="655"/>
      <c r="AC175" s="1"/>
      <c r="AD175" s="116"/>
      <c r="AL175" s="655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5"/>
      <c r="BZ175" s="656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5"/>
      <c r="DJ175" s="116"/>
    </row>
    <row r="176" spans="2:114" ht="15.75" customHeight="1" x14ac:dyDescent="0.25">
      <c r="B176" s="116"/>
      <c r="I176" s="655"/>
      <c r="K176" s="116"/>
      <c r="X176" s="1"/>
      <c r="Y176" s="1"/>
      <c r="Z176" s="1"/>
      <c r="AA176" s="1"/>
      <c r="AB176" s="655"/>
      <c r="AC176" s="1"/>
      <c r="AD176" s="116"/>
      <c r="AL176" s="655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5"/>
      <c r="BZ176" s="656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5"/>
      <c r="DJ176" s="116"/>
    </row>
    <row r="177" spans="2:114" ht="15.75" customHeight="1" x14ac:dyDescent="0.25">
      <c r="B177" s="116"/>
      <c r="I177" s="655"/>
      <c r="K177" s="116"/>
      <c r="X177" s="1"/>
      <c r="Y177" s="1"/>
      <c r="Z177" s="1"/>
      <c r="AA177" s="1"/>
      <c r="AB177" s="655"/>
      <c r="AC177" s="1"/>
      <c r="AD177" s="116"/>
      <c r="AL177" s="655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5"/>
      <c r="BZ177" s="656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5"/>
      <c r="DJ177" s="116"/>
    </row>
    <row r="178" spans="2:114" ht="15.75" customHeight="1" x14ac:dyDescent="0.25">
      <c r="B178" s="116"/>
      <c r="I178" s="655"/>
      <c r="K178" s="116"/>
      <c r="X178" s="1"/>
      <c r="Y178" s="1"/>
      <c r="Z178" s="1"/>
      <c r="AA178" s="1"/>
      <c r="AB178" s="655"/>
      <c r="AC178" s="1"/>
      <c r="AD178" s="116"/>
      <c r="AL178" s="655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5"/>
      <c r="BZ178" s="656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5"/>
      <c r="DJ178" s="116"/>
    </row>
    <row r="179" spans="2:114" ht="15.75" customHeight="1" x14ac:dyDescent="0.25">
      <c r="B179" s="116"/>
      <c r="I179" s="655"/>
      <c r="K179" s="116"/>
      <c r="X179" s="1"/>
      <c r="Y179" s="1"/>
      <c r="Z179" s="1"/>
      <c r="AA179" s="1"/>
      <c r="AB179" s="655"/>
      <c r="AC179" s="1"/>
      <c r="AD179" s="116"/>
      <c r="AL179" s="655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5"/>
      <c r="BZ179" s="656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5"/>
      <c r="DJ179" s="116"/>
    </row>
    <row r="180" spans="2:114" ht="15.75" customHeight="1" x14ac:dyDescent="0.25">
      <c r="B180" s="116"/>
      <c r="I180" s="655"/>
      <c r="K180" s="116"/>
      <c r="X180" s="1"/>
      <c r="Y180" s="1"/>
      <c r="Z180" s="1"/>
      <c r="AA180" s="1"/>
      <c r="AB180" s="655"/>
      <c r="AC180" s="1"/>
      <c r="AD180" s="116"/>
      <c r="AL180" s="655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5"/>
      <c r="BZ180" s="656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5"/>
      <c r="DJ180" s="116"/>
    </row>
    <row r="181" spans="2:114" ht="15.75" customHeight="1" x14ac:dyDescent="0.25">
      <c r="B181" s="116"/>
      <c r="I181" s="655"/>
      <c r="K181" s="116"/>
      <c r="X181" s="1"/>
      <c r="Y181" s="1"/>
      <c r="Z181" s="1"/>
      <c r="AA181" s="1"/>
      <c r="AB181" s="655"/>
      <c r="AC181" s="1"/>
      <c r="AD181" s="116"/>
      <c r="AL181" s="655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5"/>
      <c r="BZ181" s="656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5"/>
      <c r="DJ181" s="116"/>
    </row>
    <row r="182" spans="2:114" ht="15.75" customHeight="1" x14ac:dyDescent="0.25">
      <c r="B182" s="116"/>
      <c r="I182" s="655"/>
      <c r="K182" s="116"/>
      <c r="X182" s="1"/>
      <c r="Y182" s="1"/>
      <c r="Z182" s="1"/>
      <c r="AA182" s="1"/>
      <c r="AB182" s="655"/>
      <c r="AC182" s="1"/>
      <c r="AD182" s="116"/>
      <c r="AL182" s="655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5"/>
      <c r="BZ182" s="656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5"/>
      <c r="DJ182" s="116"/>
    </row>
    <row r="183" spans="2:114" ht="15.75" customHeight="1" x14ac:dyDescent="0.25">
      <c r="B183" s="116"/>
      <c r="I183" s="655"/>
      <c r="K183" s="116"/>
      <c r="X183" s="1"/>
      <c r="Y183" s="1"/>
      <c r="Z183" s="1"/>
      <c r="AA183" s="1"/>
      <c r="AB183" s="655"/>
      <c r="AC183" s="1"/>
      <c r="AD183" s="116"/>
      <c r="AL183" s="655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5"/>
      <c r="BZ183" s="656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5"/>
      <c r="DJ183" s="116"/>
    </row>
    <row r="184" spans="2:114" ht="15.75" customHeight="1" x14ac:dyDescent="0.25">
      <c r="B184" s="116"/>
      <c r="I184" s="655"/>
      <c r="K184" s="116"/>
      <c r="X184" s="1"/>
      <c r="Y184" s="1"/>
      <c r="Z184" s="1"/>
      <c r="AA184" s="1"/>
      <c r="AB184" s="655"/>
      <c r="AC184" s="1"/>
      <c r="AD184" s="116"/>
      <c r="AL184" s="655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5"/>
      <c r="BZ184" s="656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5"/>
      <c r="DJ184" s="116"/>
    </row>
    <row r="185" spans="2:114" ht="15.75" customHeight="1" x14ac:dyDescent="0.25">
      <c r="B185" s="116"/>
      <c r="I185" s="655"/>
      <c r="K185" s="116"/>
      <c r="X185" s="1"/>
      <c r="Y185" s="1"/>
      <c r="Z185" s="1"/>
      <c r="AA185" s="1"/>
      <c r="AB185" s="655"/>
      <c r="AC185" s="1"/>
      <c r="AD185" s="116"/>
      <c r="AL185" s="655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5"/>
      <c r="BZ185" s="656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5"/>
      <c r="DJ185" s="116"/>
    </row>
    <row r="186" spans="2:114" ht="15.75" customHeight="1" x14ac:dyDescent="0.25">
      <c r="B186" s="116"/>
      <c r="I186" s="655"/>
      <c r="K186" s="116"/>
      <c r="X186" s="1"/>
      <c r="Y186" s="1"/>
      <c r="Z186" s="1"/>
      <c r="AA186" s="1"/>
      <c r="AB186" s="655"/>
      <c r="AC186" s="1"/>
      <c r="AD186" s="116"/>
      <c r="AL186" s="655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5"/>
      <c r="BZ186" s="656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5"/>
      <c r="DJ186" s="116"/>
    </row>
    <row r="187" spans="2:114" ht="15.75" customHeight="1" x14ac:dyDescent="0.25">
      <c r="B187" s="116"/>
      <c r="I187" s="655"/>
      <c r="K187" s="116"/>
      <c r="X187" s="1"/>
      <c r="Y187" s="1"/>
      <c r="Z187" s="1"/>
      <c r="AA187" s="1"/>
      <c r="AB187" s="655"/>
      <c r="AC187" s="1"/>
      <c r="AD187" s="116"/>
      <c r="AL187" s="655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5"/>
      <c r="BZ187" s="656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5"/>
      <c r="DJ187" s="116"/>
    </row>
    <row r="188" spans="2:114" ht="15.75" customHeight="1" x14ac:dyDescent="0.25">
      <c r="B188" s="116"/>
      <c r="I188" s="655"/>
      <c r="K188" s="116"/>
      <c r="X188" s="1"/>
      <c r="Y188" s="1"/>
      <c r="Z188" s="1"/>
      <c r="AA188" s="1"/>
      <c r="AB188" s="655"/>
      <c r="AC188" s="1"/>
      <c r="AD188" s="116"/>
      <c r="AL188" s="655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5"/>
      <c r="BZ188" s="656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5"/>
      <c r="DJ188" s="116"/>
    </row>
    <row r="189" spans="2:114" ht="15.75" customHeight="1" x14ac:dyDescent="0.25">
      <c r="B189" s="116"/>
      <c r="I189" s="655"/>
      <c r="K189" s="116"/>
      <c r="X189" s="1"/>
      <c r="Y189" s="1"/>
      <c r="Z189" s="1"/>
      <c r="AA189" s="1"/>
      <c r="AB189" s="655"/>
      <c r="AC189" s="1"/>
      <c r="AD189" s="116"/>
      <c r="AL189" s="655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5"/>
      <c r="BZ189" s="656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5"/>
      <c r="DJ189" s="116"/>
    </row>
    <row r="190" spans="2:114" ht="15.75" customHeight="1" x14ac:dyDescent="0.25">
      <c r="B190" s="116"/>
      <c r="I190" s="655"/>
      <c r="K190" s="116"/>
      <c r="X190" s="1"/>
      <c r="Y190" s="1"/>
      <c r="Z190" s="1"/>
      <c r="AA190" s="1"/>
      <c r="AB190" s="655"/>
      <c r="AC190" s="1"/>
      <c r="AD190" s="116"/>
      <c r="AL190" s="655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5"/>
      <c r="BZ190" s="656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5"/>
      <c r="DJ190" s="116"/>
    </row>
    <row r="191" spans="2:114" ht="15.75" customHeight="1" x14ac:dyDescent="0.25">
      <c r="B191" s="116"/>
      <c r="I191" s="655"/>
      <c r="K191" s="116"/>
      <c r="X191" s="1"/>
      <c r="Y191" s="1"/>
      <c r="Z191" s="1"/>
      <c r="AA191" s="1"/>
      <c r="AB191" s="655"/>
      <c r="AC191" s="1"/>
      <c r="AD191" s="116"/>
      <c r="AL191" s="655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5"/>
      <c r="BZ191" s="656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5"/>
      <c r="DJ191" s="116"/>
    </row>
    <row r="192" spans="2:114" ht="15.75" customHeight="1" x14ac:dyDescent="0.25">
      <c r="B192" s="116"/>
      <c r="I192" s="655"/>
      <c r="K192" s="116"/>
      <c r="X192" s="1"/>
      <c r="Y192" s="1"/>
      <c r="Z192" s="1"/>
      <c r="AA192" s="1"/>
      <c r="AB192" s="655"/>
      <c r="AC192" s="1"/>
      <c r="AD192" s="116"/>
      <c r="AL192" s="655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5"/>
      <c r="BZ192" s="656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5"/>
      <c r="DJ192" s="116"/>
    </row>
    <row r="193" spans="2:114" ht="15.75" customHeight="1" x14ac:dyDescent="0.25">
      <c r="B193" s="116"/>
      <c r="I193" s="655"/>
      <c r="K193" s="116"/>
      <c r="X193" s="1"/>
      <c r="Y193" s="1"/>
      <c r="Z193" s="1"/>
      <c r="AA193" s="1"/>
      <c r="AB193" s="655"/>
      <c r="AC193" s="1"/>
      <c r="AD193" s="116"/>
      <c r="AL193" s="655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5"/>
      <c r="BZ193" s="656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5"/>
      <c r="DJ193" s="116"/>
    </row>
    <row r="194" spans="2:114" ht="15.75" customHeight="1" x14ac:dyDescent="0.25">
      <c r="B194" s="116"/>
      <c r="I194" s="655"/>
      <c r="K194" s="116"/>
      <c r="X194" s="1"/>
      <c r="Y194" s="1"/>
      <c r="Z194" s="1"/>
      <c r="AA194" s="1"/>
      <c r="AB194" s="655"/>
      <c r="AC194" s="1"/>
      <c r="AD194" s="116"/>
      <c r="AL194" s="655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5"/>
      <c r="BZ194" s="656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5"/>
      <c r="DJ194" s="116"/>
    </row>
    <row r="195" spans="2:114" ht="15.75" customHeight="1" x14ac:dyDescent="0.25">
      <c r="B195" s="116"/>
      <c r="I195" s="655"/>
      <c r="K195" s="116"/>
      <c r="X195" s="1"/>
      <c r="Y195" s="1"/>
      <c r="Z195" s="1"/>
      <c r="AA195" s="1"/>
      <c r="AB195" s="655"/>
      <c r="AC195" s="1"/>
      <c r="AD195" s="116"/>
      <c r="AL195" s="655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5"/>
      <c r="BZ195" s="656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5"/>
      <c r="DJ195" s="116"/>
    </row>
    <row r="196" spans="2:114" ht="15.75" customHeight="1" x14ac:dyDescent="0.25">
      <c r="B196" s="116"/>
      <c r="I196" s="655"/>
      <c r="K196" s="116"/>
      <c r="X196" s="1"/>
      <c r="Y196" s="1"/>
      <c r="Z196" s="1"/>
      <c r="AA196" s="1"/>
      <c r="AB196" s="655"/>
      <c r="AC196" s="1"/>
      <c r="AD196" s="116"/>
      <c r="AL196" s="655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5"/>
      <c r="BZ196" s="656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5"/>
      <c r="DJ196" s="116"/>
    </row>
    <row r="197" spans="2:114" ht="15.75" customHeight="1" x14ac:dyDescent="0.25">
      <c r="B197" s="116"/>
      <c r="I197" s="655"/>
      <c r="K197" s="116"/>
      <c r="X197" s="1"/>
      <c r="Y197" s="1"/>
      <c r="Z197" s="1"/>
      <c r="AA197" s="1"/>
      <c r="AB197" s="655"/>
      <c r="AC197" s="1"/>
      <c r="AD197" s="116"/>
      <c r="AL197" s="655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5"/>
      <c r="BZ197" s="656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5"/>
      <c r="DJ197" s="116"/>
    </row>
    <row r="198" spans="2:114" ht="15.75" customHeight="1" x14ac:dyDescent="0.25">
      <c r="B198" s="116"/>
      <c r="I198" s="655"/>
      <c r="K198" s="116"/>
      <c r="X198" s="1"/>
      <c r="Y198" s="1"/>
      <c r="Z198" s="1"/>
      <c r="AA198" s="1"/>
      <c r="AB198" s="655"/>
      <c r="AC198" s="1"/>
      <c r="AD198" s="116"/>
      <c r="AL198" s="655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5"/>
      <c r="BZ198" s="656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5"/>
      <c r="DJ198" s="116"/>
    </row>
    <row r="199" spans="2:114" ht="15.75" customHeight="1" x14ac:dyDescent="0.25">
      <c r="B199" s="116"/>
      <c r="I199" s="655"/>
      <c r="K199" s="116"/>
      <c r="X199" s="1"/>
      <c r="Y199" s="1"/>
      <c r="Z199" s="1"/>
      <c r="AA199" s="1"/>
      <c r="AB199" s="655"/>
      <c r="AC199" s="1"/>
      <c r="AD199" s="116"/>
      <c r="AL199" s="655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5"/>
      <c r="BZ199" s="656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5"/>
      <c r="DJ199" s="116"/>
    </row>
    <row r="200" spans="2:114" ht="15.75" customHeight="1" x14ac:dyDescent="0.25">
      <c r="B200" s="116"/>
      <c r="I200" s="655"/>
      <c r="K200" s="116"/>
      <c r="X200" s="1"/>
      <c r="Y200" s="1"/>
      <c r="Z200" s="1"/>
      <c r="AA200" s="1"/>
      <c r="AB200" s="655"/>
      <c r="AC200" s="1"/>
      <c r="AD200" s="116"/>
      <c r="AL200" s="655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5"/>
      <c r="BZ200" s="656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5"/>
      <c r="DJ200" s="116"/>
    </row>
    <row r="201" spans="2:114" ht="15.75" customHeight="1" x14ac:dyDescent="0.25">
      <c r="B201" s="116"/>
      <c r="I201" s="655"/>
      <c r="K201" s="116"/>
      <c r="X201" s="1"/>
      <c r="Y201" s="1"/>
      <c r="Z201" s="1"/>
      <c r="AA201" s="1"/>
      <c r="AB201" s="655"/>
      <c r="AC201" s="1"/>
      <c r="AD201" s="116"/>
      <c r="AL201" s="655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5"/>
      <c r="BZ201" s="656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5"/>
      <c r="DJ201" s="116"/>
    </row>
    <row r="202" spans="2:114" ht="15.75" customHeight="1" x14ac:dyDescent="0.25">
      <c r="B202" s="116"/>
      <c r="I202" s="655"/>
      <c r="K202" s="116"/>
      <c r="X202" s="1"/>
      <c r="Y202" s="1"/>
      <c r="Z202" s="1"/>
      <c r="AA202" s="1"/>
      <c r="AB202" s="655"/>
      <c r="AC202" s="1"/>
      <c r="AD202" s="116"/>
      <c r="AL202" s="655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5"/>
      <c r="BZ202" s="656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5"/>
      <c r="DJ202" s="116"/>
    </row>
    <row r="203" spans="2:114" ht="15.75" customHeight="1" x14ac:dyDescent="0.25">
      <c r="B203" s="116"/>
      <c r="I203" s="655"/>
      <c r="K203" s="116"/>
      <c r="X203" s="1"/>
      <c r="Y203" s="1"/>
      <c r="Z203" s="1"/>
      <c r="AA203" s="1"/>
      <c r="AB203" s="655"/>
      <c r="AC203" s="1"/>
      <c r="AD203" s="116"/>
      <c r="AL203" s="655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5"/>
      <c r="BZ203" s="656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5"/>
      <c r="DJ203" s="116"/>
    </row>
    <row r="204" spans="2:114" ht="15.75" customHeight="1" x14ac:dyDescent="0.25">
      <c r="B204" s="116"/>
      <c r="I204" s="655"/>
      <c r="K204" s="116"/>
      <c r="X204" s="1"/>
      <c r="Y204" s="1"/>
      <c r="Z204" s="1"/>
      <c r="AA204" s="1"/>
      <c r="AB204" s="655"/>
      <c r="AC204" s="1"/>
      <c r="AD204" s="116"/>
      <c r="AL204" s="655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5"/>
      <c r="BZ204" s="656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5"/>
      <c r="DJ204" s="116"/>
    </row>
    <row r="205" spans="2:114" ht="15.75" customHeight="1" x14ac:dyDescent="0.25">
      <c r="B205" s="116"/>
      <c r="I205" s="655"/>
      <c r="K205" s="116"/>
      <c r="X205" s="1"/>
      <c r="Y205" s="1"/>
      <c r="Z205" s="1"/>
      <c r="AA205" s="1"/>
      <c r="AB205" s="655"/>
      <c r="AC205" s="1"/>
      <c r="AD205" s="116"/>
      <c r="AL205" s="655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5"/>
      <c r="BZ205" s="656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5"/>
      <c r="DJ205" s="116"/>
    </row>
    <row r="206" spans="2:114" ht="15.75" customHeight="1" x14ac:dyDescent="0.25">
      <c r="B206" s="116"/>
      <c r="I206" s="655"/>
      <c r="K206" s="116"/>
      <c r="X206" s="1"/>
      <c r="Y206" s="1"/>
      <c r="Z206" s="1"/>
      <c r="AA206" s="1"/>
      <c r="AB206" s="655"/>
      <c r="AC206" s="1"/>
      <c r="AD206" s="116"/>
      <c r="AL206" s="655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5"/>
      <c r="BZ206" s="656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5"/>
      <c r="DJ206" s="116"/>
    </row>
    <row r="207" spans="2:114" ht="15.75" customHeight="1" x14ac:dyDescent="0.25">
      <c r="B207" s="116"/>
      <c r="I207" s="655"/>
      <c r="K207" s="116"/>
      <c r="X207" s="1"/>
      <c r="Y207" s="1"/>
      <c r="Z207" s="1"/>
      <c r="AA207" s="1"/>
      <c r="AB207" s="655"/>
      <c r="AC207" s="1"/>
      <c r="AD207" s="116"/>
      <c r="AL207" s="655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5"/>
      <c r="BZ207" s="656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5"/>
      <c r="DJ207" s="116"/>
    </row>
    <row r="208" spans="2:114" ht="15.75" customHeight="1" x14ac:dyDescent="0.25">
      <c r="B208" s="116"/>
      <c r="I208" s="655"/>
      <c r="K208" s="116"/>
      <c r="X208" s="1"/>
      <c r="Y208" s="1"/>
      <c r="Z208" s="1"/>
      <c r="AA208" s="1"/>
      <c r="AB208" s="655"/>
      <c r="AC208" s="1"/>
      <c r="AD208" s="116"/>
      <c r="AL208" s="655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5"/>
      <c r="BZ208" s="656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5"/>
      <c r="DJ208" s="116"/>
    </row>
    <row r="209" spans="2:114" ht="15.75" customHeight="1" x14ac:dyDescent="0.25">
      <c r="B209" s="116"/>
      <c r="I209" s="655"/>
      <c r="K209" s="116"/>
      <c r="X209" s="1"/>
      <c r="Y209" s="1"/>
      <c r="Z209" s="1"/>
      <c r="AA209" s="1"/>
      <c r="AB209" s="655"/>
      <c r="AC209" s="1"/>
      <c r="AD209" s="116"/>
      <c r="AL209" s="655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5"/>
      <c r="BZ209" s="656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5"/>
      <c r="DJ209" s="116"/>
    </row>
    <row r="210" spans="2:114" ht="15.75" customHeight="1" x14ac:dyDescent="0.25">
      <c r="B210" s="116"/>
      <c r="I210" s="655"/>
      <c r="K210" s="116"/>
      <c r="X210" s="1"/>
      <c r="Y210" s="1"/>
      <c r="Z210" s="1"/>
      <c r="AA210" s="1"/>
      <c r="AB210" s="655"/>
      <c r="AC210" s="1"/>
      <c r="AD210" s="116"/>
      <c r="AL210" s="655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5"/>
      <c r="BZ210" s="656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5"/>
      <c r="DJ210" s="116"/>
    </row>
    <row r="211" spans="2:114" ht="15.75" customHeight="1" x14ac:dyDescent="0.25">
      <c r="B211" s="116"/>
      <c r="I211" s="655"/>
      <c r="K211" s="116"/>
      <c r="X211" s="1"/>
      <c r="Y211" s="1"/>
      <c r="Z211" s="1"/>
      <c r="AA211" s="1"/>
      <c r="AB211" s="655"/>
      <c r="AC211" s="1"/>
      <c r="AD211" s="116"/>
      <c r="AL211" s="655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5"/>
      <c r="BZ211" s="656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5"/>
      <c r="DJ211" s="116"/>
    </row>
    <row r="212" spans="2:114" ht="15.75" customHeight="1" x14ac:dyDescent="0.25">
      <c r="B212" s="116"/>
      <c r="I212" s="655"/>
      <c r="K212" s="116"/>
      <c r="X212" s="1"/>
      <c r="Y212" s="1"/>
      <c r="Z212" s="1"/>
      <c r="AA212" s="1"/>
      <c r="AB212" s="655"/>
      <c r="AC212" s="1"/>
      <c r="AD212" s="116"/>
      <c r="AL212" s="655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5"/>
      <c r="BZ212" s="656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5"/>
      <c r="DJ212" s="116"/>
    </row>
    <row r="213" spans="2:114" ht="15.75" customHeight="1" x14ac:dyDescent="0.25">
      <c r="B213" s="116"/>
      <c r="I213" s="655"/>
      <c r="K213" s="116"/>
      <c r="X213" s="1"/>
      <c r="Y213" s="1"/>
      <c r="Z213" s="1"/>
      <c r="AA213" s="1"/>
      <c r="AB213" s="655"/>
      <c r="AC213" s="1"/>
      <c r="AD213" s="116"/>
      <c r="AL213" s="655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5"/>
      <c r="BZ213" s="656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5"/>
      <c r="DJ213" s="116"/>
    </row>
    <row r="214" spans="2:114" ht="15.75" customHeight="1" x14ac:dyDescent="0.25">
      <c r="B214" s="116"/>
      <c r="I214" s="655"/>
      <c r="K214" s="116"/>
      <c r="X214" s="1"/>
      <c r="Y214" s="1"/>
      <c r="Z214" s="1"/>
      <c r="AA214" s="1"/>
      <c r="AB214" s="655"/>
      <c r="AC214" s="1"/>
      <c r="AD214" s="116"/>
      <c r="AL214" s="655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5"/>
      <c r="BZ214" s="656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5"/>
      <c r="DJ214" s="116"/>
    </row>
    <row r="215" spans="2:114" ht="15.75" customHeight="1" x14ac:dyDescent="0.25">
      <c r="B215" s="116"/>
      <c r="I215" s="655"/>
      <c r="K215" s="116"/>
      <c r="X215" s="1"/>
      <c r="Y215" s="1"/>
      <c r="Z215" s="1"/>
      <c r="AA215" s="1"/>
      <c r="AB215" s="655"/>
      <c r="AC215" s="1"/>
      <c r="AD215" s="116"/>
      <c r="AL215" s="655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5"/>
      <c r="BZ215" s="656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5"/>
      <c r="DJ215" s="116"/>
    </row>
    <row r="216" spans="2:114" ht="15.75" customHeight="1" x14ac:dyDescent="0.25">
      <c r="B216" s="116"/>
      <c r="I216" s="655"/>
      <c r="K216" s="116"/>
      <c r="X216" s="1"/>
      <c r="Y216" s="1"/>
      <c r="Z216" s="1"/>
      <c r="AA216" s="1"/>
      <c r="AB216" s="655"/>
      <c r="AC216" s="1"/>
      <c r="AD216" s="116"/>
      <c r="AL216" s="655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5"/>
      <c r="BZ216" s="656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5"/>
      <c r="DJ216" s="116"/>
    </row>
    <row r="217" spans="2:114" ht="15.75" customHeight="1" x14ac:dyDescent="0.25">
      <c r="B217" s="116"/>
      <c r="I217" s="655"/>
      <c r="K217" s="116"/>
      <c r="X217" s="1"/>
      <c r="Y217" s="1"/>
      <c r="Z217" s="1"/>
      <c r="AA217" s="1"/>
      <c r="AB217" s="655"/>
      <c r="AC217" s="1"/>
      <c r="AD217" s="116"/>
      <c r="AL217" s="655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5"/>
      <c r="BZ217" s="656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5"/>
      <c r="DJ217" s="116"/>
    </row>
    <row r="218" spans="2:114" ht="15.75" customHeight="1" x14ac:dyDescent="0.25">
      <c r="B218" s="116"/>
      <c r="I218" s="655"/>
      <c r="K218" s="116"/>
      <c r="X218" s="1"/>
      <c r="Y218" s="1"/>
      <c r="Z218" s="1"/>
      <c r="AA218" s="1"/>
      <c r="AB218" s="655"/>
      <c r="AC218" s="1"/>
      <c r="AD218" s="116"/>
      <c r="AL218" s="655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5"/>
      <c r="BZ218" s="656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5"/>
      <c r="DJ218" s="116"/>
    </row>
    <row r="219" spans="2:114" ht="15.75" customHeight="1" x14ac:dyDescent="0.25">
      <c r="B219" s="116"/>
      <c r="I219" s="655"/>
      <c r="K219" s="116"/>
      <c r="X219" s="1"/>
      <c r="Y219" s="1"/>
      <c r="Z219" s="1"/>
      <c r="AA219" s="1"/>
      <c r="AB219" s="655"/>
      <c r="AC219" s="1"/>
      <c r="AD219" s="116"/>
      <c r="AL219" s="655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5"/>
      <c r="BZ219" s="656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5"/>
      <c r="DJ219" s="116"/>
    </row>
    <row r="220" spans="2:114" ht="15.75" customHeight="1" x14ac:dyDescent="0.25">
      <c r="B220" s="116"/>
      <c r="I220" s="655"/>
      <c r="K220" s="116"/>
      <c r="X220" s="1"/>
      <c r="Y220" s="1"/>
      <c r="Z220" s="1"/>
      <c r="AA220" s="1"/>
      <c r="AB220" s="655"/>
      <c r="AC220" s="1"/>
      <c r="AD220" s="116"/>
      <c r="AL220" s="655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5"/>
      <c r="BZ220" s="656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5"/>
      <c r="DJ220" s="116"/>
    </row>
    <row r="221" spans="2:114" ht="15.75" customHeight="1" x14ac:dyDescent="0.25">
      <c r="B221" s="116"/>
      <c r="I221" s="655"/>
      <c r="K221" s="116"/>
      <c r="X221" s="1"/>
      <c r="Y221" s="1"/>
      <c r="Z221" s="1"/>
      <c r="AA221" s="1"/>
      <c r="AB221" s="655"/>
      <c r="AC221" s="1"/>
      <c r="AD221" s="116"/>
      <c r="AL221" s="655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5"/>
      <c r="BZ221" s="656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5"/>
      <c r="DJ221" s="116"/>
    </row>
    <row r="222" spans="2:114" ht="15.75" customHeight="1" x14ac:dyDescent="0.25">
      <c r="B222" s="116"/>
      <c r="I222" s="655"/>
      <c r="K222" s="116"/>
      <c r="X222" s="1"/>
      <c r="Y222" s="1"/>
      <c r="Z222" s="1"/>
      <c r="AA222" s="1"/>
      <c r="AB222" s="655"/>
      <c r="AC222" s="1"/>
      <c r="AD222" s="116"/>
      <c r="AL222" s="655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5"/>
      <c r="BZ222" s="656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5"/>
      <c r="DJ222" s="116"/>
    </row>
    <row r="223" spans="2:114" ht="15.75" customHeight="1" x14ac:dyDescent="0.25">
      <c r="B223" s="116"/>
      <c r="I223" s="655"/>
      <c r="K223" s="116"/>
      <c r="X223" s="1"/>
      <c r="Y223" s="1"/>
      <c r="Z223" s="1"/>
      <c r="AA223" s="1"/>
      <c r="AB223" s="655"/>
      <c r="AC223" s="1"/>
      <c r="AD223" s="116"/>
      <c r="AL223" s="655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5"/>
      <c r="BZ223" s="656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5"/>
      <c r="DJ223" s="116"/>
    </row>
    <row r="224" spans="2:114" ht="15.75" customHeight="1" x14ac:dyDescent="0.25">
      <c r="B224" s="116"/>
      <c r="I224" s="655"/>
      <c r="K224" s="116"/>
      <c r="X224" s="1"/>
      <c r="Y224" s="1"/>
      <c r="Z224" s="1"/>
      <c r="AA224" s="1"/>
      <c r="AB224" s="655"/>
      <c r="AC224" s="1"/>
      <c r="AD224" s="116"/>
      <c r="AL224" s="655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5"/>
      <c r="BZ224" s="656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5"/>
      <c r="DJ224" s="116"/>
    </row>
    <row r="225" spans="2:114" ht="15.75" customHeight="1" x14ac:dyDescent="0.25">
      <c r="B225" s="116"/>
      <c r="I225" s="655"/>
      <c r="K225" s="116"/>
      <c r="X225" s="1"/>
      <c r="Y225" s="1"/>
      <c r="Z225" s="1"/>
      <c r="AA225" s="1"/>
      <c r="AB225" s="655"/>
      <c r="AC225" s="1"/>
      <c r="AD225" s="116"/>
      <c r="AL225" s="655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5"/>
      <c r="BZ225" s="656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5"/>
      <c r="DJ225" s="116"/>
    </row>
    <row r="226" spans="2:114" ht="15.75" customHeight="1" x14ac:dyDescent="0.25">
      <c r="B226" s="116"/>
      <c r="I226" s="655"/>
      <c r="K226" s="116"/>
      <c r="X226" s="1"/>
      <c r="Y226" s="1"/>
      <c r="Z226" s="1"/>
      <c r="AA226" s="1"/>
      <c r="AB226" s="655"/>
      <c r="AC226" s="1"/>
      <c r="AD226" s="116"/>
      <c r="AL226" s="655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5"/>
      <c r="BZ226" s="656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5"/>
      <c r="DJ226" s="116"/>
    </row>
    <row r="227" spans="2:114" ht="15.75" customHeight="1" x14ac:dyDescent="0.25">
      <c r="B227" s="116"/>
      <c r="I227" s="655"/>
      <c r="K227" s="116"/>
      <c r="X227" s="1"/>
      <c r="Y227" s="1"/>
      <c r="Z227" s="1"/>
      <c r="AA227" s="1"/>
      <c r="AB227" s="655"/>
      <c r="AC227" s="1"/>
      <c r="AD227" s="116"/>
      <c r="AL227" s="655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5"/>
      <c r="BZ227" s="656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5"/>
      <c r="DJ227" s="116"/>
    </row>
    <row r="228" spans="2:114" ht="15.75" customHeight="1" x14ac:dyDescent="0.25">
      <c r="B228" s="116"/>
      <c r="I228" s="655"/>
      <c r="K228" s="116"/>
      <c r="X228" s="1"/>
      <c r="Y228" s="1"/>
      <c r="Z228" s="1"/>
      <c r="AA228" s="1"/>
      <c r="AB228" s="655"/>
      <c r="AC228" s="1"/>
      <c r="AD228" s="116"/>
      <c r="AL228" s="655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5"/>
      <c r="BZ228" s="656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5"/>
      <c r="DJ228" s="116"/>
    </row>
    <row r="229" spans="2:114" ht="15.75" customHeight="1" x14ac:dyDescent="0.25">
      <c r="B229" s="116"/>
      <c r="I229" s="655"/>
      <c r="K229" s="116"/>
      <c r="X229" s="1"/>
      <c r="Y229" s="1"/>
      <c r="Z229" s="1"/>
      <c r="AA229" s="1"/>
      <c r="AB229" s="655"/>
      <c r="AC229" s="1"/>
      <c r="AD229" s="116"/>
      <c r="AL229" s="655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5"/>
      <c r="BZ229" s="656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5"/>
      <c r="DJ229" s="116"/>
    </row>
    <row r="230" spans="2:114" ht="15.75" customHeight="1" x14ac:dyDescent="0.25">
      <c r="B230" s="116"/>
      <c r="I230" s="655"/>
      <c r="K230" s="116"/>
      <c r="X230" s="1"/>
      <c r="Y230" s="1"/>
      <c r="Z230" s="1"/>
      <c r="AA230" s="1"/>
      <c r="AB230" s="655"/>
      <c r="AC230" s="1"/>
      <c r="AD230" s="116"/>
      <c r="AL230" s="655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5"/>
      <c r="BZ230" s="656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5"/>
      <c r="DJ230" s="116"/>
    </row>
    <row r="231" spans="2:114" ht="15.75" customHeight="1" x14ac:dyDescent="0.25">
      <c r="B231" s="116"/>
      <c r="I231" s="655"/>
      <c r="K231" s="116"/>
      <c r="X231" s="1"/>
      <c r="Y231" s="1"/>
      <c r="Z231" s="1"/>
      <c r="AA231" s="1"/>
      <c r="AB231" s="655"/>
      <c r="AC231" s="1"/>
      <c r="AD231" s="116"/>
      <c r="AL231" s="655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5"/>
      <c r="BZ231" s="656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5"/>
      <c r="DJ231" s="116"/>
    </row>
    <row r="232" spans="2:114" ht="15.75" customHeight="1" x14ac:dyDescent="0.25">
      <c r="B232" s="116"/>
      <c r="I232" s="655"/>
      <c r="K232" s="116"/>
      <c r="X232" s="1"/>
      <c r="Y232" s="1"/>
      <c r="Z232" s="1"/>
      <c r="AA232" s="1"/>
      <c r="AB232" s="655"/>
      <c r="AC232" s="1"/>
      <c r="AD232" s="116"/>
      <c r="AL232" s="655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5"/>
      <c r="BZ232" s="656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5"/>
      <c r="DJ232" s="116"/>
    </row>
    <row r="233" spans="2:114" ht="15.75" customHeight="1" x14ac:dyDescent="0.25">
      <c r="B233" s="116"/>
      <c r="I233" s="655"/>
      <c r="K233" s="116"/>
      <c r="X233" s="1"/>
      <c r="Y233" s="1"/>
      <c r="Z233" s="1"/>
      <c r="AA233" s="1"/>
      <c r="AB233" s="655"/>
      <c r="AC233" s="1"/>
      <c r="AD233" s="116"/>
      <c r="AL233" s="655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5"/>
      <c r="BZ233" s="656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5"/>
      <c r="DJ233" s="116"/>
    </row>
    <row r="234" spans="2:114" ht="15.75" customHeight="1" x14ac:dyDescent="0.25">
      <c r="B234" s="116"/>
      <c r="I234" s="655"/>
      <c r="K234" s="116"/>
      <c r="X234" s="1"/>
      <c r="Y234" s="1"/>
      <c r="Z234" s="1"/>
      <c r="AA234" s="1"/>
      <c r="AB234" s="655"/>
      <c r="AC234" s="1"/>
      <c r="AD234" s="116"/>
      <c r="AL234" s="655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5"/>
      <c r="BZ234" s="656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5"/>
      <c r="DJ234" s="116"/>
    </row>
    <row r="235" spans="2:114" ht="15.75" customHeight="1" x14ac:dyDescent="0.25">
      <c r="B235" s="116"/>
      <c r="I235" s="655"/>
      <c r="K235" s="116"/>
      <c r="X235" s="1"/>
      <c r="Y235" s="1"/>
      <c r="Z235" s="1"/>
      <c r="AA235" s="1"/>
      <c r="AB235" s="655"/>
      <c r="AC235" s="1"/>
      <c r="AD235" s="116"/>
      <c r="AL235" s="655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5"/>
      <c r="BZ235" s="656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5"/>
      <c r="DJ235" s="116"/>
    </row>
    <row r="236" spans="2:114" ht="15.75" customHeight="1" x14ac:dyDescent="0.25">
      <c r="B236" s="116"/>
      <c r="I236" s="655"/>
      <c r="K236" s="116"/>
      <c r="X236" s="1"/>
      <c r="Y236" s="1"/>
      <c r="Z236" s="1"/>
      <c r="AA236" s="1"/>
      <c r="AB236" s="655"/>
      <c r="AC236" s="1"/>
      <c r="AD236" s="116"/>
      <c r="AL236" s="655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5"/>
      <c r="BZ236" s="656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5"/>
      <c r="DJ236" s="116"/>
    </row>
    <row r="237" spans="2:114" ht="15.75" customHeight="1" x14ac:dyDescent="0.25">
      <c r="B237" s="116"/>
      <c r="I237" s="655"/>
      <c r="K237" s="116"/>
      <c r="X237" s="1"/>
      <c r="Y237" s="1"/>
      <c r="Z237" s="1"/>
      <c r="AA237" s="1"/>
      <c r="AB237" s="655"/>
      <c r="AC237" s="1"/>
      <c r="AD237" s="116"/>
      <c r="AL237" s="655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5"/>
      <c r="BZ237" s="656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5"/>
      <c r="DJ237" s="116"/>
    </row>
    <row r="238" spans="2:114" ht="15.75" customHeight="1" x14ac:dyDescent="0.25">
      <c r="B238" s="116"/>
      <c r="I238" s="655"/>
      <c r="K238" s="116"/>
      <c r="X238" s="1"/>
      <c r="Y238" s="1"/>
      <c r="Z238" s="1"/>
      <c r="AA238" s="1"/>
      <c r="AB238" s="655"/>
      <c r="AC238" s="1"/>
      <c r="AD238" s="116"/>
      <c r="AL238" s="655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5"/>
      <c r="BZ238" s="656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5"/>
      <c r="DJ238" s="116"/>
    </row>
    <row r="239" spans="2:114" ht="15.75" customHeight="1" x14ac:dyDescent="0.25">
      <c r="B239" s="116"/>
      <c r="I239" s="655"/>
      <c r="K239" s="116"/>
      <c r="X239" s="1"/>
      <c r="Y239" s="1"/>
      <c r="Z239" s="1"/>
      <c r="AA239" s="1"/>
      <c r="AB239" s="655"/>
      <c r="AC239" s="1"/>
      <c r="AD239" s="116"/>
      <c r="AL239" s="655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5"/>
      <c r="BZ239" s="656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5"/>
      <c r="DJ239" s="116"/>
    </row>
    <row r="240" spans="2:114" ht="15.75" customHeight="1" x14ac:dyDescent="0.25">
      <c r="B240" s="116"/>
      <c r="I240" s="655"/>
      <c r="K240" s="116"/>
      <c r="X240" s="1"/>
      <c r="Y240" s="1"/>
      <c r="Z240" s="1"/>
      <c r="AA240" s="1"/>
      <c r="AB240" s="655"/>
      <c r="AC240" s="1"/>
      <c r="AD240" s="116"/>
      <c r="AL240" s="655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5"/>
      <c r="BZ240" s="656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5"/>
      <c r="DJ240" s="116"/>
    </row>
    <row r="241" spans="2:114" ht="15.75" customHeight="1" x14ac:dyDescent="0.25">
      <c r="B241" s="116"/>
      <c r="I241" s="655"/>
      <c r="K241" s="116"/>
      <c r="X241" s="1"/>
      <c r="Y241" s="1"/>
      <c r="Z241" s="1"/>
      <c r="AA241" s="1"/>
      <c r="AB241" s="655"/>
      <c r="AC241" s="1"/>
      <c r="AD241" s="116"/>
      <c r="AL241" s="655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5"/>
      <c r="BZ241" s="656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5"/>
      <c r="DJ241" s="116"/>
    </row>
    <row r="242" spans="2:114" ht="15.75" customHeight="1" x14ac:dyDescent="0.25">
      <c r="B242" s="116"/>
      <c r="I242" s="655"/>
      <c r="K242" s="116"/>
      <c r="X242" s="1"/>
      <c r="Y242" s="1"/>
      <c r="Z242" s="1"/>
      <c r="AA242" s="1"/>
      <c r="AB242" s="655"/>
      <c r="AC242" s="1"/>
      <c r="AD242" s="116"/>
      <c r="AL242" s="655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5"/>
      <c r="BZ242" s="656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5"/>
      <c r="DJ242" s="116"/>
    </row>
    <row r="243" spans="2:114" ht="15.75" customHeight="1" x14ac:dyDescent="0.25">
      <c r="B243" s="116"/>
      <c r="I243" s="655"/>
      <c r="K243" s="116"/>
      <c r="X243" s="1"/>
      <c r="Y243" s="1"/>
      <c r="Z243" s="1"/>
      <c r="AA243" s="1"/>
      <c r="AB243" s="655"/>
      <c r="AC243" s="1"/>
      <c r="AD243" s="116"/>
      <c r="AL243" s="655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5"/>
      <c r="BZ243" s="656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5"/>
      <c r="DJ243" s="116"/>
    </row>
    <row r="244" spans="2:114" ht="15.75" customHeight="1" x14ac:dyDescent="0.25">
      <c r="B244" s="116"/>
      <c r="I244" s="655"/>
      <c r="K244" s="116"/>
      <c r="X244" s="1"/>
      <c r="Y244" s="1"/>
      <c r="Z244" s="1"/>
      <c r="AA244" s="1"/>
      <c r="AB244" s="655"/>
      <c r="AC244" s="1"/>
      <c r="AD244" s="116"/>
      <c r="AL244" s="655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5"/>
      <c r="BZ244" s="656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5"/>
      <c r="DJ244" s="116"/>
    </row>
    <row r="245" spans="2:114" ht="15.75" customHeight="1" x14ac:dyDescent="0.25">
      <c r="B245" s="116"/>
      <c r="I245" s="655"/>
      <c r="K245" s="116"/>
      <c r="X245" s="1"/>
      <c r="Y245" s="1"/>
      <c r="Z245" s="1"/>
      <c r="AA245" s="1"/>
      <c r="AB245" s="655"/>
      <c r="AC245" s="1"/>
      <c r="AD245" s="116"/>
      <c r="AL245" s="655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5"/>
      <c r="BZ245" s="656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5"/>
      <c r="DJ245" s="116"/>
    </row>
    <row r="246" spans="2:114" ht="15.75" customHeight="1" x14ac:dyDescent="0.25">
      <c r="B246" s="116"/>
      <c r="I246" s="655"/>
      <c r="K246" s="116"/>
      <c r="X246" s="1"/>
      <c r="Y246" s="1"/>
      <c r="Z246" s="1"/>
      <c r="AA246" s="1"/>
      <c r="AB246" s="655"/>
      <c r="AC246" s="1"/>
      <c r="AD246" s="116"/>
      <c r="AL246" s="655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5"/>
      <c r="BZ246" s="656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5"/>
      <c r="DJ246" s="116"/>
    </row>
    <row r="247" spans="2:114" ht="15.75" customHeight="1" x14ac:dyDescent="0.25">
      <c r="B247" s="116"/>
      <c r="I247" s="655"/>
      <c r="K247" s="116"/>
      <c r="X247" s="1"/>
      <c r="Y247" s="1"/>
      <c r="Z247" s="1"/>
      <c r="AA247" s="1"/>
      <c r="AB247" s="655"/>
      <c r="AC247" s="1"/>
      <c r="AD247" s="116"/>
      <c r="AL247" s="655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5"/>
      <c r="BZ247" s="656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5"/>
      <c r="DJ247" s="116"/>
    </row>
    <row r="248" spans="2:114" ht="15.75" customHeight="1" x14ac:dyDescent="0.25">
      <c r="B248" s="116"/>
      <c r="I248" s="655"/>
      <c r="K248" s="116"/>
      <c r="X248" s="1"/>
      <c r="Y248" s="1"/>
      <c r="Z248" s="1"/>
      <c r="AA248" s="1"/>
      <c r="AB248" s="655"/>
      <c r="AC248" s="1"/>
      <c r="AD248" s="116"/>
      <c r="AL248" s="655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5"/>
      <c r="BZ248" s="656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5"/>
      <c r="DJ248" s="116"/>
    </row>
    <row r="249" spans="2:114" ht="15.75" customHeight="1" x14ac:dyDescent="0.25">
      <c r="B249" s="116"/>
      <c r="I249" s="655"/>
      <c r="K249" s="116"/>
      <c r="X249" s="1"/>
      <c r="Y249" s="1"/>
      <c r="Z249" s="1"/>
      <c r="AA249" s="1"/>
      <c r="AB249" s="655"/>
      <c r="AC249" s="1"/>
      <c r="AD249" s="116"/>
      <c r="AL249" s="655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5"/>
      <c r="BZ249" s="656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5"/>
      <c r="DJ249" s="116"/>
    </row>
    <row r="250" spans="2:114" ht="15.75" customHeight="1" x14ac:dyDescent="0.25">
      <c r="B250" s="116"/>
      <c r="I250" s="655"/>
      <c r="K250" s="116"/>
      <c r="X250" s="1"/>
      <c r="Y250" s="1"/>
      <c r="Z250" s="1"/>
      <c r="AA250" s="1"/>
      <c r="AB250" s="655"/>
      <c r="AC250" s="1"/>
      <c r="AD250" s="116"/>
      <c r="AL250" s="655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5"/>
      <c r="BZ250" s="656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5"/>
      <c r="DJ250" s="116"/>
    </row>
    <row r="251" spans="2:114" ht="15.75" customHeight="1" x14ac:dyDescent="0.25">
      <c r="B251" s="116"/>
      <c r="I251" s="655"/>
      <c r="K251" s="116"/>
      <c r="X251" s="1"/>
      <c r="Y251" s="1"/>
      <c r="Z251" s="1"/>
      <c r="AA251" s="1"/>
      <c r="AB251" s="655"/>
      <c r="AC251" s="1"/>
      <c r="AD251" s="116"/>
      <c r="AL251" s="655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5"/>
      <c r="BZ251" s="656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5"/>
      <c r="DJ251" s="116"/>
    </row>
    <row r="252" spans="2:114" ht="15.75" customHeight="1" x14ac:dyDescent="0.25">
      <c r="B252" s="116"/>
      <c r="I252" s="655"/>
      <c r="K252" s="116"/>
      <c r="X252" s="1"/>
      <c r="Y252" s="1"/>
      <c r="Z252" s="1"/>
      <c r="AA252" s="1"/>
      <c r="AB252" s="655"/>
      <c r="AC252" s="1"/>
      <c r="AD252" s="116"/>
      <c r="AL252" s="655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5"/>
      <c r="BZ252" s="656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5"/>
      <c r="DJ252" s="116"/>
    </row>
    <row r="253" spans="2:114" ht="15.75" customHeight="1" x14ac:dyDescent="0.25">
      <c r="B253" s="116"/>
      <c r="I253" s="655"/>
      <c r="K253" s="116"/>
      <c r="X253" s="1"/>
      <c r="Y253" s="1"/>
      <c r="Z253" s="1"/>
      <c r="AA253" s="1"/>
      <c r="AB253" s="655"/>
      <c r="AC253" s="1"/>
      <c r="AD253" s="116"/>
      <c r="AL253" s="655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5"/>
      <c r="BZ253" s="656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5"/>
      <c r="DJ253" s="116"/>
    </row>
    <row r="254" spans="2:114" ht="15.75" customHeight="1" x14ac:dyDescent="0.25">
      <c r="B254" s="116"/>
      <c r="I254" s="655"/>
      <c r="K254" s="116"/>
      <c r="X254" s="1"/>
      <c r="Y254" s="1"/>
      <c r="Z254" s="1"/>
      <c r="AA254" s="1"/>
      <c r="AB254" s="655"/>
      <c r="AC254" s="1"/>
      <c r="AD254" s="116"/>
      <c r="AL254" s="655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5"/>
      <c r="BZ254" s="656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5"/>
      <c r="DJ254" s="116"/>
    </row>
    <row r="255" spans="2:114" ht="15.75" customHeight="1" x14ac:dyDescent="0.25">
      <c r="B255" s="116"/>
      <c r="I255" s="655"/>
      <c r="K255" s="116"/>
      <c r="X255" s="1"/>
      <c r="Y255" s="1"/>
      <c r="Z255" s="1"/>
      <c r="AA255" s="1"/>
      <c r="AB255" s="655"/>
      <c r="AC255" s="1"/>
      <c r="AD255" s="116"/>
      <c r="AL255" s="655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5"/>
      <c r="BZ255" s="656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5"/>
      <c r="DJ255" s="116"/>
    </row>
    <row r="256" spans="2:114" ht="15.75" customHeight="1" x14ac:dyDescent="0.25">
      <c r="B256" s="116"/>
      <c r="I256" s="655"/>
      <c r="K256" s="116"/>
      <c r="X256" s="1"/>
      <c r="Y256" s="1"/>
      <c r="Z256" s="1"/>
      <c r="AA256" s="1"/>
      <c r="AB256" s="655"/>
      <c r="AC256" s="1"/>
      <c r="AD256" s="116"/>
      <c r="AL256" s="655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5"/>
      <c r="BZ256" s="656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5"/>
      <c r="DJ256" s="116"/>
    </row>
    <row r="257" spans="2:114" ht="15.75" customHeight="1" x14ac:dyDescent="0.25">
      <c r="B257" s="116"/>
      <c r="I257" s="655"/>
      <c r="K257" s="116"/>
      <c r="X257" s="1"/>
      <c r="Y257" s="1"/>
      <c r="Z257" s="1"/>
      <c r="AA257" s="1"/>
      <c r="AB257" s="655"/>
      <c r="AC257" s="1"/>
      <c r="AD257" s="116"/>
      <c r="AL257" s="655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5"/>
      <c r="BZ257" s="656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5"/>
      <c r="DJ257" s="116"/>
    </row>
    <row r="258" spans="2:114" ht="15.75" customHeight="1" x14ac:dyDescent="0.25">
      <c r="B258" s="116"/>
      <c r="I258" s="655"/>
      <c r="K258" s="116"/>
      <c r="X258" s="1"/>
      <c r="Y258" s="1"/>
      <c r="Z258" s="1"/>
      <c r="AA258" s="1"/>
      <c r="AB258" s="655"/>
      <c r="AC258" s="1"/>
      <c r="AD258" s="116"/>
      <c r="AL258" s="655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5"/>
      <c r="BZ258" s="656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5"/>
      <c r="DJ258" s="116"/>
    </row>
    <row r="259" spans="2:114" ht="15.75" customHeight="1" x14ac:dyDescent="0.25">
      <c r="B259" s="116"/>
      <c r="I259" s="655"/>
      <c r="K259" s="116"/>
      <c r="X259" s="1"/>
      <c r="Y259" s="1"/>
      <c r="Z259" s="1"/>
      <c r="AA259" s="1"/>
      <c r="AB259" s="655"/>
      <c r="AC259" s="1"/>
      <c r="AD259" s="116"/>
      <c r="AL259" s="655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5"/>
      <c r="BZ259" s="656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5"/>
      <c r="DJ259" s="116"/>
    </row>
    <row r="260" spans="2:114" ht="15.75" customHeight="1" x14ac:dyDescent="0.25">
      <c r="B260" s="116"/>
      <c r="I260" s="655"/>
      <c r="K260" s="116"/>
      <c r="X260" s="1"/>
      <c r="Y260" s="1"/>
      <c r="Z260" s="1"/>
      <c r="AA260" s="1"/>
      <c r="AB260" s="655"/>
      <c r="AC260" s="1"/>
      <c r="AD260" s="116"/>
      <c r="AL260" s="655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5"/>
      <c r="BZ260" s="656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5"/>
      <c r="DJ260" s="116"/>
    </row>
    <row r="261" spans="2:114" ht="15.75" customHeight="1" x14ac:dyDescent="0.25">
      <c r="B261" s="116"/>
      <c r="I261" s="655"/>
      <c r="K261" s="116"/>
      <c r="X261" s="1"/>
      <c r="Y261" s="1"/>
      <c r="Z261" s="1"/>
      <c r="AA261" s="1"/>
      <c r="AB261" s="655"/>
      <c r="AC261" s="1"/>
      <c r="AD261" s="116"/>
      <c r="AL261" s="655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5"/>
      <c r="BZ261" s="656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5"/>
      <c r="DJ261" s="116"/>
    </row>
    <row r="262" spans="2:114" ht="15.75" customHeight="1" x14ac:dyDescent="0.25">
      <c r="B262" s="116"/>
      <c r="I262" s="655"/>
      <c r="K262" s="116"/>
      <c r="X262" s="1"/>
      <c r="Y262" s="1"/>
      <c r="Z262" s="1"/>
      <c r="AA262" s="1"/>
      <c r="AB262" s="655"/>
      <c r="AC262" s="1"/>
      <c r="AD262" s="116"/>
      <c r="AL262" s="655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5"/>
      <c r="BZ262" s="656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5"/>
      <c r="DJ262" s="116"/>
    </row>
    <row r="263" spans="2:114" ht="15.75" customHeight="1" x14ac:dyDescent="0.25">
      <c r="B263" s="116"/>
      <c r="I263" s="655"/>
      <c r="K263" s="116"/>
      <c r="X263" s="1"/>
      <c r="Y263" s="1"/>
      <c r="Z263" s="1"/>
      <c r="AA263" s="1"/>
      <c r="AB263" s="655"/>
      <c r="AC263" s="1"/>
      <c r="AD263" s="116"/>
      <c r="AL263" s="655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5"/>
      <c r="BZ263" s="656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5"/>
      <c r="DJ263" s="116"/>
    </row>
    <row r="264" spans="2:114" ht="15.75" customHeight="1" x14ac:dyDescent="0.25">
      <c r="B264" s="116"/>
      <c r="I264" s="655"/>
      <c r="K264" s="116"/>
      <c r="X264" s="1"/>
      <c r="Y264" s="1"/>
      <c r="Z264" s="1"/>
      <c r="AA264" s="1"/>
      <c r="AB264" s="655"/>
      <c r="AC264" s="1"/>
      <c r="AD264" s="116"/>
      <c r="AL264" s="655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5"/>
      <c r="BZ264" s="656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5"/>
      <c r="DJ264" s="116"/>
    </row>
    <row r="265" spans="2:114" ht="15.75" customHeight="1" x14ac:dyDescent="0.25">
      <c r="B265" s="116"/>
      <c r="I265" s="655"/>
      <c r="K265" s="116"/>
      <c r="X265" s="1"/>
      <c r="Y265" s="1"/>
      <c r="Z265" s="1"/>
      <c r="AA265" s="1"/>
      <c r="AB265" s="655"/>
      <c r="AC265" s="1"/>
      <c r="AD265" s="116"/>
      <c r="AL265" s="655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5"/>
      <c r="BZ265" s="656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5"/>
      <c r="DJ265" s="116"/>
    </row>
    <row r="266" spans="2:114" ht="15.75" customHeight="1" x14ac:dyDescent="0.25">
      <c r="B266" s="116"/>
      <c r="I266" s="655"/>
      <c r="K266" s="116"/>
      <c r="X266" s="1"/>
      <c r="Y266" s="1"/>
      <c r="Z266" s="1"/>
      <c r="AA266" s="1"/>
      <c r="AB266" s="655"/>
      <c r="AC266" s="1"/>
      <c r="AD266" s="116"/>
      <c r="AL266" s="655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5"/>
      <c r="BZ266" s="656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5"/>
      <c r="DJ266" s="116"/>
    </row>
    <row r="267" spans="2:114" ht="15.75" customHeight="1" x14ac:dyDescent="0.25">
      <c r="B267" s="116"/>
      <c r="I267" s="655"/>
      <c r="K267" s="116"/>
      <c r="X267" s="1"/>
      <c r="Y267" s="1"/>
      <c r="Z267" s="1"/>
      <c r="AA267" s="1"/>
      <c r="AB267" s="655"/>
      <c r="AC267" s="1"/>
      <c r="AD267" s="116"/>
      <c r="AL267" s="655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5"/>
      <c r="BZ267" s="656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5"/>
      <c r="DJ267" s="116"/>
    </row>
    <row r="268" spans="2:114" ht="15.75" customHeight="1" x14ac:dyDescent="0.25">
      <c r="B268" s="116"/>
      <c r="I268" s="655"/>
      <c r="K268" s="116"/>
      <c r="X268" s="1"/>
      <c r="Y268" s="1"/>
      <c r="Z268" s="1"/>
      <c r="AA268" s="1"/>
      <c r="AB268" s="655"/>
      <c r="AC268" s="1"/>
      <c r="AD268" s="116"/>
      <c r="AL268" s="655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5"/>
      <c r="BZ268" s="656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5"/>
      <c r="DJ268" s="116"/>
    </row>
    <row r="269" spans="2:114" ht="15.75" customHeight="1" x14ac:dyDescent="0.25">
      <c r="B269" s="116"/>
      <c r="I269" s="655"/>
      <c r="K269" s="116"/>
      <c r="X269" s="1"/>
      <c r="Y269" s="1"/>
      <c r="Z269" s="1"/>
      <c r="AA269" s="1"/>
      <c r="AB269" s="655"/>
      <c r="AC269" s="1"/>
      <c r="AD269" s="116"/>
      <c r="AL269" s="655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5"/>
      <c r="BZ269" s="656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5"/>
      <c r="DJ269" s="116"/>
    </row>
    <row r="270" spans="2:114" ht="15.75" customHeight="1" x14ac:dyDescent="0.25">
      <c r="B270" s="116"/>
      <c r="I270" s="655"/>
      <c r="K270" s="116"/>
      <c r="X270" s="1"/>
      <c r="Y270" s="1"/>
      <c r="Z270" s="1"/>
      <c r="AA270" s="1"/>
      <c r="AB270" s="655"/>
      <c r="AC270" s="1"/>
      <c r="AD270" s="116"/>
      <c r="AL270" s="655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5"/>
      <c r="BZ270" s="656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5"/>
      <c r="DJ270" s="116"/>
    </row>
    <row r="271" spans="2:114" ht="15.75" customHeight="1" x14ac:dyDescent="0.25">
      <c r="B271" s="116"/>
      <c r="I271" s="655"/>
      <c r="K271" s="116"/>
      <c r="X271" s="1"/>
      <c r="Y271" s="1"/>
      <c r="Z271" s="1"/>
      <c r="AA271" s="1"/>
      <c r="AB271" s="655"/>
      <c r="AC271" s="1"/>
      <c r="AD271" s="116"/>
      <c r="AL271" s="655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5"/>
      <c r="BZ271" s="656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5"/>
      <c r="DJ271" s="116"/>
    </row>
    <row r="272" spans="2:114" ht="15.75" customHeight="1" x14ac:dyDescent="0.25">
      <c r="B272" s="116"/>
      <c r="I272" s="655"/>
      <c r="K272" s="116"/>
      <c r="X272" s="1"/>
      <c r="Y272" s="1"/>
      <c r="Z272" s="1"/>
      <c r="AA272" s="1"/>
      <c r="AB272" s="655"/>
      <c r="AC272" s="1"/>
      <c r="AD272" s="116"/>
      <c r="AL272" s="655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5"/>
      <c r="BZ272" s="656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5"/>
      <c r="DJ272" s="116"/>
    </row>
    <row r="273" spans="2:114" ht="15.75" customHeight="1" x14ac:dyDescent="0.25">
      <c r="B273" s="116"/>
      <c r="I273" s="655"/>
      <c r="K273" s="116"/>
      <c r="X273" s="1"/>
      <c r="Y273" s="1"/>
      <c r="Z273" s="1"/>
      <c r="AA273" s="1"/>
      <c r="AB273" s="655"/>
      <c r="AC273" s="1"/>
      <c r="AD273" s="116"/>
      <c r="AL273" s="655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5"/>
      <c r="BZ273" s="656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5"/>
      <c r="DJ273" s="116"/>
    </row>
    <row r="274" spans="2:114" ht="15.75" customHeight="1" x14ac:dyDescent="0.25">
      <c r="B274" s="116"/>
      <c r="I274" s="655"/>
      <c r="K274" s="116"/>
      <c r="X274" s="1"/>
      <c r="Y274" s="1"/>
      <c r="Z274" s="1"/>
      <c r="AA274" s="1"/>
      <c r="AB274" s="655"/>
      <c r="AC274" s="1"/>
      <c r="AD274" s="116"/>
      <c r="AL274" s="655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5"/>
      <c r="BZ274" s="656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5"/>
      <c r="DJ274" s="116"/>
    </row>
    <row r="275" spans="2:114" ht="15.75" customHeight="1" x14ac:dyDescent="0.25">
      <c r="B275" s="116"/>
      <c r="I275" s="655"/>
      <c r="K275" s="116"/>
      <c r="X275" s="1"/>
      <c r="Y275" s="1"/>
      <c r="Z275" s="1"/>
      <c r="AA275" s="1"/>
      <c r="AB275" s="655"/>
      <c r="AC275" s="1"/>
      <c r="AD275" s="116"/>
      <c r="AL275" s="655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5"/>
      <c r="BZ275" s="656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5"/>
      <c r="DJ275" s="116"/>
    </row>
    <row r="276" spans="2:114" ht="15.75" customHeight="1" x14ac:dyDescent="0.25">
      <c r="B276" s="116"/>
      <c r="I276" s="655"/>
      <c r="K276" s="116"/>
      <c r="X276" s="1"/>
      <c r="Y276" s="1"/>
      <c r="Z276" s="1"/>
      <c r="AA276" s="1"/>
      <c r="AB276" s="655"/>
      <c r="AC276" s="1"/>
      <c r="AD276" s="116"/>
      <c r="AL276" s="655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5"/>
      <c r="BZ276" s="656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5"/>
      <c r="DJ276" s="116"/>
    </row>
    <row r="277" spans="2:114" ht="15.75" customHeight="1" x14ac:dyDescent="0.25">
      <c r="B277" s="116"/>
      <c r="I277" s="655"/>
      <c r="K277" s="116"/>
      <c r="X277" s="1"/>
      <c r="Y277" s="1"/>
      <c r="Z277" s="1"/>
      <c r="AA277" s="1"/>
      <c r="AB277" s="655"/>
      <c r="AC277" s="1"/>
      <c r="AD277" s="116"/>
      <c r="AL277" s="655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5"/>
      <c r="BZ277" s="656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5"/>
      <c r="DJ277" s="116"/>
    </row>
    <row r="278" spans="2:114" ht="15.75" customHeight="1" x14ac:dyDescent="0.25">
      <c r="B278" s="116"/>
      <c r="I278" s="655"/>
      <c r="K278" s="116"/>
      <c r="X278" s="1"/>
      <c r="Y278" s="1"/>
      <c r="Z278" s="1"/>
      <c r="AA278" s="1"/>
      <c r="AB278" s="655"/>
      <c r="AC278" s="1"/>
      <c r="AD278" s="116"/>
      <c r="AL278" s="655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5"/>
      <c r="BZ278" s="656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5"/>
      <c r="DJ278" s="116"/>
    </row>
    <row r="279" spans="2:114" ht="15.75" customHeight="1" x14ac:dyDescent="0.25">
      <c r="B279" s="116"/>
      <c r="I279" s="655"/>
      <c r="K279" s="116"/>
      <c r="X279" s="1"/>
      <c r="Y279" s="1"/>
      <c r="Z279" s="1"/>
      <c r="AA279" s="1"/>
      <c r="AB279" s="655"/>
      <c r="AC279" s="1"/>
      <c r="AD279" s="116"/>
      <c r="AL279" s="655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5"/>
      <c r="BZ279" s="656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5"/>
      <c r="DJ279" s="116"/>
    </row>
    <row r="280" spans="2:114" ht="15.75" customHeight="1" x14ac:dyDescent="0.25">
      <c r="B280" s="116"/>
      <c r="I280" s="655"/>
      <c r="K280" s="116"/>
      <c r="X280" s="1"/>
      <c r="Y280" s="1"/>
      <c r="Z280" s="1"/>
      <c r="AA280" s="1"/>
      <c r="AB280" s="655"/>
      <c r="AC280" s="1"/>
      <c r="AD280" s="116"/>
      <c r="AL280" s="655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5"/>
      <c r="BZ280" s="656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5"/>
      <c r="DJ280" s="116"/>
    </row>
    <row r="281" spans="2:114" ht="15.75" customHeight="1" x14ac:dyDescent="0.25">
      <c r="B281" s="116"/>
      <c r="I281" s="655"/>
      <c r="K281" s="116"/>
      <c r="X281" s="1"/>
      <c r="Y281" s="1"/>
      <c r="Z281" s="1"/>
      <c r="AA281" s="1"/>
      <c r="AB281" s="655"/>
      <c r="AC281" s="1"/>
      <c r="AD281" s="116"/>
      <c r="AL281" s="655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5"/>
      <c r="BZ281" s="656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5"/>
      <c r="DJ281" s="116"/>
    </row>
    <row r="282" spans="2:114" ht="15.75" customHeight="1" x14ac:dyDescent="0.25">
      <c r="B282" s="116"/>
      <c r="I282" s="655"/>
      <c r="K282" s="116"/>
      <c r="X282" s="1"/>
      <c r="Y282" s="1"/>
      <c r="Z282" s="1"/>
      <c r="AA282" s="1"/>
      <c r="AB282" s="655"/>
      <c r="AC282" s="1"/>
      <c r="AD282" s="116"/>
      <c r="AL282" s="655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5"/>
      <c r="BZ282" s="656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5"/>
      <c r="DJ282" s="116"/>
    </row>
    <row r="283" spans="2:114" ht="15.75" customHeight="1" x14ac:dyDescent="0.25">
      <c r="B283" s="116"/>
      <c r="I283" s="655"/>
      <c r="K283" s="116"/>
      <c r="X283" s="1"/>
      <c r="Y283" s="1"/>
      <c r="Z283" s="1"/>
      <c r="AA283" s="1"/>
      <c r="AB283" s="655"/>
      <c r="AC283" s="1"/>
      <c r="AD283" s="116"/>
      <c r="AL283" s="655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5"/>
      <c r="BZ283" s="656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5"/>
      <c r="DJ283" s="116"/>
    </row>
    <row r="284" spans="2:114" ht="15.75" customHeight="1" x14ac:dyDescent="0.25">
      <c r="B284" s="116"/>
      <c r="I284" s="655"/>
      <c r="K284" s="116"/>
      <c r="X284" s="1"/>
      <c r="Y284" s="1"/>
      <c r="Z284" s="1"/>
      <c r="AA284" s="1"/>
      <c r="AB284" s="655"/>
      <c r="AC284" s="1"/>
      <c r="AD284" s="116"/>
      <c r="AL284" s="655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5"/>
      <c r="BZ284" s="656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5"/>
      <c r="DJ284" s="116"/>
    </row>
    <row r="285" spans="2:114" ht="15.75" customHeight="1" x14ac:dyDescent="0.25">
      <c r="B285" s="116"/>
      <c r="I285" s="655"/>
      <c r="K285" s="116"/>
      <c r="X285" s="1"/>
      <c r="Y285" s="1"/>
      <c r="Z285" s="1"/>
      <c r="AA285" s="1"/>
      <c r="AB285" s="655"/>
      <c r="AC285" s="1"/>
      <c r="AD285" s="116"/>
      <c r="AL285" s="655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5"/>
      <c r="BZ285" s="656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5"/>
      <c r="DJ285" s="116"/>
    </row>
    <row r="286" spans="2:114" ht="15.75" customHeight="1" x14ac:dyDescent="0.25">
      <c r="B286" s="116"/>
      <c r="I286" s="655"/>
      <c r="K286" s="116"/>
      <c r="X286" s="1"/>
      <c r="Y286" s="1"/>
      <c r="Z286" s="1"/>
      <c r="AA286" s="1"/>
      <c r="AB286" s="655"/>
      <c r="AC286" s="1"/>
      <c r="AD286" s="116"/>
      <c r="AL286" s="655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5"/>
      <c r="BZ286" s="656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5"/>
      <c r="DJ286" s="116"/>
    </row>
    <row r="287" spans="2:114" ht="15.75" customHeight="1" x14ac:dyDescent="0.25">
      <c r="B287" s="116"/>
      <c r="I287" s="655"/>
      <c r="K287" s="116"/>
      <c r="X287" s="1"/>
      <c r="Y287" s="1"/>
      <c r="Z287" s="1"/>
      <c r="AA287" s="1"/>
      <c r="AB287" s="655"/>
      <c r="AC287" s="1"/>
      <c r="AD287" s="116"/>
      <c r="AL287" s="655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5"/>
      <c r="BZ287" s="656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5"/>
      <c r="DJ287" s="116"/>
    </row>
    <row r="288" spans="2:114" ht="15.75" customHeight="1" x14ac:dyDescent="0.25">
      <c r="B288" s="116"/>
      <c r="I288" s="655"/>
      <c r="K288" s="116"/>
      <c r="X288" s="1"/>
      <c r="Y288" s="1"/>
      <c r="Z288" s="1"/>
      <c r="AA288" s="1"/>
      <c r="AB288" s="655"/>
      <c r="AC288" s="1"/>
      <c r="AD288" s="116"/>
      <c r="AL288" s="655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5"/>
      <c r="BZ288" s="656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5"/>
      <c r="DJ288" s="116"/>
    </row>
    <row r="289" spans="2:114" ht="15.75" customHeight="1" x14ac:dyDescent="0.25">
      <c r="B289" s="116"/>
      <c r="I289" s="655"/>
      <c r="K289" s="116"/>
      <c r="X289" s="1"/>
      <c r="Y289" s="1"/>
      <c r="Z289" s="1"/>
      <c r="AA289" s="1"/>
      <c r="AB289" s="655"/>
      <c r="AC289" s="1"/>
      <c r="AD289" s="116"/>
      <c r="AL289" s="655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5"/>
      <c r="BZ289" s="656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5"/>
      <c r="DJ289" s="116"/>
    </row>
    <row r="290" spans="2:114" ht="15.75" customHeight="1" x14ac:dyDescent="0.25">
      <c r="B290" s="116"/>
      <c r="I290" s="655"/>
      <c r="K290" s="116"/>
      <c r="X290" s="1"/>
      <c r="Y290" s="1"/>
      <c r="Z290" s="1"/>
      <c r="AA290" s="1"/>
      <c r="AB290" s="655"/>
      <c r="AC290" s="1"/>
      <c r="AD290" s="116"/>
      <c r="AL290" s="655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5"/>
      <c r="BZ290" s="656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5"/>
      <c r="DJ290" s="116"/>
    </row>
    <row r="291" spans="2:114" ht="15.75" customHeight="1" x14ac:dyDescent="0.25">
      <c r="B291" s="116"/>
      <c r="I291" s="655"/>
      <c r="K291" s="116"/>
      <c r="X291" s="1"/>
      <c r="Y291" s="1"/>
      <c r="Z291" s="1"/>
      <c r="AA291" s="1"/>
      <c r="AB291" s="655"/>
      <c r="AC291" s="1"/>
      <c r="AD291" s="116"/>
      <c r="AL291" s="655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5"/>
      <c r="BZ291" s="656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5"/>
      <c r="DJ291" s="116"/>
    </row>
    <row r="292" spans="2:114" ht="15.75" customHeight="1" x14ac:dyDescent="0.25">
      <c r="B292" s="116"/>
      <c r="I292" s="655"/>
      <c r="K292" s="116"/>
      <c r="X292" s="1"/>
      <c r="Y292" s="1"/>
      <c r="Z292" s="1"/>
      <c r="AA292" s="1"/>
      <c r="AB292" s="655"/>
      <c r="AC292" s="1"/>
      <c r="AD292" s="116"/>
      <c r="AL292" s="655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5"/>
      <c r="BZ292" s="656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5"/>
      <c r="DJ292" s="116"/>
    </row>
    <row r="293" spans="2:114" ht="15.75" customHeight="1" x14ac:dyDescent="0.25">
      <c r="B293" s="116"/>
      <c r="I293" s="655"/>
      <c r="K293" s="116"/>
      <c r="X293" s="1"/>
      <c r="Y293" s="1"/>
      <c r="Z293" s="1"/>
      <c r="AA293" s="1"/>
      <c r="AB293" s="655"/>
      <c r="AC293" s="1"/>
      <c r="AD293" s="116"/>
      <c r="AL293" s="655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5"/>
      <c r="BZ293" s="656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5"/>
      <c r="DJ293" s="116"/>
    </row>
    <row r="294" spans="2:114" ht="15.75" customHeight="1" x14ac:dyDescent="0.25">
      <c r="B294" s="116"/>
      <c r="I294" s="655"/>
      <c r="K294" s="116"/>
      <c r="X294" s="1"/>
      <c r="Y294" s="1"/>
      <c r="Z294" s="1"/>
      <c r="AA294" s="1"/>
      <c r="AB294" s="655"/>
      <c r="AC294" s="1"/>
      <c r="AD294" s="116"/>
      <c r="AL294" s="655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5"/>
      <c r="BZ294" s="656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5"/>
      <c r="DJ294" s="116"/>
    </row>
    <row r="295" spans="2:114" ht="15.75" customHeight="1" x14ac:dyDescent="0.25">
      <c r="B295" s="116"/>
      <c r="I295" s="655"/>
      <c r="K295" s="116"/>
      <c r="X295" s="1"/>
      <c r="Y295" s="1"/>
      <c r="Z295" s="1"/>
      <c r="AA295" s="1"/>
      <c r="AB295" s="655"/>
      <c r="AC295" s="1"/>
      <c r="AD295" s="116"/>
      <c r="AL295" s="655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5"/>
      <c r="BZ295" s="656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5"/>
      <c r="DJ295" s="116"/>
    </row>
    <row r="296" spans="2:114" ht="15.75" customHeight="1" x14ac:dyDescent="0.25">
      <c r="B296" s="116"/>
      <c r="I296" s="655"/>
      <c r="K296" s="116"/>
      <c r="X296" s="1"/>
      <c r="Y296" s="1"/>
      <c r="Z296" s="1"/>
      <c r="AA296" s="1"/>
      <c r="AB296" s="655"/>
      <c r="AC296" s="1"/>
      <c r="AD296" s="116"/>
      <c r="AL296" s="655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5"/>
      <c r="BZ296" s="656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5"/>
      <c r="DJ296" s="116"/>
    </row>
    <row r="297" spans="2:114" ht="15.75" customHeight="1" x14ac:dyDescent="0.25">
      <c r="B297" s="116"/>
      <c r="I297" s="655"/>
      <c r="K297" s="116"/>
      <c r="X297" s="1"/>
      <c r="Y297" s="1"/>
      <c r="Z297" s="1"/>
      <c r="AA297" s="1"/>
      <c r="AB297" s="655"/>
      <c r="AC297" s="1"/>
      <c r="AD297" s="116"/>
      <c r="AL297" s="655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5"/>
      <c r="BZ297" s="656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5"/>
      <c r="DJ297" s="116"/>
    </row>
    <row r="298" spans="2:114" ht="15.75" customHeight="1" x14ac:dyDescent="0.25">
      <c r="B298" s="116"/>
      <c r="I298" s="655"/>
      <c r="K298" s="116"/>
      <c r="X298" s="1"/>
      <c r="Y298" s="1"/>
      <c r="Z298" s="1"/>
      <c r="AA298" s="1"/>
      <c r="AB298" s="655"/>
      <c r="AC298" s="1"/>
      <c r="AD298" s="116"/>
      <c r="AL298" s="655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5"/>
      <c r="BZ298" s="656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5"/>
      <c r="DJ298" s="116"/>
    </row>
    <row r="299" spans="2:114" ht="15.75" customHeight="1" x14ac:dyDescent="0.25">
      <c r="B299" s="116"/>
      <c r="I299" s="655"/>
      <c r="K299" s="116"/>
      <c r="X299" s="1"/>
      <c r="Y299" s="1"/>
      <c r="Z299" s="1"/>
      <c r="AA299" s="1"/>
      <c r="AB299" s="655"/>
      <c r="AC299" s="1"/>
      <c r="AD299" s="116"/>
      <c r="AL299" s="655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5"/>
      <c r="BZ299" s="656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5"/>
      <c r="DJ299" s="116"/>
    </row>
    <row r="300" spans="2:114" ht="15.75" customHeight="1" x14ac:dyDescent="0.25">
      <c r="B300" s="116"/>
      <c r="I300" s="655"/>
      <c r="K300" s="116"/>
      <c r="X300" s="1"/>
      <c r="Y300" s="1"/>
      <c r="Z300" s="1"/>
      <c r="AA300" s="1"/>
      <c r="AB300" s="655"/>
      <c r="AC300" s="1"/>
      <c r="AD300" s="116"/>
      <c r="AL300" s="655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5"/>
      <c r="BZ300" s="656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5"/>
      <c r="DJ300" s="116"/>
    </row>
    <row r="301" spans="2:114" ht="15.75" customHeight="1" x14ac:dyDescent="0.25">
      <c r="B301" s="116"/>
      <c r="I301" s="655"/>
      <c r="K301" s="116"/>
      <c r="X301" s="1"/>
      <c r="Y301" s="1"/>
      <c r="Z301" s="1"/>
      <c r="AA301" s="1"/>
      <c r="AB301" s="655"/>
      <c r="AC301" s="1"/>
      <c r="AD301" s="116"/>
      <c r="AL301" s="655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5"/>
      <c r="BZ301" s="656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5"/>
      <c r="DJ301" s="116"/>
    </row>
    <row r="302" spans="2:114" ht="15.75" customHeight="1" x14ac:dyDescent="0.25">
      <c r="B302" s="116"/>
      <c r="I302" s="655"/>
      <c r="K302" s="116"/>
      <c r="X302" s="1"/>
      <c r="Y302" s="1"/>
      <c r="Z302" s="1"/>
      <c r="AA302" s="1"/>
      <c r="AB302" s="655"/>
      <c r="AC302" s="1"/>
      <c r="AD302" s="116"/>
      <c r="AL302" s="655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5"/>
      <c r="BZ302" s="656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5"/>
      <c r="DJ302" s="116"/>
    </row>
    <row r="303" spans="2:114" ht="15.75" customHeight="1" x14ac:dyDescent="0.25">
      <c r="B303" s="116"/>
      <c r="I303" s="655"/>
      <c r="K303" s="116"/>
      <c r="X303" s="1"/>
      <c r="Y303" s="1"/>
      <c r="Z303" s="1"/>
      <c r="AA303" s="1"/>
      <c r="AB303" s="655"/>
      <c r="AC303" s="1"/>
      <c r="AD303" s="116"/>
      <c r="AL303" s="655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5"/>
      <c r="BZ303" s="656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5"/>
      <c r="DJ303" s="116"/>
    </row>
    <row r="304" spans="2:114" ht="15.75" customHeight="1" x14ac:dyDescent="0.25">
      <c r="B304" s="116"/>
      <c r="I304" s="655"/>
      <c r="K304" s="116"/>
      <c r="X304" s="1"/>
      <c r="Y304" s="1"/>
      <c r="Z304" s="1"/>
      <c r="AA304" s="1"/>
      <c r="AB304" s="655"/>
      <c r="AC304" s="1"/>
      <c r="AD304" s="116"/>
      <c r="AL304" s="655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5"/>
      <c r="BZ304" s="656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5"/>
      <c r="DJ304" s="116"/>
    </row>
    <row r="305" spans="2:114" ht="15.75" customHeight="1" x14ac:dyDescent="0.25">
      <c r="B305" s="116"/>
      <c r="I305" s="655"/>
      <c r="K305" s="116"/>
      <c r="X305" s="1"/>
      <c r="Y305" s="1"/>
      <c r="Z305" s="1"/>
      <c r="AA305" s="1"/>
      <c r="AB305" s="655"/>
      <c r="AC305" s="1"/>
      <c r="AD305" s="116"/>
      <c r="AL305" s="655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5"/>
      <c r="BZ305" s="656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5"/>
      <c r="DJ305" s="116"/>
    </row>
    <row r="306" spans="2:114" ht="15.75" customHeight="1" x14ac:dyDescent="0.25">
      <c r="B306" s="116"/>
      <c r="I306" s="655"/>
      <c r="K306" s="116"/>
      <c r="X306" s="1"/>
      <c r="Y306" s="1"/>
      <c r="Z306" s="1"/>
      <c r="AA306" s="1"/>
      <c r="AB306" s="655"/>
      <c r="AC306" s="1"/>
      <c r="AD306" s="116"/>
      <c r="AL306" s="655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5"/>
      <c r="BZ306" s="656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5"/>
      <c r="DJ306" s="116"/>
    </row>
    <row r="307" spans="2:114" ht="15.75" customHeight="1" x14ac:dyDescent="0.25">
      <c r="B307" s="116"/>
      <c r="I307" s="655"/>
      <c r="K307" s="116"/>
      <c r="X307" s="1"/>
      <c r="Y307" s="1"/>
      <c r="Z307" s="1"/>
      <c r="AA307" s="1"/>
      <c r="AB307" s="655"/>
      <c r="AC307" s="1"/>
      <c r="AD307" s="116"/>
      <c r="AL307" s="655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5"/>
      <c r="BZ307" s="656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5"/>
      <c r="DJ307" s="116"/>
    </row>
    <row r="308" spans="2:114" ht="15.75" customHeight="1" x14ac:dyDescent="0.25">
      <c r="B308" s="116"/>
      <c r="I308" s="655"/>
      <c r="K308" s="116"/>
      <c r="X308" s="1"/>
      <c r="Y308" s="1"/>
      <c r="Z308" s="1"/>
      <c r="AA308" s="1"/>
      <c r="AB308" s="655"/>
      <c r="AC308" s="1"/>
      <c r="AD308" s="116"/>
      <c r="AL308" s="655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5"/>
      <c r="BZ308" s="656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5"/>
      <c r="DJ308" s="116"/>
    </row>
    <row r="309" spans="2:114" ht="15.75" customHeight="1" x14ac:dyDescent="0.25">
      <c r="B309" s="116"/>
      <c r="I309" s="655"/>
      <c r="K309" s="116"/>
      <c r="X309" s="1"/>
      <c r="Y309" s="1"/>
      <c r="Z309" s="1"/>
      <c r="AA309" s="1"/>
      <c r="AB309" s="655"/>
      <c r="AC309" s="1"/>
      <c r="AD309" s="116"/>
      <c r="AL309" s="655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5"/>
      <c r="BZ309" s="656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5"/>
      <c r="DJ309" s="116"/>
    </row>
    <row r="310" spans="2:114" ht="15.75" customHeight="1" x14ac:dyDescent="0.25">
      <c r="B310" s="116"/>
      <c r="I310" s="655"/>
      <c r="K310" s="116"/>
      <c r="X310" s="1"/>
      <c r="Y310" s="1"/>
      <c r="Z310" s="1"/>
      <c r="AA310" s="1"/>
      <c r="AB310" s="655"/>
      <c r="AC310" s="1"/>
      <c r="AD310" s="116"/>
      <c r="AL310" s="655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5"/>
      <c r="BZ310" s="656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5"/>
      <c r="DJ310" s="116"/>
    </row>
    <row r="311" spans="2:114" ht="15.75" customHeight="1" x14ac:dyDescent="0.25">
      <c r="B311" s="116"/>
      <c r="I311" s="655"/>
      <c r="K311" s="116"/>
      <c r="X311" s="1"/>
      <c r="Y311" s="1"/>
      <c r="Z311" s="1"/>
      <c r="AA311" s="1"/>
      <c r="AB311" s="655"/>
      <c r="AC311" s="1"/>
      <c r="AD311" s="116"/>
      <c r="AL311" s="655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5"/>
      <c r="BZ311" s="656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5"/>
      <c r="DJ311" s="116"/>
    </row>
    <row r="312" spans="2:114" ht="15.75" customHeight="1" x14ac:dyDescent="0.25">
      <c r="B312" s="116"/>
      <c r="I312" s="655"/>
      <c r="K312" s="116"/>
      <c r="X312" s="1"/>
      <c r="Y312" s="1"/>
      <c r="Z312" s="1"/>
      <c r="AA312" s="1"/>
      <c r="AB312" s="655"/>
      <c r="AC312" s="1"/>
      <c r="AD312" s="116"/>
      <c r="AL312" s="655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5"/>
      <c r="BZ312" s="656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5"/>
      <c r="DJ312" s="116"/>
    </row>
    <row r="313" spans="2:114" ht="15.75" customHeight="1" x14ac:dyDescent="0.25">
      <c r="B313" s="116"/>
      <c r="I313" s="655"/>
      <c r="K313" s="116"/>
      <c r="X313" s="1"/>
      <c r="Y313" s="1"/>
      <c r="Z313" s="1"/>
      <c r="AA313" s="1"/>
      <c r="AB313" s="655"/>
      <c r="AC313" s="1"/>
      <c r="AD313" s="116"/>
      <c r="AL313" s="655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5"/>
      <c r="BZ313" s="656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5"/>
      <c r="DJ313" s="116"/>
    </row>
    <row r="314" spans="2:114" ht="15.75" customHeight="1" x14ac:dyDescent="0.25">
      <c r="B314" s="116"/>
      <c r="I314" s="655"/>
      <c r="K314" s="116"/>
      <c r="X314" s="1"/>
      <c r="Y314" s="1"/>
      <c r="Z314" s="1"/>
      <c r="AA314" s="1"/>
      <c r="AB314" s="655"/>
      <c r="AC314" s="1"/>
      <c r="AD314" s="116"/>
      <c r="AL314" s="655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5"/>
      <c r="BZ314" s="656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5"/>
      <c r="DJ314" s="116"/>
    </row>
    <row r="315" spans="2:114" ht="15.75" customHeight="1" x14ac:dyDescent="0.25">
      <c r="B315" s="116"/>
      <c r="I315" s="655"/>
      <c r="K315" s="116"/>
      <c r="X315" s="1"/>
      <c r="Y315" s="1"/>
      <c r="Z315" s="1"/>
      <c r="AA315" s="1"/>
      <c r="AB315" s="655"/>
      <c r="AC315" s="1"/>
      <c r="AD315" s="116"/>
      <c r="AL315" s="655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5"/>
      <c r="BZ315" s="656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5"/>
      <c r="DJ315" s="116"/>
    </row>
    <row r="316" spans="2:114" ht="15.75" customHeight="1" x14ac:dyDescent="0.25">
      <c r="B316" s="116"/>
      <c r="I316" s="655"/>
      <c r="K316" s="116"/>
      <c r="X316" s="1"/>
      <c r="Y316" s="1"/>
      <c r="Z316" s="1"/>
      <c r="AA316" s="1"/>
      <c r="AB316" s="655"/>
      <c r="AC316" s="1"/>
      <c r="AD316" s="116"/>
      <c r="AL316" s="655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5"/>
      <c r="BZ316" s="656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5"/>
      <c r="DJ316" s="116"/>
    </row>
    <row r="317" spans="2:114" ht="15.75" customHeight="1" x14ac:dyDescent="0.25">
      <c r="B317" s="116"/>
      <c r="I317" s="655"/>
      <c r="K317" s="116"/>
      <c r="X317" s="1"/>
      <c r="Y317" s="1"/>
      <c r="Z317" s="1"/>
      <c r="AA317" s="1"/>
      <c r="AB317" s="655"/>
      <c r="AC317" s="1"/>
      <c r="AD317" s="116"/>
      <c r="AL317" s="655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5"/>
      <c r="BZ317" s="656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5"/>
      <c r="DJ317" s="116"/>
    </row>
    <row r="318" spans="2:114" ht="15.75" customHeight="1" x14ac:dyDescent="0.25">
      <c r="B318" s="116"/>
      <c r="I318" s="655"/>
      <c r="K318" s="116"/>
      <c r="X318" s="1"/>
      <c r="Y318" s="1"/>
      <c r="Z318" s="1"/>
      <c r="AA318" s="1"/>
      <c r="AB318" s="655"/>
      <c r="AC318" s="1"/>
      <c r="AD318" s="116"/>
      <c r="AL318" s="655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5"/>
      <c r="BZ318" s="656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5"/>
      <c r="DJ318" s="116"/>
    </row>
    <row r="319" spans="2:114" ht="15.75" customHeight="1" x14ac:dyDescent="0.25">
      <c r="B319" s="116"/>
      <c r="I319" s="655"/>
      <c r="K319" s="116"/>
      <c r="X319" s="1"/>
      <c r="Y319" s="1"/>
      <c r="Z319" s="1"/>
      <c r="AA319" s="1"/>
      <c r="AB319" s="655"/>
      <c r="AC319" s="1"/>
      <c r="AD319" s="116"/>
      <c r="AL319" s="655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5"/>
      <c r="BZ319" s="656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5"/>
      <c r="DJ319" s="116"/>
    </row>
    <row r="320" spans="2:114" ht="15.75" customHeight="1" x14ac:dyDescent="0.25">
      <c r="B320" s="116"/>
      <c r="I320" s="655"/>
      <c r="K320" s="116"/>
      <c r="X320" s="1"/>
      <c r="Y320" s="1"/>
      <c r="Z320" s="1"/>
      <c r="AA320" s="1"/>
      <c r="AB320" s="655"/>
      <c r="AC320" s="1"/>
      <c r="AD320" s="116"/>
      <c r="AL320" s="655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5"/>
      <c r="BZ320" s="656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5"/>
      <c r="DJ320" s="116"/>
    </row>
    <row r="321" spans="2:114" ht="15.75" customHeight="1" x14ac:dyDescent="0.25">
      <c r="B321" s="116"/>
      <c r="I321" s="655"/>
      <c r="K321" s="116"/>
      <c r="X321" s="1"/>
      <c r="Y321" s="1"/>
      <c r="Z321" s="1"/>
      <c r="AA321" s="1"/>
      <c r="AB321" s="655"/>
      <c r="AC321" s="1"/>
      <c r="AD321" s="116"/>
      <c r="AL321" s="655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5"/>
      <c r="BZ321" s="656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5"/>
      <c r="DJ321" s="116"/>
    </row>
    <row r="322" spans="2:114" ht="15.75" customHeight="1" x14ac:dyDescent="0.25">
      <c r="B322" s="116"/>
      <c r="I322" s="655"/>
      <c r="K322" s="116"/>
      <c r="X322" s="1"/>
      <c r="Y322" s="1"/>
      <c r="Z322" s="1"/>
      <c r="AA322" s="1"/>
      <c r="AB322" s="655"/>
      <c r="AC322" s="1"/>
      <c r="AD322" s="116"/>
      <c r="AL322" s="655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5"/>
      <c r="BZ322" s="656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5"/>
      <c r="DJ322" s="116"/>
    </row>
    <row r="323" spans="2:114" ht="15.75" customHeight="1" x14ac:dyDescent="0.25">
      <c r="B323" s="116"/>
      <c r="I323" s="655"/>
      <c r="K323" s="116"/>
      <c r="X323" s="1"/>
      <c r="Y323" s="1"/>
      <c r="Z323" s="1"/>
      <c r="AA323" s="1"/>
      <c r="AB323" s="655"/>
      <c r="AC323" s="1"/>
      <c r="AD323" s="116"/>
      <c r="AL323" s="655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5"/>
      <c r="BZ323" s="656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5"/>
      <c r="DJ323" s="116"/>
    </row>
    <row r="324" spans="2:114" ht="15.75" customHeight="1" x14ac:dyDescent="0.25">
      <c r="B324" s="116"/>
      <c r="I324" s="655"/>
      <c r="K324" s="116"/>
      <c r="X324" s="1"/>
      <c r="Y324" s="1"/>
      <c r="Z324" s="1"/>
      <c r="AA324" s="1"/>
      <c r="AB324" s="655"/>
      <c r="AC324" s="1"/>
      <c r="AD324" s="116"/>
      <c r="AL324" s="655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5"/>
      <c r="BZ324" s="656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5"/>
      <c r="DJ324" s="116"/>
    </row>
    <row r="325" spans="2:114" ht="15.75" customHeight="1" x14ac:dyDescent="0.25">
      <c r="B325" s="116"/>
      <c r="I325" s="655"/>
      <c r="K325" s="116"/>
      <c r="X325" s="1"/>
      <c r="Y325" s="1"/>
      <c r="Z325" s="1"/>
      <c r="AA325" s="1"/>
      <c r="AB325" s="655"/>
      <c r="AC325" s="1"/>
      <c r="AD325" s="116"/>
      <c r="AL325" s="655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5"/>
      <c r="BZ325" s="656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5"/>
      <c r="DJ325" s="116"/>
    </row>
    <row r="326" spans="2:114" ht="15.75" customHeight="1" x14ac:dyDescent="0.25">
      <c r="B326" s="116"/>
      <c r="I326" s="655"/>
      <c r="K326" s="116"/>
      <c r="X326" s="1"/>
      <c r="Y326" s="1"/>
      <c r="Z326" s="1"/>
      <c r="AA326" s="1"/>
      <c r="AB326" s="655"/>
      <c r="AC326" s="1"/>
      <c r="AD326" s="116"/>
      <c r="AL326" s="655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5"/>
      <c r="BZ326" s="656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5"/>
      <c r="DJ326" s="116"/>
    </row>
    <row r="327" spans="2:114" ht="15.75" customHeight="1" x14ac:dyDescent="0.25">
      <c r="B327" s="116"/>
      <c r="I327" s="655"/>
      <c r="K327" s="116"/>
      <c r="X327" s="1"/>
      <c r="Y327" s="1"/>
      <c r="Z327" s="1"/>
      <c r="AA327" s="1"/>
      <c r="AB327" s="655"/>
      <c r="AC327" s="1"/>
      <c r="AD327" s="116"/>
      <c r="AL327" s="655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5"/>
      <c r="BZ327" s="656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5"/>
      <c r="DJ327" s="116"/>
    </row>
    <row r="328" spans="2:114" ht="15.75" customHeight="1" x14ac:dyDescent="0.25">
      <c r="B328" s="116"/>
      <c r="I328" s="655"/>
      <c r="K328" s="116"/>
      <c r="X328" s="1"/>
      <c r="Y328" s="1"/>
      <c r="Z328" s="1"/>
      <c r="AA328" s="1"/>
      <c r="AB328" s="655"/>
      <c r="AC328" s="1"/>
      <c r="AD328" s="116"/>
      <c r="AL328" s="655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5"/>
      <c r="BZ328" s="656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5"/>
      <c r="DJ328" s="116"/>
    </row>
    <row r="329" spans="2:114" ht="15.75" customHeight="1" x14ac:dyDescent="0.25">
      <c r="B329" s="116"/>
      <c r="I329" s="655"/>
      <c r="K329" s="116"/>
      <c r="X329" s="1"/>
      <c r="Y329" s="1"/>
      <c r="Z329" s="1"/>
      <c r="AA329" s="1"/>
      <c r="AB329" s="655"/>
      <c r="AC329" s="1"/>
      <c r="AD329" s="116"/>
      <c r="AL329" s="655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5"/>
      <c r="BZ329" s="656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5"/>
      <c r="DJ329" s="116"/>
    </row>
    <row r="330" spans="2:114" ht="15.75" customHeight="1" x14ac:dyDescent="0.25">
      <c r="B330" s="116"/>
      <c r="I330" s="655"/>
      <c r="K330" s="116"/>
      <c r="X330" s="1"/>
      <c r="Y330" s="1"/>
      <c r="Z330" s="1"/>
      <c r="AA330" s="1"/>
      <c r="AB330" s="655"/>
      <c r="AC330" s="1"/>
      <c r="AD330" s="116"/>
      <c r="AL330" s="655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5"/>
      <c r="BZ330" s="656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5"/>
      <c r="DJ330" s="116"/>
    </row>
    <row r="331" spans="2:114" ht="15.75" customHeight="1" x14ac:dyDescent="0.25">
      <c r="B331" s="116"/>
      <c r="I331" s="655"/>
      <c r="K331" s="116"/>
      <c r="X331" s="1"/>
      <c r="Y331" s="1"/>
      <c r="Z331" s="1"/>
      <c r="AA331" s="1"/>
      <c r="AB331" s="655"/>
      <c r="AC331" s="1"/>
      <c r="AD331" s="116"/>
      <c r="AL331" s="655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5"/>
      <c r="BZ331" s="656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5"/>
      <c r="DJ331" s="116"/>
    </row>
    <row r="332" spans="2:114" ht="15.75" customHeight="1" x14ac:dyDescent="0.25">
      <c r="B332" s="116"/>
      <c r="I332" s="655"/>
      <c r="K332" s="116"/>
      <c r="X332" s="1"/>
      <c r="Y332" s="1"/>
      <c r="Z332" s="1"/>
      <c r="AA332" s="1"/>
      <c r="AB332" s="655"/>
      <c r="AC332" s="1"/>
      <c r="AD332" s="116"/>
      <c r="AL332" s="655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5"/>
      <c r="BZ332" s="656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5"/>
      <c r="DJ332" s="116"/>
    </row>
    <row r="333" spans="2:114" ht="15.75" customHeight="1" x14ac:dyDescent="0.25">
      <c r="B333" s="116"/>
      <c r="I333" s="655"/>
      <c r="K333" s="116"/>
      <c r="X333" s="1"/>
      <c r="Y333" s="1"/>
      <c r="Z333" s="1"/>
      <c r="AA333" s="1"/>
      <c r="AB333" s="655"/>
      <c r="AC333" s="1"/>
      <c r="AD333" s="116"/>
      <c r="AL333" s="655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5"/>
      <c r="BZ333" s="656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5"/>
      <c r="DJ333" s="116"/>
    </row>
    <row r="334" spans="2:114" ht="15.75" customHeight="1" x14ac:dyDescent="0.25">
      <c r="B334" s="116"/>
      <c r="I334" s="655"/>
      <c r="K334" s="116"/>
      <c r="X334" s="1"/>
      <c r="Y334" s="1"/>
      <c r="Z334" s="1"/>
      <c r="AA334" s="1"/>
      <c r="AB334" s="655"/>
      <c r="AC334" s="1"/>
      <c r="AD334" s="116"/>
      <c r="AL334" s="655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5"/>
      <c r="BZ334" s="656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5"/>
      <c r="DJ334" s="116"/>
    </row>
    <row r="335" spans="2:114" ht="15.75" customHeight="1" x14ac:dyDescent="0.25">
      <c r="B335" s="116"/>
      <c r="I335" s="655"/>
      <c r="K335" s="116"/>
      <c r="X335" s="1"/>
      <c r="Y335" s="1"/>
      <c r="Z335" s="1"/>
      <c r="AA335" s="1"/>
      <c r="AB335" s="655"/>
      <c r="AC335" s="1"/>
      <c r="AD335" s="116"/>
      <c r="AL335" s="655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5"/>
      <c r="BZ335" s="656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5"/>
      <c r="DJ335" s="116"/>
    </row>
    <row r="336" spans="2:114" ht="15.75" customHeight="1" x14ac:dyDescent="0.25">
      <c r="B336" s="116"/>
      <c r="I336" s="655"/>
      <c r="K336" s="116"/>
      <c r="X336" s="1"/>
      <c r="Y336" s="1"/>
      <c r="Z336" s="1"/>
      <c r="AA336" s="1"/>
      <c r="AB336" s="655"/>
      <c r="AC336" s="1"/>
      <c r="AD336" s="116"/>
      <c r="AL336" s="655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5"/>
      <c r="BZ336" s="656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5"/>
      <c r="DJ336" s="116"/>
    </row>
    <row r="337" spans="2:114" ht="15.75" customHeight="1" x14ac:dyDescent="0.25">
      <c r="B337" s="116"/>
      <c r="I337" s="655"/>
      <c r="K337" s="116"/>
      <c r="X337" s="1"/>
      <c r="Y337" s="1"/>
      <c r="Z337" s="1"/>
      <c r="AA337" s="1"/>
      <c r="AB337" s="655"/>
      <c r="AC337" s="1"/>
      <c r="AD337" s="116"/>
      <c r="AL337" s="655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5"/>
      <c r="BZ337" s="656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5"/>
      <c r="DJ337" s="116"/>
    </row>
    <row r="338" spans="2:114" ht="15.75" customHeight="1" x14ac:dyDescent="0.25">
      <c r="B338" s="116"/>
      <c r="I338" s="655"/>
      <c r="K338" s="116"/>
      <c r="X338" s="1"/>
      <c r="Y338" s="1"/>
      <c r="Z338" s="1"/>
      <c r="AA338" s="1"/>
      <c r="AB338" s="655"/>
      <c r="AC338" s="1"/>
      <c r="AD338" s="116"/>
      <c r="AL338" s="655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5"/>
      <c r="BZ338" s="656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5"/>
      <c r="DJ338" s="116"/>
    </row>
    <row r="339" spans="2:114" ht="15.75" customHeight="1" x14ac:dyDescent="0.25">
      <c r="B339" s="116"/>
      <c r="I339" s="655"/>
      <c r="K339" s="116"/>
      <c r="X339" s="1"/>
      <c r="Y339" s="1"/>
      <c r="Z339" s="1"/>
      <c r="AA339" s="1"/>
      <c r="AB339" s="655"/>
      <c r="AC339" s="1"/>
      <c r="AD339" s="116"/>
      <c r="AL339" s="655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5"/>
      <c r="BZ339" s="656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5"/>
      <c r="DJ339" s="116"/>
    </row>
    <row r="340" spans="2:114" ht="15.75" customHeight="1" x14ac:dyDescent="0.25">
      <c r="B340" s="116"/>
      <c r="I340" s="655"/>
      <c r="K340" s="116"/>
      <c r="X340" s="1"/>
      <c r="Y340" s="1"/>
      <c r="Z340" s="1"/>
      <c r="AA340" s="1"/>
      <c r="AB340" s="655"/>
      <c r="AC340" s="1"/>
      <c r="AD340" s="116"/>
      <c r="AL340" s="655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5"/>
      <c r="BZ340" s="656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5"/>
      <c r="DJ340" s="116"/>
    </row>
    <row r="341" spans="2:114" ht="15.75" customHeight="1" x14ac:dyDescent="0.25">
      <c r="B341" s="116"/>
      <c r="I341" s="655"/>
      <c r="K341" s="116"/>
      <c r="X341" s="1"/>
      <c r="Y341" s="1"/>
      <c r="Z341" s="1"/>
      <c r="AA341" s="1"/>
      <c r="AB341" s="655"/>
      <c r="AC341" s="1"/>
      <c r="AD341" s="116"/>
      <c r="AL341" s="655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5"/>
      <c r="BZ341" s="656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5"/>
      <c r="DJ341" s="116"/>
    </row>
    <row r="342" spans="2:114" ht="15.75" customHeight="1" x14ac:dyDescent="0.25">
      <c r="B342" s="116"/>
      <c r="I342" s="655"/>
      <c r="K342" s="116"/>
      <c r="X342" s="1"/>
      <c r="Y342" s="1"/>
      <c r="Z342" s="1"/>
      <c r="AA342" s="1"/>
      <c r="AB342" s="655"/>
      <c r="AC342" s="1"/>
      <c r="AD342" s="116"/>
      <c r="AL342" s="655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5"/>
      <c r="BZ342" s="656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5"/>
      <c r="DJ342" s="116"/>
    </row>
    <row r="343" spans="2:114" ht="15.75" customHeight="1" x14ac:dyDescent="0.25">
      <c r="B343" s="116"/>
      <c r="I343" s="655"/>
      <c r="K343" s="116"/>
      <c r="X343" s="1"/>
      <c r="Y343" s="1"/>
      <c r="Z343" s="1"/>
      <c r="AA343" s="1"/>
      <c r="AB343" s="655"/>
      <c r="AC343" s="1"/>
      <c r="AD343" s="116"/>
      <c r="AL343" s="655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5"/>
      <c r="BZ343" s="656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5"/>
      <c r="DJ343" s="116"/>
    </row>
    <row r="344" spans="2:114" ht="15.75" customHeight="1" x14ac:dyDescent="0.25">
      <c r="B344" s="116"/>
      <c r="I344" s="655"/>
      <c r="K344" s="116"/>
      <c r="X344" s="1"/>
      <c r="Y344" s="1"/>
      <c r="Z344" s="1"/>
      <c r="AA344" s="1"/>
      <c r="AB344" s="655"/>
      <c r="AC344" s="1"/>
      <c r="AD344" s="116"/>
      <c r="AL344" s="655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5"/>
      <c r="BZ344" s="656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5"/>
      <c r="DJ344" s="116"/>
    </row>
    <row r="345" spans="2:114" ht="15.75" customHeight="1" x14ac:dyDescent="0.25">
      <c r="B345" s="116"/>
      <c r="I345" s="655"/>
      <c r="K345" s="116"/>
      <c r="X345" s="1"/>
      <c r="Y345" s="1"/>
      <c r="Z345" s="1"/>
      <c r="AA345" s="1"/>
      <c r="AB345" s="655"/>
      <c r="AC345" s="1"/>
      <c r="AD345" s="116"/>
      <c r="AL345" s="655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5"/>
      <c r="BZ345" s="656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5"/>
      <c r="DJ345" s="116"/>
    </row>
    <row r="346" spans="2:114" ht="15.75" customHeight="1" x14ac:dyDescent="0.25">
      <c r="B346" s="116"/>
      <c r="I346" s="655"/>
      <c r="K346" s="116"/>
      <c r="X346" s="1"/>
      <c r="Y346" s="1"/>
      <c r="Z346" s="1"/>
      <c r="AA346" s="1"/>
      <c r="AB346" s="655"/>
      <c r="AC346" s="1"/>
      <c r="AD346" s="116"/>
      <c r="AL346" s="655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5"/>
      <c r="BZ346" s="656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5"/>
      <c r="DJ346" s="116"/>
    </row>
    <row r="347" spans="2:114" ht="15.75" customHeight="1" x14ac:dyDescent="0.25">
      <c r="B347" s="116"/>
      <c r="I347" s="655"/>
      <c r="K347" s="116"/>
      <c r="X347" s="1"/>
      <c r="Y347" s="1"/>
      <c r="Z347" s="1"/>
      <c r="AA347" s="1"/>
      <c r="AB347" s="655"/>
      <c r="AC347" s="1"/>
      <c r="AD347" s="116"/>
      <c r="AL347" s="655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5"/>
      <c r="BZ347" s="656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5"/>
      <c r="DJ347" s="116"/>
    </row>
    <row r="348" spans="2:114" ht="15.75" customHeight="1" x14ac:dyDescent="0.25">
      <c r="B348" s="116"/>
      <c r="I348" s="655"/>
      <c r="K348" s="116"/>
      <c r="X348" s="1"/>
      <c r="Y348" s="1"/>
      <c r="Z348" s="1"/>
      <c r="AA348" s="1"/>
      <c r="AB348" s="655"/>
      <c r="AC348" s="1"/>
      <c r="AD348" s="116"/>
      <c r="AL348" s="655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5"/>
      <c r="BZ348" s="656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5"/>
      <c r="DJ348" s="116"/>
    </row>
    <row r="349" spans="2:114" ht="15.75" customHeight="1" x14ac:dyDescent="0.25">
      <c r="B349" s="116"/>
      <c r="I349" s="655"/>
      <c r="K349" s="116"/>
      <c r="X349" s="1"/>
      <c r="Y349" s="1"/>
      <c r="Z349" s="1"/>
      <c r="AA349" s="1"/>
      <c r="AB349" s="655"/>
      <c r="AC349" s="1"/>
      <c r="AD349" s="116"/>
      <c r="AL349" s="655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5"/>
      <c r="BZ349" s="656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5"/>
      <c r="DJ349" s="116"/>
    </row>
    <row r="350" spans="2:114" ht="15.75" customHeight="1" x14ac:dyDescent="0.25">
      <c r="B350" s="116"/>
      <c r="I350" s="655"/>
      <c r="K350" s="116"/>
      <c r="X350" s="1"/>
      <c r="Y350" s="1"/>
      <c r="Z350" s="1"/>
      <c r="AA350" s="1"/>
      <c r="AB350" s="655"/>
      <c r="AC350" s="1"/>
      <c r="AD350" s="116"/>
      <c r="AL350" s="655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5"/>
      <c r="BZ350" s="656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5"/>
      <c r="DJ350" s="116"/>
    </row>
    <row r="351" spans="2:114" ht="15.75" customHeight="1" x14ac:dyDescent="0.25">
      <c r="B351" s="116"/>
      <c r="I351" s="655"/>
      <c r="K351" s="116"/>
      <c r="X351" s="1"/>
      <c r="Y351" s="1"/>
      <c r="Z351" s="1"/>
      <c r="AA351" s="1"/>
      <c r="AB351" s="655"/>
      <c r="AC351" s="1"/>
      <c r="AD351" s="116"/>
      <c r="AL351" s="655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5"/>
      <c r="BZ351" s="656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5"/>
      <c r="DJ351" s="116"/>
    </row>
    <row r="352" spans="2:114" ht="15.75" customHeight="1" x14ac:dyDescent="0.25">
      <c r="B352" s="116"/>
      <c r="I352" s="655"/>
      <c r="K352" s="116"/>
      <c r="X352" s="1"/>
      <c r="Y352" s="1"/>
      <c r="Z352" s="1"/>
      <c r="AA352" s="1"/>
      <c r="AB352" s="655"/>
      <c r="AC352" s="1"/>
      <c r="AD352" s="116"/>
      <c r="AL352" s="655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5"/>
      <c r="BZ352" s="656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5"/>
      <c r="DJ352" s="116"/>
    </row>
    <row r="353" spans="2:114" ht="15.75" customHeight="1" x14ac:dyDescent="0.25">
      <c r="B353" s="116"/>
      <c r="I353" s="655"/>
      <c r="K353" s="116"/>
      <c r="X353" s="1"/>
      <c r="Y353" s="1"/>
      <c r="Z353" s="1"/>
      <c r="AA353" s="1"/>
      <c r="AB353" s="655"/>
      <c r="AC353" s="1"/>
      <c r="AD353" s="116"/>
      <c r="AL353" s="655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5"/>
      <c r="BZ353" s="656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5"/>
      <c r="DJ353" s="116"/>
    </row>
    <row r="354" spans="2:114" ht="15.75" customHeight="1" x14ac:dyDescent="0.25">
      <c r="B354" s="116"/>
      <c r="I354" s="655"/>
      <c r="K354" s="116"/>
      <c r="X354" s="1"/>
      <c r="Y354" s="1"/>
      <c r="Z354" s="1"/>
      <c r="AA354" s="1"/>
      <c r="AB354" s="655"/>
      <c r="AC354" s="1"/>
      <c r="AD354" s="116"/>
      <c r="AL354" s="655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5"/>
      <c r="BZ354" s="656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5"/>
      <c r="DJ354" s="116"/>
    </row>
    <row r="355" spans="2:114" ht="15.75" customHeight="1" x14ac:dyDescent="0.25">
      <c r="B355" s="116"/>
      <c r="I355" s="655"/>
      <c r="K355" s="116"/>
      <c r="X355" s="1"/>
      <c r="Y355" s="1"/>
      <c r="Z355" s="1"/>
      <c r="AA355" s="1"/>
      <c r="AB355" s="655"/>
      <c r="AC355" s="1"/>
      <c r="AD355" s="116"/>
      <c r="AL355" s="655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5"/>
      <c r="BZ355" s="656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5"/>
      <c r="DJ355" s="116"/>
    </row>
    <row r="356" spans="2:114" ht="15.75" customHeight="1" x14ac:dyDescent="0.25">
      <c r="B356" s="116"/>
      <c r="I356" s="655"/>
      <c r="K356" s="116"/>
      <c r="X356" s="1"/>
      <c r="Y356" s="1"/>
      <c r="Z356" s="1"/>
      <c r="AA356" s="1"/>
      <c r="AB356" s="655"/>
      <c r="AC356" s="1"/>
      <c r="AD356" s="116"/>
      <c r="AL356" s="655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5"/>
      <c r="BZ356" s="656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5"/>
      <c r="DJ356" s="116"/>
    </row>
    <row r="357" spans="2:114" ht="15.75" customHeight="1" x14ac:dyDescent="0.25">
      <c r="B357" s="116"/>
      <c r="I357" s="655"/>
      <c r="K357" s="116"/>
      <c r="X357" s="1"/>
      <c r="Y357" s="1"/>
      <c r="Z357" s="1"/>
      <c r="AA357" s="1"/>
      <c r="AB357" s="655"/>
      <c r="AC357" s="1"/>
      <c r="AD357" s="116"/>
      <c r="AL357" s="655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5"/>
      <c r="BZ357" s="656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5"/>
      <c r="DJ357" s="116"/>
    </row>
    <row r="358" spans="2:114" ht="15.75" customHeight="1" x14ac:dyDescent="0.25">
      <c r="B358" s="116"/>
      <c r="I358" s="655"/>
      <c r="K358" s="116"/>
      <c r="X358" s="1"/>
      <c r="Y358" s="1"/>
      <c r="Z358" s="1"/>
      <c r="AA358" s="1"/>
      <c r="AB358" s="655"/>
      <c r="AC358" s="1"/>
      <c r="AD358" s="116"/>
      <c r="AL358" s="655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5"/>
      <c r="BZ358" s="656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5"/>
      <c r="DJ358" s="116"/>
    </row>
    <row r="359" spans="2:114" ht="15.75" customHeight="1" x14ac:dyDescent="0.25">
      <c r="B359" s="116"/>
      <c r="I359" s="655"/>
      <c r="K359" s="116"/>
      <c r="X359" s="1"/>
      <c r="Y359" s="1"/>
      <c r="Z359" s="1"/>
      <c r="AA359" s="1"/>
      <c r="AB359" s="655"/>
      <c r="AC359" s="1"/>
      <c r="AD359" s="116"/>
      <c r="AL359" s="655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5"/>
      <c r="BZ359" s="656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5"/>
      <c r="DJ359" s="116"/>
    </row>
    <row r="360" spans="2:114" ht="15.75" customHeight="1" x14ac:dyDescent="0.25">
      <c r="B360" s="116"/>
      <c r="I360" s="655"/>
      <c r="K360" s="116"/>
      <c r="X360" s="1"/>
      <c r="Y360" s="1"/>
      <c r="Z360" s="1"/>
      <c r="AA360" s="1"/>
      <c r="AB360" s="655"/>
      <c r="AC360" s="1"/>
      <c r="AD360" s="116"/>
      <c r="AL360" s="655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5"/>
      <c r="BZ360" s="656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5"/>
      <c r="DJ360" s="116"/>
    </row>
    <row r="361" spans="2:114" ht="15.75" customHeight="1" x14ac:dyDescent="0.25">
      <c r="B361" s="116"/>
      <c r="I361" s="655"/>
      <c r="K361" s="116"/>
      <c r="X361" s="1"/>
      <c r="Y361" s="1"/>
      <c r="Z361" s="1"/>
      <c r="AA361" s="1"/>
      <c r="AB361" s="655"/>
      <c r="AC361" s="1"/>
      <c r="AD361" s="116"/>
      <c r="AL361" s="655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5"/>
      <c r="BZ361" s="656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5"/>
      <c r="DJ361" s="116"/>
    </row>
    <row r="362" spans="2:114" ht="15.75" customHeight="1" x14ac:dyDescent="0.25">
      <c r="B362" s="116"/>
      <c r="I362" s="655"/>
      <c r="K362" s="116"/>
      <c r="X362" s="1"/>
      <c r="Y362" s="1"/>
      <c r="Z362" s="1"/>
      <c r="AA362" s="1"/>
      <c r="AB362" s="655"/>
      <c r="AC362" s="1"/>
      <c r="AD362" s="116"/>
      <c r="AL362" s="655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5"/>
      <c r="BZ362" s="656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5"/>
      <c r="DJ362" s="116"/>
    </row>
    <row r="363" spans="2:114" ht="15.75" customHeight="1" x14ac:dyDescent="0.25">
      <c r="B363" s="116"/>
      <c r="I363" s="655"/>
      <c r="K363" s="116"/>
      <c r="X363" s="1"/>
      <c r="Y363" s="1"/>
      <c r="Z363" s="1"/>
      <c r="AA363" s="1"/>
      <c r="AB363" s="655"/>
      <c r="AC363" s="1"/>
      <c r="AD363" s="116"/>
      <c r="AL363" s="655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5"/>
      <c r="BZ363" s="656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5"/>
      <c r="DJ363" s="116"/>
    </row>
    <row r="364" spans="2:114" ht="15.75" customHeight="1" x14ac:dyDescent="0.25">
      <c r="B364" s="116"/>
      <c r="I364" s="655"/>
      <c r="K364" s="116"/>
      <c r="X364" s="1"/>
      <c r="Y364" s="1"/>
      <c r="Z364" s="1"/>
      <c r="AA364" s="1"/>
      <c r="AB364" s="655"/>
      <c r="AC364" s="1"/>
      <c r="AD364" s="116"/>
      <c r="AL364" s="655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5"/>
      <c r="BZ364" s="656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5"/>
      <c r="DJ364" s="116"/>
    </row>
    <row r="365" spans="2:114" ht="15.75" customHeight="1" x14ac:dyDescent="0.25">
      <c r="B365" s="116"/>
      <c r="I365" s="655"/>
      <c r="K365" s="116"/>
      <c r="X365" s="1"/>
      <c r="Y365" s="1"/>
      <c r="Z365" s="1"/>
      <c r="AA365" s="1"/>
      <c r="AB365" s="655"/>
      <c r="AC365" s="1"/>
      <c r="AD365" s="116"/>
      <c r="AL365" s="655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5"/>
      <c r="BZ365" s="656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5"/>
      <c r="DJ365" s="116"/>
    </row>
    <row r="366" spans="2:114" ht="15.75" customHeight="1" x14ac:dyDescent="0.25">
      <c r="B366" s="116"/>
      <c r="I366" s="655"/>
      <c r="K366" s="116"/>
      <c r="X366" s="1"/>
      <c r="Y366" s="1"/>
      <c r="Z366" s="1"/>
      <c r="AA366" s="1"/>
      <c r="AB366" s="655"/>
      <c r="AC366" s="1"/>
      <c r="AD366" s="116"/>
      <c r="AL366" s="655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5"/>
      <c r="BZ366" s="656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5"/>
      <c r="DJ366" s="116"/>
    </row>
    <row r="367" spans="2:114" ht="15.75" customHeight="1" x14ac:dyDescent="0.25">
      <c r="B367" s="116"/>
      <c r="I367" s="655"/>
      <c r="K367" s="116"/>
      <c r="X367" s="1"/>
      <c r="Y367" s="1"/>
      <c r="Z367" s="1"/>
      <c r="AA367" s="1"/>
      <c r="AB367" s="655"/>
      <c r="AC367" s="1"/>
      <c r="AD367" s="116"/>
      <c r="AL367" s="655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5"/>
      <c r="BZ367" s="656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5"/>
      <c r="DJ367" s="116"/>
    </row>
    <row r="368" spans="2:114" ht="15.75" customHeight="1" x14ac:dyDescent="0.25">
      <c r="B368" s="116"/>
      <c r="I368" s="655"/>
      <c r="K368" s="116"/>
      <c r="X368" s="1"/>
      <c r="Y368" s="1"/>
      <c r="Z368" s="1"/>
      <c r="AA368" s="1"/>
      <c r="AB368" s="655"/>
      <c r="AC368" s="1"/>
      <c r="AD368" s="116"/>
      <c r="AL368" s="655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5"/>
      <c r="BZ368" s="656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5"/>
      <c r="DJ368" s="116"/>
    </row>
    <row r="369" spans="2:114" ht="15.75" customHeight="1" x14ac:dyDescent="0.25">
      <c r="B369" s="116"/>
      <c r="I369" s="655"/>
      <c r="K369" s="116"/>
      <c r="X369" s="1"/>
      <c r="Y369" s="1"/>
      <c r="Z369" s="1"/>
      <c r="AA369" s="1"/>
      <c r="AB369" s="655"/>
      <c r="AC369" s="1"/>
      <c r="AD369" s="116"/>
      <c r="AL369" s="655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5"/>
      <c r="BZ369" s="656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5"/>
      <c r="DJ369" s="116"/>
    </row>
    <row r="370" spans="2:114" ht="15.75" customHeight="1" x14ac:dyDescent="0.25">
      <c r="B370" s="116"/>
      <c r="I370" s="655"/>
      <c r="K370" s="116"/>
      <c r="X370" s="1"/>
      <c r="Y370" s="1"/>
      <c r="Z370" s="1"/>
      <c r="AA370" s="1"/>
      <c r="AB370" s="655"/>
      <c r="AC370" s="1"/>
      <c r="AD370" s="116"/>
      <c r="AL370" s="655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5"/>
      <c r="BZ370" s="656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5"/>
      <c r="DJ370" s="116"/>
    </row>
    <row r="371" spans="2:114" ht="15.75" customHeight="1" x14ac:dyDescent="0.25">
      <c r="B371" s="116"/>
      <c r="I371" s="655"/>
      <c r="K371" s="116"/>
      <c r="X371" s="1"/>
      <c r="Y371" s="1"/>
      <c r="Z371" s="1"/>
      <c r="AA371" s="1"/>
      <c r="AB371" s="655"/>
      <c r="AC371" s="1"/>
      <c r="AD371" s="116"/>
      <c r="AL371" s="655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5"/>
      <c r="BZ371" s="656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5"/>
      <c r="DJ371" s="116"/>
    </row>
    <row r="372" spans="2:114" ht="15.75" customHeight="1" x14ac:dyDescent="0.25">
      <c r="B372" s="116"/>
      <c r="I372" s="655"/>
      <c r="K372" s="116"/>
      <c r="X372" s="1"/>
      <c r="Y372" s="1"/>
      <c r="Z372" s="1"/>
      <c r="AA372" s="1"/>
      <c r="AB372" s="655"/>
      <c r="AC372" s="1"/>
      <c r="AD372" s="116"/>
      <c r="AL372" s="655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5"/>
      <c r="BZ372" s="656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5"/>
      <c r="DJ372" s="116"/>
    </row>
    <row r="373" spans="2:114" ht="15.75" customHeight="1" x14ac:dyDescent="0.25">
      <c r="B373" s="116"/>
      <c r="I373" s="655"/>
      <c r="K373" s="116"/>
      <c r="X373" s="1"/>
      <c r="Y373" s="1"/>
      <c r="Z373" s="1"/>
      <c r="AA373" s="1"/>
      <c r="AB373" s="655"/>
      <c r="AC373" s="1"/>
      <c r="AD373" s="116"/>
      <c r="AL373" s="655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5"/>
      <c r="BZ373" s="656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5"/>
      <c r="DJ373" s="116"/>
    </row>
    <row r="374" spans="2:114" ht="15.75" customHeight="1" x14ac:dyDescent="0.25">
      <c r="B374" s="116"/>
      <c r="I374" s="655"/>
      <c r="K374" s="116"/>
      <c r="X374" s="1"/>
      <c r="Y374" s="1"/>
      <c r="Z374" s="1"/>
      <c r="AA374" s="1"/>
      <c r="AB374" s="655"/>
      <c r="AC374" s="1"/>
      <c r="AD374" s="116"/>
      <c r="AL374" s="655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5"/>
      <c r="BZ374" s="656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5"/>
      <c r="DJ374" s="116"/>
    </row>
    <row r="375" spans="2:114" ht="15.75" customHeight="1" x14ac:dyDescent="0.25">
      <c r="B375" s="116"/>
      <c r="I375" s="655"/>
      <c r="K375" s="116"/>
      <c r="X375" s="1"/>
      <c r="Y375" s="1"/>
      <c r="Z375" s="1"/>
      <c r="AA375" s="1"/>
      <c r="AB375" s="655"/>
      <c r="AC375" s="1"/>
      <c r="AD375" s="116"/>
      <c r="AL375" s="655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5"/>
      <c r="BZ375" s="656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5"/>
      <c r="DJ375" s="116"/>
    </row>
    <row r="376" spans="2:114" ht="15.75" customHeight="1" x14ac:dyDescent="0.25">
      <c r="B376" s="116"/>
      <c r="I376" s="655"/>
      <c r="K376" s="116"/>
      <c r="X376" s="1"/>
      <c r="Y376" s="1"/>
      <c r="Z376" s="1"/>
      <c r="AA376" s="1"/>
      <c r="AB376" s="655"/>
      <c r="AC376" s="1"/>
      <c r="AD376" s="116"/>
      <c r="AL376" s="655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5"/>
      <c r="BZ376" s="656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5"/>
      <c r="DJ376" s="116"/>
    </row>
    <row r="377" spans="2:114" ht="15.75" customHeight="1" x14ac:dyDescent="0.25">
      <c r="B377" s="116"/>
      <c r="I377" s="655"/>
      <c r="K377" s="116"/>
      <c r="X377" s="1"/>
      <c r="Y377" s="1"/>
      <c r="Z377" s="1"/>
      <c r="AA377" s="1"/>
      <c r="AB377" s="655"/>
      <c r="AC377" s="1"/>
      <c r="AD377" s="116"/>
      <c r="AL377" s="655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5"/>
      <c r="BZ377" s="656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5"/>
      <c r="DJ377" s="116"/>
    </row>
    <row r="378" spans="2:114" ht="15.75" customHeight="1" x14ac:dyDescent="0.25">
      <c r="B378" s="116"/>
      <c r="I378" s="655"/>
      <c r="K378" s="116"/>
      <c r="X378" s="1"/>
      <c r="Y378" s="1"/>
      <c r="Z378" s="1"/>
      <c r="AA378" s="1"/>
      <c r="AB378" s="655"/>
      <c r="AC378" s="1"/>
      <c r="AD378" s="116"/>
      <c r="AL378" s="655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5"/>
      <c r="BZ378" s="656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5"/>
      <c r="DJ378" s="116"/>
    </row>
    <row r="379" spans="2:114" ht="15.75" customHeight="1" x14ac:dyDescent="0.25">
      <c r="B379" s="116"/>
      <c r="I379" s="655"/>
      <c r="K379" s="116"/>
      <c r="X379" s="1"/>
      <c r="Y379" s="1"/>
      <c r="Z379" s="1"/>
      <c r="AA379" s="1"/>
      <c r="AB379" s="655"/>
      <c r="AC379" s="1"/>
      <c r="AD379" s="116"/>
      <c r="AL379" s="655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5"/>
      <c r="BZ379" s="656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5"/>
      <c r="DJ379" s="116"/>
    </row>
    <row r="380" spans="2:114" ht="15.75" customHeight="1" x14ac:dyDescent="0.25">
      <c r="B380" s="116"/>
      <c r="I380" s="655"/>
      <c r="K380" s="116"/>
      <c r="X380" s="1"/>
      <c r="Y380" s="1"/>
      <c r="Z380" s="1"/>
      <c r="AA380" s="1"/>
      <c r="AB380" s="655"/>
      <c r="AC380" s="1"/>
      <c r="AD380" s="116"/>
      <c r="AL380" s="655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5"/>
      <c r="BZ380" s="656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5"/>
      <c r="DJ380" s="116"/>
    </row>
    <row r="381" spans="2:114" ht="15.75" customHeight="1" x14ac:dyDescent="0.25">
      <c r="B381" s="116"/>
      <c r="I381" s="655"/>
      <c r="K381" s="116"/>
      <c r="X381" s="1"/>
      <c r="Y381" s="1"/>
      <c r="Z381" s="1"/>
      <c r="AA381" s="1"/>
      <c r="AB381" s="655"/>
      <c r="AC381" s="1"/>
      <c r="AD381" s="116"/>
      <c r="AL381" s="655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5"/>
      <c r="BZ381" s="656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5"/>
      <c r="DJ381" s="116"/>
    </row>
    <row r="382" spans="2:114" ht="15.75" customHeight="1" x14ac:dyDescent="0.25">
      <c r="B382" s="116"/>
      <c r="I382" s="655"/>
      <c r="K382" s="116"/>
      <c r="X382" s="1"/>
      <c r="Y382" s="1"/>
      <c r="Z382" s="1"/>
      <c r="AA382" s="1"/>
      <c r="AB382" s="655"/>
      <c r="AC382" s="1"/>
      <c r="AD382" s="116"/>
      <c r="AL382" s="655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5"/>
      <c r="BZ382" s="656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5"/>
      <c r="DJ382" s="116"/>
    </row>
    <row r="383" spans="2:114" ht="15.75" customHeight="1" x14ac:dyDescent="0.25">
      <c r="B383" s="116"/>
      <c r="I383" s="655"/>
      <c r="K383" s="116"/>
      <c r="X383" s="1"/>
      <c r="Y383" s="1"/>
      <c r="Z383" s="1"/>
      <c r="AA383" s="1"/>
      <c r="AB383" s="655"/>
      <c r="AC383" s="1"/>
      <c r="AD383" s="116"/>
      <c r="AL383" s="655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5"/>
      <c r="BZ383" s="656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5"/>
      <c r="DJ383" s="116"/>
    </row>
    <row r="384" spans="2:114" ht="15.75" customHeight="1" x14ac:dyDescent="0.25">
      <c r="B384" s="116"/>
      <c r="I384" s="655"/>
      <c r="K384" s="116"/>
      <c r="X384" s="1"/>
      <c r="Y384" s="1"/>
      <c r="Z384" s="1"/>
      <c r="AA384" s="1"/>
      <c r="AB384" s="655"/>
      <c r="AC384" s="1"/>
      <c r="AD384" s="116"/>
      <c r="AL384" s="655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5"/>
      <c r="BZ384" s="656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5"/>
      <c r="DJ384" s="116"/>
    </row>
    <row r="385" spans="2:114" ht="15.75" customHeight="1" x14ac:dyDescent="0.25">
      <c r="B385" s="116"/>
      <c r="I385" s="655"/>
      <c r="K385" s="116"/>
      <c r="X385" s="1"/>
      <c r="Y385" s="1"/>
      <c r="Z385" s="1"/>
      <c r="AA385" s="1"/>
      <c r="AB385" s="655"/>
      <c r="AC385" s="1"/>
      <c r="AD385" s="116"/>
      <c r="AL385" s="655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5"/>
      <c r="BZ385" s="656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5"/>
      <c r="DJ385" s="116"/>
    </row>
    <row r="386" spans="2:114" ht="15.75" customHeight="1" x14ac:dyDescent="0.25">
      <c r="B386" s="116"/>
      <c r="I386" s="655"/>
      <c r="K386" s="116"/>
      <c r="X386" s="1"/>
      <c r="Y386" s="1"/>
      <c r="Z386" s="1"/>
      <c r="AA386" s="1"/>
      <c r="AB386" s="655"/>
      <c r="AC386" s="1"/>
      <c r="AD386" s="116"/>
      <c r="AL386" s="655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5"/>
      <c r="BZ386" s="656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5"/>
      <c r="DJ386" s="116"/>
    </row>
    <row r="387" spans="2:114" ht="15.75" customHeight="1" x14ac:dyDescent="0.25">
      <c r="B387" s="116"/>
      <c r="I387" s="655"/>
      <c r="K387" s="116"/>
      <c r="X387" s="1"/>
      <c r="Y387" s="1"/>
      <c r="Z387" s="1"/>
      <c r="AA387" s="1"/>
      <c r="AB387" s="655"/>
      <c r="AC387" s="1"/>
      <c r="AD387" s="116"/>
      <c r="AL387" s="655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5"/>
      <c r="BZ387" s="656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5"/>
      <c r="DJ387" s="116"/>
    </row>
    <row r="388" spans="2:114" ht="15.75" customHeight="1" x14ac:dyDescent="0.25">
      <c r="B388" s="116"/>
      <c r="I388" s="655"/>
      <c r="K388" s="116"/>
      <c r="X388" s="1"/>
      <c r="Y388" s="1"/>
      <c r="Z388" s="1"/>
      <c r="AA388" s="1"/>
      <c r="AB388" s="655"/>
      <c r="AC388" s="1"/>
      <c r="AD388" s="116"/>
      <c r="AL388" s="655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5"/>
      <c r="BZ388" s="656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5"/>
      <c r="DJ388" s="116"/>
    </row>
    <row r="389" spans="2:114" ht="15.75" customHeight="1" x14ac:dyDescent="0.25">
      <c r="B389" s="116"/>
      <c r="I389" s="655"/>
      <c r="K389" s="116"/>
      <c r="X389" s="1"/>
      <c r="Y389" s="1"/>
      <c r="Z389" s="1"/>
      <c r="AA389" s="1"/>
      <c r="AB389" s="655"/>
      <c r="AC389" s="1"/>
      <c r="AD389" s="116"/>
      <c r="AL389" s="655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5"/>
      <c r="BZ389" s="656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5"/>
      <c r="DJ389" s="116"/>
    </row>
    <row r="390" spans="2:114" ht="15.75" customHeight="1" x14ac:dyDescent="0.25">
      <c r="B390" s="116"/>
      <c r="I390" s="655"/>
      <c r="K390" s="116"/>
      <c r="X390" s="1"/>
      <c r="Y390" s="1"/>
      <c r="Z390" s="1"/>
      <c r="AA390" s="1"/>
      <c r="AB390" s="655"/>
      <c r="AC390" s="1"/>
      <c r="AD390" s="116"/>
      <c r="AL390" s="655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5"/>
      <c r="BZ390" s="656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5"/>
      <c r="DJ390" s="116"/>
    </row>
    <row r="391" spans="2:114" ht="15.75" customHeight="1" x14ac:dyDescent="0.25">
      <c r="B391" s="116"/>
      <c r="I391" s="655"/>
      <c r="K391" s="116"/>
      <c r="X391" s="1"/>
      <c r="Y391" s="1"/>
      <c r="Z391" s="1"/>
      <c r="AA391" s="1"/>
      <c r="AB391" s="655"/>
      <c r="AC391" s="1"/>
      <c r="AD391" s="116"/>
      <c r="AL391" s="655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5"/>
      <c r="BZ391" s="656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5"/>
      <c r="DJ391" s="116"/>
    </row>
    <row r="392" spans="2:114" ht="15.75" customHeight="1" x14ac:dyDescent="0.25">
      <c r="B392" s="116"/>
      <c r="I392" s="655"/>
      <c r="K392" s="116"/>
      <c r="X392" s="1"/>
      <c r="Y392" s="1"/>
      <c r="Z392" s="1"/>
      <c r="AA392" s="1"/>
      <c r="AB392" s="655"/>
      <c r="AC392" s="1"/>
      <c r="AD392" s="116"/>
      <c r="AL392" s="655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5"/>
      <c r="BZ392" s="656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5"/>
      <c r="DJ392" s="116"/>
    </row>
    <row r="393" spans="2:114" ht="15.75" customHeight="1" x14ac:dyDescent="0.25">
      <c r="B393" s="116"/>
      <c r="I393" s="655"/>
      <c r="K393" s="116"/>
      <c r="X393" s="1"/>
      <c r="Y393" s="1"/>
      <c r="Z393" s="1"/>
      <c r="AA393" s="1"/>
      <c r="AB393" s="655"/>
      <c r="AC393" s="1"/>
      <c r="AD393" s="116"/>
      <c r="AL393" s="655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5"/>
      <c r="BZ393" s="656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5"/>
      <c r="DJ393" s="116"/>
    </row>
    <row r="394" spans="2:114" ht="15.75" customHeight="1" x14ac:dyDescent="0.25">
      <c r="B394" s="116"/>
      <c r="I394" s="655"/>
      <c r="K394" s="116"/>
      <c r="X394" s="1"/>
      <c r="Y394" s="1"/>
      <c r="Z394" s="1"/>
      <c r="AA394" s="1"/>
      <c r="AB394" s="655"/>
      <c r="AC394" s="1"/>
      <c r="AD394" s="116"/>
      <c r="AL394" s="655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5"/>
      <c r="BZ394" s="656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5"/>
      <c r="DJ394" s="116"/>
    </row>
    <row r="395" spans="2:114" ht="15.75" customHeight="1" x14ac:dyDescent="0.25">
      <c r="B395" s="116"/>
      <c r="I395" s="655"/>
      <c r="K395" s="116"/>
      <c r="X395" s="1"/>
      <c r="Y395" s="1"/>
      <c r="Z395" s="1"/>
      <c r="AA395" s="1"/>
      <c r="AB395" s="655"/>
      <c r="AC395" s="1"/>
      <c r="AD395" s="116"/>
      <c r="AL395" s="655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5"/>
      <c r="BZ395" s="656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5"/>
      <c r="DJ395" s="116"/>
    </row>
    <row r="396" spans="2:114" ht="15.75" customHeight="1" x14ac:dyDescent="0.25">
      <c r="B396" s="116"/>
      <c r="I396" s="655"/>
      <c r="K396" s="116"/>
      <c r="X396" s="1"/>
      <c r="Y396" s="1"/>
      <c r="Z396" s="1"/>
      <c r="AA396" s="1"/>
      <c r="AB396" s="655"/>
      <c r="AC396" s="1"/>
      <c r="AD396" s="116"/>
      <c r="AL396" s="655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5"/>
      <c r="BZ396" s="656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5"/>
      <c r="DJ396" s="116"/>
    </row>
    <row r="397" spans="2:114" ht="15.75" customHeight="1" x14ac:dyDescent="0.25">
      <c r="B397" s="116"/>
      <c r="I397" s="655"/>
      <c r="K397" s="116"/>
      <c r="X397" s="1"/>
      <c r="Y397" s="1"/>
      <c r="Z397" s="1"/>
      <c r="AA397" s="1"/>
      <c r="AB397" s="655"/>
      <c r="AC397" s="1"/>
      <c r="AD397" s="116"/>
      <c r="AL397" s="655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5"/>
      <c r="BZ397" s="656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5"/>
      <c r="DJ397" s="116"/>
    </row>
    <row r="398" spans="2:114" ht="15.75" customHeight="1" x14ac:dyDescent="0.25">
      <c r="B398" s="116"/>
      <c r="I398" s="655"/>
      <c r="K398" s="116"/>
      <c r="X398" s="1"/>
      <c r="Y398" s="1"/>
      <c r="Z398" s="1"/>
      <c r="AA398" s="1"/>
      <c r="AB398" s="655"/>
      <c r="AC398" s="1"/>
      <c r="AD398" s="116"/>
      <c r="AL398" s="655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5"/>
      <c r="BZ398" s="656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5"/>
      <c r="DJ398" s="116"/>
    </row>
    <row r="399" spans="2:114" ht="15.75" customHeight="1" x14ac:dyDescent="0.25">
      <c r="B399" s="116"/>
      <c r="I399" s="655"/>
      <c r="K399" s="116"/>
      <c r="X399" s="1"/>
      <c r="Y399" s="1"/>
      <c r="Z399" s="1"/>
      <c r="AA399" s="1"/>
      <c r="AB399" s="655"/>
      <c r="AC399" s="1"/>
      <c r="AD399" s="116"/>
      <c r="AL399" s="655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5"/>
      <c r="BZ399" s="656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5"/>
      <c r="DJ399" s="116"/>
    </row>
    <row r="400" spans="2:114" ht="15.75" customHeight="1" x14ac:dyDescent="0.25">
      <c r="B400" s="116"/>
      <c r="I400" s="655"/>
      <c r="K400" s="116"/>
      <c r="X400" s="1"/>
      <c r="Y400" s="1"/>
      <c r="Z400" s="1"/>
      <c r="AA400" s="1"/>
      <c r="AB400" s="655"/>
      <c r="AC400" s="1"/>
      <c r="AD400" s="116"/>
      <c r="AL400" s="655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5"/>
      <c r="BZ400" s="656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5"/>
      <c r="DJ400" s="116"/>
    </row>
    <row r="401" spans="2:114" ht="15.75" customHeight="1" x14ac:dyDescent="0.25">
      <c r="B401" s="116"/>
      <c r="I401" s="655"/>
      <c r="K401" s="116"/>
      <c r="X401" s="1"/>
      <c r="Y401" s="1"/>
      <c r="Z401" s="1"/>
      <c r="AA401" s="1"/>
      <c r="AB401" s="655"/>
      <c r="AC401" s="1"/>
      <c r="AD401" s="116"/>
      <c r="AL401" s="655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5"/>
      <c r="BZ401" s="656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5"/>
      <c r="DJ401" s="116"/>
    </row>
    <row r="402" spans="2:114" ht="15.75" customHeight="1" x14ac:dyDescent="0.25">
      <c r="B402" s="116"/>
      <c r="I402" s="655"/>
      <c r="K402" s="116"/>
      <c r="X402" s="1"/>
      <c r="Y402" s="1"/>
      <c r="Z402" s="1"/>
      <c r="AA402" s="1"/>
      <c r="AB402" s="655"/>
      <c r="AC402" s="1"/>
      <c r="AD402" s="116"/>
      <c r="AL402" s="655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5"/>
      <c r="BZ402" s="656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5"/>
      <c r="DJ402" s="116"/>
    </row>
    <row r="403" spans="2:114" ht="15.75" customHeight="1" x14ac:dyDescent="0.25">
      <c r="B403" s="116"/>
      <c r="I403" s="655"/>
      <c r="K403" s="116"/>
      <c r="X403" s="1"/>
      <c r="Y403" s="1"/>
      <c r="Z403" s="1"/>
      <c r="AA403" s="1"/>
      <c r="AB403" s="655"/>
      <c r="AC403" s="1"/>
      <c r="AD403" s="116"/>
      <c r="AL403" s="655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5"/>
      <c r="BZ403" s="656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5"/>
      <c r="DJ403" s="116"/>
    </row>
    <row r="404" spans="2:114" ht="15.75" customHeight="1" x14ac:dyDescent="0.25">
      <c r="B404" s="116"/>
      <c r="I404" s="655"/>
      <c r="K404" s="116"/>
      <c r="X404" s="1"/>
      <c r="Y404" s="1"/>
      <c r="Z404" s="1"/>
      <c r="AA404" s="1"/>
      <c r="AB404" s="655"/>
      <c r="AC404" s="1"/>
      <c r="AD404" s="116"/>
      <c r="AL404" s="655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5"/>
      <c r="BZ404" s="656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5"/>
      <c r="DJ404" s="116"/>
    </row>
    <row r="405" spans="2:114" ht="15.75" customHeight="1" x14ac:dyDescent="0.25">
      <c r="B405" s="116"/>
      <c r="I405" s="655"/>
      <c r="K405" s="116"/>
      <c r="X405" s="1"/>
      <c r="Y405" s="1"/>
      <c r="Z405" s="1"/>
      <c r="AA405" s="1"/>
      <c r="AB405" s="655"/>
      <c r="AC405" s="1"/>
      <c r="AD405" s="116"/>
      <c r="AL405" s="655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5"/>
      <c r="BZ405" s="656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5"/>
      <c r="DJ405" s="116"/>
    </row>
    <row r="406" spans="2:114" ht="15.75" customHeight="1" x14ac:dyDescent="0.25">
      <c r="B406" s="116"/>
      <c r="I406" s="655"/>
      <c r="K406" s="116"/>
      <c r="X406" s="1"/>
      <c r="Y406" s="1"/>
      <c r="Z406" s="1"/>
      <c r="AA406" s="1"/>
      <c r="AB406" s="655"/>
      <c r="AC406" s="1"/>
      <c r="AD406" s="116"/>
      <c r="AL406" s="655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5"/>
      <c r="BZ406" s="656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5"/>
      <c r="DJ406" s="116"/>
    </row>
    <row r="407" spans="2:114" ht="15.75" customHeight="1" x14ac:dyDescent="0.25">
      <c r="B407" s="116"/>
      <c r="I407" s="655"/>
      <c r="K407" s="116"/>
      <c r="X407" s="1"/>
      <c r="Y407" s="1"/>
      <c r="Z407" s="1"/>
      <c r="AA407" s="1"/>
      <c r="AB407" s="655"/>
      <c r="AC407" s="1"/>
      <c r="AD407" s="116"/>
      <c r="AL407" s="655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5"/>
      <c r="BZ407" s="656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5"/>
      <c r="DJ407" s="116"/>
    </row>
    <row r="408" spans="2:114" ht="15.75" customHeight="1" x14ac:dyDescent="0.25">
      <c r="B408" s="116"/>
      <c r="I408" s="655"/>
      <c r="K408" s="116"/>
      <c r="X408" s="1"/>
      <c r="Y408" s="1"/>
      <c r="Z408" s="1"/>
      <c r="AA408" s="1"/>
      <c r="AB408" s="655"/>
      <c r="AC408" s="1"/>
      <c r="AD408" s="116"/>
      <c r="AL408" s="655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5"/>
      <c r="BZ408" s="656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5"/>
      <c r="DJ408" s="116"/>
    </row>
    <row r="409" spans="2:114" ht="15.75" customHeight="1" x14ac:dyDescent="0.25">
      <c r="B409" s="116"/>
      <c r="I409" s="655"/>
      <c r="K409" s="116"/>
      <c r="X409" s="1"/>
      <c r="Y409" s="1"/>
      <c r="Z409" s="1"/>
      <c r="AA409" s="1"/>
      <c r="AB409" s="655"/>
      <c r="AC409" s="1"/>
      <c r="AD409" s="116"/>
      <c r="AL409" s="655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5"/>
      <c r="BZ409" s="656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5"/>
      <c r="DJ409" s="116"/>
    </row>
    <row r="410" spans="2:114" ht="15.75" customHeight="1" x14ac:dyDescent="0.25">
      <c r="B410" s="116"/>
      <c r="I410" s="655"/>
      <c r="K410" s="116"/>
      <c r="X410" s="1"/>
      <c r="Y410" s="1"/>
      <c r="Z410" s="1"/>
      <c r="AA410" s="1"/>
      <c r="AB410" s="655"/>
      <c r="AC410" s="1"/>
      <c r="AD410" s="116"/>
      <c r="AL410" s="655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5"/>
      <c r="BZ410" s="656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5"/>
      <c r="DJ410" s="116"/>
    </row>
    <row r="411" spans="2:114" ht="15.75" customHeight="1" x14ac:dyDescent="0.25">
      <c r="B411" s="116"/>
      <c r="I411" s="655"/>
      <c r="K411" s="116"/>
      <c r="X411" s="1"/>
      <c r="Y411" s="1"/>
      <c r="Z411" s="1"/>
      <c r="AA411" s="1"/>
      <c r="AB411" s="655"/>
      <c r="AC411" s="1"/>
      <c r="AD411" s="116"/>
      <c r="AL411" s="655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5"/>
      <c r="BZ411" s="656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5"/>
      <c r="DJ411" s="116"/>
    </row>
    <row r="412" spans="2:114" ht="15.75" customHeight="1" x14ac:dyDescent="0.25">
      <c r="B412" s="116"/>
      <c r="I412" s="655"/>
      <c r="K412" s="116"/>
      <c r="X412" s="1"/>
      <c r="Y412" s="1"/>
      <c r="Z412" s="1"/>
      <c r="AA412" s="1"/>
      <c r="AB412" s="655"/>
      <c r="AC412" s="1"/>
      <c r="AD412" s="116"/>
      <c r="AL412" s="655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5"/>
      <c r="BZ412" s="656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5"/>
      <c r="DJ412" s="116"/>
    </row>
    <row r="413" spans="2:114" ht="15.75" customHeight="1" x14ac:dyDescent="0.25">
      <c r="B413" s="116"/>
      <c r="I413" s="655"/>
      <c r="K413" s="116"/>
      <c r="X413" s="1"/>
      <c r="Y413" s="1"/>
      <c r="Z413" s="1"/>
      <c r="AA413" s="1"/>
      <c r="AB413" s="655"/>
      <c r="AC413" s="1"/>
      <c r="AD413" s="116"/>
      <c r="AL413" s="655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5"/>
      <c r="BZ413" s="656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5"/>
      <c r="DJ413" s="116"/>
    </row>
    <row r="414" spans="2:114" ht="15.75" customHeight="1" x14ac:dyDescent="0.25">
      <c r="B414" s="116"/>
      <c r="I414" s="655"/>
      <c r="K414" s="116"/>
      <c r="X414" s="1"/>
      <c r="Y414" s="1"/>
      <c r="Z414" s="1"/>
      <c r="AA414" s="1"/>
      <c r="AB414" s="655"/>
      <c r="AC414" s="1"/>
      <c r="AD414" s="116"/>
      <c r="AL414" s="655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5"/>
      <c r="BZ414" s="656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5"/>
      <c r="DJ414" s="116"/>
    </row>
    <row r="415" spans="2:114" ht="15.75" customHeight="1" x14ac:dyDescent="0.25">
      <c r="B415" s="116"/>
      <c r="I415" s="655"/>
      <c r="K415" s="116"/>
      <c r="X415" s="1"/>
      <c r="Y415" s="1"/>
      <c r="Z415" s="1"/>
      <c r="AA415" s="1"/>
      <c r="AB415" s="655"/>
      <c r="AC415" s="1"/>
      <c r="AD415" s="116"/>
      <c r="AL415" s="655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5"/>
      <c r="BZ415" s="656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5"/>
      <c r="DJ415" s="116"/>
    </row>
    <row r="416" spans="2:114" ht="15.75" customHeight="1" x14ac:dyDescent="0.25">
      <c r="B416" s="116"/>
      <c r="I416" s="655"/>
      <c r="K416" s="116"/>
      <c r="X416" s="1"/>
      <c r="Y416" s="1"/>
      <c r="Z416" s="1"/>
      <c r="AA416" s="1"/>
      <c r="AB416" s="655"/>
      <c r="AC416" s="1"/>
      <c r="AD416" s="116"/>
      <c r="AL416" s="655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5"/>
      <c r="BZ416" s="656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5"/>
      <c r="DJ416" s="116"/>
    </row>
    <row r="417" spans="2:114" ht="15.75" customHeight="1" x14ac:dyDescent="0.25">
      <c r="B417" s="116"/>
      <c r="I417" s="655"/>
      <c r="K417" s="116"/>
      <c r="X417" s="1"/>
      <c r="Y417" s="1"/>
      <c r="Z417" s="1"/>
      <c r="AA417" s="1"/>
      <c r="AB417" s="655"/>
      <c r="AC417" s="1"/>
      <c r="AD417" s="116"/>
      <c r="AL417" s="655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5"/>
      <c r="BZ417" s="656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5"/>
      <c r="DJ417" s="116"/>
    </row>
    <row r="418" spans="2:114" ht="15.75" customHeight="1" x14ac:dyDescent="0.25">
      <c r="B418" s="116"/>
      <c r="I418" s="655"/>
      <c r="K418" s="116"/>
      <c r="X418" s="1"/>
      <c r="Y418" s="1"/>
      <c r="Z418" s="1"/>
      <c r="AA418" s="1"/>
      <c r="AB418" s="655"/>
      <c r="AC418" s="1"/>
      <c r="AD418" s="116"/>
      <c r="AL418" s="655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5"/>
      <c r="BZ418" s="656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5"/>
      <c r="DJ418" s="116"/>
    </row>
    <row r="419" spans="2:114" ht="15.75" customHeight="1" x14ac:dyDescent="0.25">
      <c r="B419" s="116"/>
      <c r="I419" s="655"/>
      <c r="K419" s="116"/>
      <c r="X419" s="1"/>
      <c r="Y419" s="1"/>
      <c r="Z419" s="1"/>
      <c r="AA419" s="1"/>
      <c r="AB419" s="655"/>
      <c r="AC419" s="1"/>
      <c r="AD419" s="116"/>
      <c r="AL419" s="655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5"/>
      <c r="BZ419" s="656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5"/>
      <c r="DJ419" s="116"/>
    </row>
    <row r="420" spans="2:114" ht="15.75" customHeight="1" x14ac:dyDescent="0.25">
      <c r="B420" s="116"/>
      <c r="I420" s="655"/>
      <c r="K420" s="116"/>
      <c r="X420" s="1"/>
      <c r="Y420" s="1"/>
      <c r="Z420" s="1"/>
      <c r="AA420" s="1"/>
      <c r="AB420" s="655"/>
      <c r="AC420" s="1"/>
      <c r="AD420" s="116"/>
      <c r="AL420" s="655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5"/>
      <c r="BZ420" s="656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5"/>
      <c r="DJ420" s="116"/>
    </row>
    <row r="421" spans="2:114" ht="15.75" customHeight="1" x14ac:dyDescent="0.25">
      <c r="B421" s="116"/>
      <c r="I421" s="655"/>
      <c r="K421" s="116"/>
      <c r="X421" s="1"/>
      <c r="Y421" s="1"/>
      <c r="Z421" s="1"/>
      <c r="AA421" s="1"/>
      <c r="AB421" s="655"/>
      <c r="AC421" s="1"/>
      <c r="AD421" s="116"/>
      <c r="AL421" s="655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5"/>
      <c r="BZ421" s="656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5"/>
      <c r="DJ421" s="116"/>
    </row>
    <row r="422" spans="2:114" ht="15.75" customHeight="1" x14ac:dyDescent="0.25">
      <c r="B422" s="116"/>
      <c r="I422" s="655"/>
      <c r="K422" s="116"/>
      <c r="X422" s="1"/>
      <c r="Y422" s="1"/>
      <c r="Z422" s="1"/>
      <c r="AA422" s="1"/>
      <c r="AB422" s="655"/>
      <c r="AC422" s="1"/>
      <c r="AD422" s="116"/>
      <c r="AL422" s="655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5"/>
      <c r="BZ422" s="656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5"/>
      <c r="DJ422" s="116"/>
    </row>
    <row r="423" spans="2:114" ht="15.75" customHeight="1" x14ac:dyDescent="0.25">
      <c r="B423" s="116"/>
      <c r="I423" s="655"/>
      <c r="K423" s="116"/>
      <c r="X423" s="1"/>
      <c r="Y423" s="1"/>
      <c r="Z423" s="1"/>
      <c r="AA423" s="1"/>
      <c r="AB423" s="655"/>
      <c r="AC423" s="1"/>
      <c r="AD423" s="116"/>
      <c r="AL423" s="655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5"/>
      <c r="BZ423" s="656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5"/>
      <c r="DJ423" s="116"/>
    </row>
    <row r="424" spans="2:114" ht="15.75" customHeight="1" x14ac:dyDescent="0.25">
      <c r="B424" s="116"/>
      <c r="I424" s="655"/>
      <c r="K424" s="116"/>
      <c r="X424" s="1"/>
      <c r="Y424" s="1"/>
      <c r="Z424" s="1"/>
      <c r="AA424" s="1"/>
      <c r="AB424" s="655"/>
      <c r="AC424" s="1"/>
      <c r="AD424" s="116"/>
      <c r="AL424" s="655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5"/>
      <c r="BZ424" s="656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5"/>
      <c r="DJ424" s="116"/>
    </row>
    <row r="425" spans="2:114" ht="15.75" customHeight="1" x14ac:dyDescent="0.25">
      <c r="B425" s="116"/>
      <c r="I425" s="655"/>
      <c r="K425" s="116"/>
      <c r="X425" s="1"/>
      <c r="Y425" s="1"/>
      <c r="Z425" s="1"/>
      <c r="AA425" s="1"/>
      <c r="AB425" s="655"/>
      <c r="AC425" s="1"/>
      <c r="AD425" s="116"/>
      <c r="AL425" s="655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5"/>
      <c r="BZ425" s="656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5"/>
      <c r="DJ425" s="116"/>
    </row>
    <row r="426" spans="2:114" ht="15.75" customHeight="1" x14ac:dyDescent="0.25">
      <c r="B426" s="116"/>
      <c r="I426" s="655"/>
      <c r="K426" s="116"/>
      <c r="X426" s="1"/>
      <c r="Y426" s="1"/>
      <c r="Z426" s="1"/>
      <c r="AA426" s="1"/>
      <c r="AB426" s="655"/>
      <c r="AC426" s="1"/>
      <c r="AD426" s="116"/>
      <c r="AL426" s="655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5"/>
      <c r="BZ426" s="656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5"/>
      <c r="DJ426" s="116"/>
    </row>
    <row r="427" spans="2:114" ht="15.75" customHeight="1" x14ac:dyDescent="0.25">
      <c r="B427" s="116"/>
      <c r="I427" s="655"/>
      <c r="K427" s="116"/>
      <c r="X427" s="1"/>
      <c r="Y427" s="1"/>
      <c r="Z427" s="1"/>
      <c r="AA427" s="1"/>
      <c r="AB427" s="655"/>
      <c r="AC427" s="1"/>
      <c r="AD427" s="116"/>
      <c r="AL427" s="655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5"/>
      <c r="BZ427" s="656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5"/>
      <c r="DJ427" s="116"/>
    </row>
    <row r="428" spans="2:114" ht="15.75" customHeight="1" x14ac:dyDescent="0.25">
      <c r="B428" s="116"/>
      <c r="I428" s="655"/>
      <c r="K428" s="116"/>
      <c r="X428" s="1"/>
      <c r="Y428" s="1"/>
      <c r="Z428" s="1"/>
      <c r="AA428" s="1"/>
      <c r="AB428" s="655"/>
      <c r="AC428" s="1"/>
      <c r="AD428" s="116"/>
      <c r="AL428" s="655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5"/>
      <c r="BZ428" s="656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5"/>
      <c r="DJ428" s="116"/>
    </row>
    <row r="429" spans="2:114" ht="15.75" customHeight="1" x14ac:dyDescent="0.25">
      <c r="B429" s="116"/>
      <c r="I429" s="655"/>
      <c r="K429" s="116"/>
      <c r="X429" s="1"/>
      <c r="Y429" s="1"/>
      <c r="Z429" s="1"/>
      <c r="AA429" s="1"/>
      <c r="AB429" s="655"/>
      <c r="AC429" s="1"/>
      <c r="AD429" s="116"/>
      <c r="AL429" s="655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5"/>
      <c r="BZ429" s="656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5"/>
      <c r="DJ429" s="116"/>
    </row>
    <row r="430" spans="2:114" ht="15.75" customHeight="1" x14ac:dyDescent="0.25">
      <c r="B430" s="116"/>
      <c r="I430" s="655"/>
      <c r="K430" s="116"/>
      <c r="X430" s="1"/>
      <c r="Y430" s="1"/>
      <c r="Z430" s="1"/>
      <c r="AA430" s="1"/>
      <c r="AB430" s="655"/>
      <c r="AC430" s="1"/>
      <c r="AD430" s="116"/>
      <c r="AL430" s="655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5"/>
      <c r="BZ430" s="656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5"/>
      <c r="DJ430" s="116"/>
    </row>
    <row r="431" spans="2:114" ht="15.75" customHeight="1" x14ac:dyDescent="0.25">
      <c r="B431" s="116"/>
      <c r="I431" s="655"/>
      <c r="K431" s="116"/>
      <c r="X431" s="1"/>
      <c r="Y431" s="1"/>
      <c r="Z431" s="1"/>
      <c r="AA431" s="1"/>
      <c r="AB431" s="655"/>
      <c r="AC431" s="1"/>
      <c r="AD431" s="116"/>
      <c r="AL431" s="655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5"/>
      <c r="BZ431" s="656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5"/>
      <c r="DJ431" s="116"/>
    </row>
    <row r="432" spans="2:114" ht="15.75" customHeight="1" x14ac:dyDescent="0.25">
      <c r="B432" s="116"/>
      <c r="I432" s="655"/>
      <c r="K432" s="116"/>
      <c r="X432" s="1"/>
      <c r="Y432" s="1"/>
      <c r="Z432" s="1"/>
      <c r="AA432" s="1"/>
      <c r="AB432" s="655"/>
      <c r="AC432" s="1"/>
      <c r="AD432" s="116"/>
      <c r="AL432" s="655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5"/>
      <c r="BZ432" s="656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5"/>
      <c r="DJ432" s="116"/>
    </row>
    <row r="433" spans="2:114" ht="15.75" customHeight="1" x14ac:dyDescent="0.25">
      <c r="B433" s="116"/>
      <c r="I433" s="655"/>
      <c r="K433" s="116"/>
      <c r="X433" s="1"/>
      <c r="Y433" s="1"/>
      <c r="Z433" s="1"/>
      <c r="AA433" s="1"/>
      <c r="AB433" s="655"/>
      <c r="AC433" s="1"/>
      <c r="AD433" s="116"/>
      <c r="AL433" s="655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5"/>
      <c r="BZ433" s="656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5"/>
      <c r="DJ433" s="116"/>
    </row>
    <row r="434" spans="2:114" ht="15.75" customHeight="1" x14ac:dyDescent="0.25">
      <c r="B434" s="116"/>
      <c r="I434" s="655"/>
      <c r="K434" s="116"/>
      <c r="X434" s="1"/>
      <c r="Y434" s="1"/>
      <c r="Z434" s="1"/>
      <c r="AA434" s="1"/>
      <c r="AB434" s="655"/>
      <c r="AC434" s="1"/>
      <c r="AD434" s="116"/>
      <c r="AL434" s="655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5"/>
      <c r="BZ434" s="656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5"/>
      <c r="DJ434" s="116"/>
    </row>
    <row r="435" spans="2:114" ht="15.75" customHeight="1" x14ac:dyDescent="0.25">
      <c r="B435" s="116"/>
      <c r="I435" s="655"/>
      <c r="K435" s="116"/>
      <c r="X435" s="1"/>
      <c r="Y435" s="1"/>
      <c r="Z435" s="1"/>
      <c r="AA435" s="1"/>
      <c r="AB435" s="655"/>
      <c r="AC435" s="1"/>
      <c r="AD435" s="116"/>
      <c r="AL435" s="655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5"/>
      <c r="BZ435" s="656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5"/>
      <c r="DJ435" s="116"/>
    </row>
    <row r="436" spans="2:114" ht="15.75" customHeight="1" x14ac:dyDescent="0.25">
      <c r="B436" s="116"/>
      <c r="I436" s="655"/>
      <c r="K436" s="116"/>
      <c r="X436" s="1"/>
      <c r="Y436" s="1"/>
      <c r="Z436" s="1"/>
      <c r="AA436" s="1"/>
      <c r="AB436" s="655"/>
      <c r="AC436" s="1"/>
      <c r="AD436" s="116"/>
      <c r="AL436" s="655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5"/>
      <c r="BZ436" s="656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5"/>
      <c r="DJ436" s="116"/>
    </row>
    <row r="437" spans="2:114" ht="15.75" customHeight="1" x14ac:dyDescent="0.25">
      <c r="B437" s="116"/>
      <c r="I437" s="655"/>
      <c r="K437" s="116"/>
      <c r="X437" s="1"/>
      <c r="Y437" s="1"/>
      <c r="Z437" s="1"/>
      <c r="AA437" s="1"/>
      <c r="AB437" s="655"/>
      <c r="AC437" s="1"/>
      <c r="AD437" s="116"/>
      <c r="AL437" s="655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5"/>
      <c r="BZ437" s="656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5"/>
      <c r="DJ437" s="116"/>
    </row>
    <row r="438" spans="2:114" ht="15.75" customHeight="1" x14ac:dyDescent="0.25">
      <c r="B438" s="116"/>
      <c r="I438" s="655"/>
      <c r="K438" s="116"/>
      <c r="X438" s="1"/>
      <c r="Y438" s="1"/>
      <c r="Z438" s="1"/>
      <c r="AA438" s="1"/>
      <c r="AB438" s="655"/>
      <c r="AC438" s="1"/>
      <c r="AD438" s="116"/>
      <c r="AL438" s="655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5"/>
      <c r="BZ438" s="656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5"/>
      <c r="DJ438" s="116"/>
    </row>
    <row r="439" spans="2:114" ht="15.75" customHeight="1" x14ac:dyDescent="0.25">
      <c r="B439" s="116"/>
      <c r="I439" s="655"/>
      <c r="K439" s="116"/>
      <c r="X439" s="1"/>
      <c r="Y439" s="1"/>
      <c r="Z439" s="1"/>
      <c r="AA439" s="1"/>
      <c r="AB439" s="655"/>
      <c r="AC439" s="1"/>
      <c r="AD439" s="116"/>
      <c r="AL439" s="655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5"/>
      <c r="BZ439" s="656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5"/>
      <c r="DJ439" s="116"/>
    </row>
    <row r="440" spans="2:114" ht="15.75" customHeight="1" x14ac:dyDescent="0.25">
      <c r="B440" s="116"/>
      <c r="I440" s="655"/>
      <c r="K440" s="116"/>
      <c r="X440" s="1"/>
      <c r="Y440" s="1"/>
      <c r="Z440" s="1"/>
      <c r="AA440" s="1"/>
      <c r="AB440" s="655"/>
      <c r="AC440" s="1"/>
      <c r="AD440" s="116"/>
      <c r="AL440" s="655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5"/>
      <c r="BZ440" s="656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5"/>
      <c r="DJ440" s="116"/>
    </row>
    <row r="441" spans="2:114" ht="15.75" customHeight="1" x14ac:dyDescent="0.25">
      <c r="B441" s="116"/>
      <c r="I441" s="655"/>
      <c r="K441" s="116"/>
      <c r="X441" s="1"/>
      <c r="Y441" s="1"/>
      <c r="Z441" s="1"/>
      <c r="AA441" s="1"/>
      <c r="AB441" s="655"/>
      <c r="AC441" s="1"/>
      <c r="AD441" s="116"/>
      <c r="AL441" s="655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5"/>
      <c r="BZ441" s="656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5"/>
      <c r="DJ441" s="116"/>
    </row>
    <row r="442" spans="2:114" ht="15.75" customHeight="1" x14ac:dyDescent="0.25">
      <c r="B442" s="116"/>
      <c r="I442" s="655"/>
      <c r="K442" s="116"/>
      <c r="X442" s="1"/>
      <c r="Y442" s="1"/>
      <c r="Z442" s="1"/>
      <c r="AA442" s="1"/>
      <c r="AB442" s="655"/>
      <c r="AC442" s="1"/>
      <c r="AD442" s="116"/>
      <c r="AL442" s="655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5"/>
      <c r="BZ442" s="656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5"/>
      <c r="DJ442" s="116"/>
    </row>
    <row r="443" spans="2:114" ht="15.75" customHeight="1" x14ac:dyDescent="0.25">
      <c r="B443" s="116"/>
      <c r="I443" s="655"/>
      <c r="K443" s="116"/>
      <c r="X443" s="1"/>
      <c r="Y443" s="1"/>
      <c r="Z443" s="1"/>
      <c r="AA443" s="1"/>
      <c r="AB443" s="655"/>
      <c r="AC443" s="1"/>
      <c r="AD443" s="116"/>
      <c r="AL443" s="655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5"/>
      <c r="BZ443" s="656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5"/>
      <c r="DJ443" s="116"/>
    </row>
    <row r="444" spans="2:114" ht="15.75" customHeight="1" x14ac:dyDescent="0.25">
      <c r="B444" s="116"/>
      <c r="I444" s="655"/>
      <c r="K444" s="116"/>
      <c r="X444" s="1"/>
      <c r="Y444" s="1"/>
      <c r="Z444" s="1"/>
      <c r="AA444" s="1"/>
      <c r="AB444" s="655"/>
      <c r="AC444" s="1"/>
      <c r="AD444" s="116"/>
      <c r="AL444" s="655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5"/>
      <c r="BZ444" s="656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5"/>
      <c r="DJ444" s="116"/>
    </row>
    <row r="445" spans="2:114" ht="15.75" customHeight="1" x14ac:dyDescent="0.25">
      <c r="B445" s="116"/>
      <c r="I445" s="655"/>
      <c r="K445" s="116"/>
      <c r="X445" s="1"/>
      <c r="Y445" s="1"/>
      <c r="Z445" s="1"/>
      <c r="AA445" s="1"/>
      <c r="AB445" s="655"/>
      <c r="AC445" s="1"/>
      <c r="AD445" s="116"/>
      <c r="AL445" s="655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5"/>
      <c r="BZ445" s="656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5"/>
      <c r="DJ445" s="116"/>
    </row>
    <row r="446" spans="2:114" ht="15.75" customHeight="1" x14ac:dyDescent="0.25">
      <c r="B446" s="116"/>
      <c r="I446" s="655"/>
      <c r="K446" s="116"/>
      <c r="X446" s="1"/>
      <c r="Y446" s="1"/>
      <c r="Z446" s="1"/>
      <c r="AA446" s="1"/>
      <c r="AB446" s="655"/>
      <c r="AC446" s="1"/>
      <c r="AD446" s="116"/>
      <c r="AL446" s="655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5"/>
      <c r="BZ446" s="656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5"/>
      <c r="DJ446" s="116"/>
    </row>
    <row r="447" spans="2:114" ht="15.75" customHeight="1" x14ac:dyDescent="0.25">
      <c r="B447" s="116"/>
      <c r="I447" s="655"/>
      <c r="K447" s="116"/>
      <c r="X447" s="1"/>
      <c r="Y447" s="1"/>
      <c r="Z447" s="1"/>
      <c r="AA447" s="1"/>
      <c r="AB447" s="655"/>
      <c r="AC447" s="1"/>
      <c r="AD447" s="116"/>
      <c r="AL447" s="655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5"/>
      <c r="BZ447" s="656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5"/>
      <c r="DJ447" s="116"/>
    </row>
    <row r="448" spans="2:114" ht="15.75" customHeight="1" x14ac:dyDescent="0.25">
      <c r="B448" s="116"/>
      <c r="I448" s="655"/>
      <c r="K448" s="116"/>
      <c r="X448" s="1"/>
      <c r="Y448" s="1"/>
      <c r="Z448" s="1"/>
      <c r="AA448" s="1"/>
      <c r="AB448" s="655"/>
      <c r="AC448" s="1"/>
      <c r="AD448" s="116"/>
      <c r="AL448" s="655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5"/>
      <c r="BZ448" s="656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5"/>
      <c r="DJ448" s="116"/>
    </row>
    <row r="449" spans="2:114" ht="15.75" customHeight="1" x14ac:dyDescent="0.25">
      <c r="B449" s="116"/>
      <c r="I449" s="655"/>
      <c r="K449" s="116"/>
      <c r="X449" s="1"/>
      <c r="Y449" s="1"/>
      <c r="Z449" s="1"/>
      <c r="AA449" s="1"/>
      <c r="AB449" s="655"/>
      <c r="AC449" s="1"/>
      <c r="AD449" s="116"/>
      <c r="AL449" s="655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5"/>
      <c r="BZ449" s="656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5"/>
      <c r="DJ449" s="116"/>
    </row>
    <row r="450" spans="2:114" ht="15.75" customHeight="1" x14ac:dyDescent="0.25">
      <c r="B450" s="116"/>
      <c r="I450" s="655"/>
      <c r="K450" s="116"/>
      <c r="X450" s="1"/>
      <c r="Y450" s="1"/>
      <c r="Z450" s="1"/>
      <c r="AA450" s="1"/>
      <c r="AB450" s="655"/>
      <c r="AC450" s="1"/>
      <c r="AD450" s="116"/>
      <c r="AL450" s="655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5"/>
      <c r="BZ450" s="656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5"/>
      <c r="DJ450" s="116"/>
    </row>
    <row r="451" spans="2:114" ht="15.75" customHeight="1" x14ac:dyDescent="0.25">
      <c r="B451" s="116"/>
      <c r="I451" s="655"/>
      <c r="K451" s="116"/>
      <c r="X451" s="1"/>
      <c r="Y451" s="1"/>
      <c r="Z451" s="1"/>
      <c r="AA451" s="1"/>
      <c r="AB451" s="655"/>
      <c r="AC451" s="1"/>
      <c r="AD451" s="116"/>
      <c r="AL451" s="655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5"/>
      <c r="BZ451" s="656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5"/>
      <c r="DJ451" s="116"/>
    </row>
    <row r="452" spans="2:114" ht="15.75" customHeight="1" x14ac:dyDescent="0.25">
      <c r="B452" s="116"/>
      <c r="I452" s="655"/>
      <c r="K452" s="116"/>
      <c r="X452" s="1"/>
      <c r="Y452" s="1"/>
      <c r="Z452" s="1"/>
      <c r="AA452" s="1"/>
      <c r="AB452" s="655"/>
      <c r="AC452" s="1"/>
      <c r="AD452" s="116"/>
      <c r="AL452" s="655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5"/>
      <c r="BZ452" s="656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5"/>
      <c r="DJ452" s="116"/>
    </row>
    <row r="453" spans="2:114" ht="15.75" customHeight="1" x14ac:dyDescent="0.25">
      <c r="B453" s="116"/>
      <c r="I453" s="655"/>
      <c r="K453" s="116"/>
      <c r="X453" s="1"/>
      <c r="Y453" s="1"/>
      <c r="Z453" s="1"/>
      <c r="AA453" s="1"/>
      <c r="AB453" s="655"/>
      <c r="AC453" s="1"/>
      <c r="AD453" s="116"/>
      <c r="AL453" s="655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5"/>
      <c r="BZ453" s="656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5"/>
      <c r="DJ453" s="116"/>
    </row>
    <row r="454" spans="2:114" ht="15.75" customHeight="1" x14ac:dyDescent="0.25">
      <c r="B454" s="116"/>
      <c r="I454" s="655"/>
      <c r="K454" s="116"/>
      <c r="X454" s="1"/>
      <c r="Y454" s="1"/>
      <c r="Z454" s="1"/>
      <c r="AA454" s="1"/>
      <c r="AB454" s="655"/>
      <c r="AC454" s="1"/>
      <c r="AD454" s="116"/>
      <c r="AL454" s="655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5"/>
      <c r="BZ454" s="656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5"/>
      <c r="DJ454" s="116"/>
    </row>
    <row r="455" spans="2:114" ht="15.75" customHeight="1" x14ac:dyDescent="0.25">
      <c r="B455" s="116"/>
      <c r="I455" s="655"/>
      <c r="K455" s="116"/>
      <c r="X455" s="1"/>
      <c r="Y455" s="1"/>
      <c r="Z455" s="1"/>
      <c r="AA455" s="1"/>
      <c r="AB455" s="655"/>
      <c r="AC455" s="1"/>
      <c r="AD455" s="116"/>
      <c r="AL455" s="655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5"/>
      <c r="BZ455" s="656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5"/>
      <c r="DJ455" s="116"/>
    </row>
    <row r="456" spans="2:114" ht="15.75" customHeight="1" x14ac:dyDescent="0.25">
      <c r="B456" s="116"/>
      <c r="I456" s="655"/>
      <c r="K456" s="116"/>
      <c r="X456" s="1"/>
      <c r="Y456" s="1"/>
      <c r="Z456" s="1"/>
      <c r="AA456" s="1"/>
      <c r="AB456" s="655"/>
      <c r="AC456" s="1"/>
      <c r="AD456" s="116"/>
      <c r="AL456" s="655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5"/>
      <c r="BZ456" s="656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5"/>
      <c r="DJ456" s="116"/>
    </row>
    <row r="457" spans="2:114" ht="15.75" customHeight="1" x14ac:dyDescent="0.25">
      <c r="B457" s="116"/>
      <c r="I457" s="655"/>
      <c r="K457" s="116"/>
      <c r="X457" s="1"/>
      <c r="Y457" s="1"/>
      <c r="Z457" s="1"/>
      <c r="AA457" s="1"/>
      <c r="AB457" s="655"/>
      <c r="AC457" s="1"/>
      <c r="AD457" s="116"/>
      <c r="AL457" s="655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5"/>
      <c r="BZ457" s="656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5"/>
      <c r="DJ457" s="116"/>
    </row>
    <row r="458" spans="2:114" ht="15.75" customHeight="1" x14ac:dyDescent="0.25">
      <c r="B458" s="116"/>
      <c r="I458" s="655"/>
      <c r="K458" s="116"/>
      <c r="X458" s="1"/>
      <c r="Y458" s="1"/>
      <c r="Z458" s="1"/>
      <c r="AA458" s="1"/>
      <c r="AB458" s="655"/>
      <c r="AC458" s="1"/>
      <c r="AD458" s="116"/>
      <c r="AL458" s="655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5"/>
      <c r="BZ458" s="656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5"/>
      <c r="DJ458" s="116"/>
    </row>
    <row r="459" spans="2:114" ht="15.75" customHeight="1" x14ac:dyDescent="0.25">
      <c r="B459" s="116"/>
      <c r="I459" s="655"/>
      <c r="K459" s="116"/>
      <c r="X459" s="1"/>
      <c r="Y459" s="1"/>
      <c r="Z459" s="1"/>
      <c r="AA459" s="1"/>
      <c r="AB459" s="655"/>
      <c r="AC459" s="1"/>
      <c r="AD459" s="116"/>
      <c r="AL459" s="655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5"/>
      <c r="BZ459" s="656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5"/>
      <c r="DJ459" s="116"/>
    </row>
    <row r="460" spans="2:114" ht="15.75" customHeight="1" x14ac:dyDescent="0.25">
      <c r="B460" s="116"/>
      <c r="I460" s="655"/>
      <c r="K460" s="116"/>
      <c r="X460" s="1"/>
      <c r="Y460" s="1"/>
      <c r="Z460" s="1"/>
      <c r="AA460" s="1"/>
      <c r="AB460" s="655"/>
      <c r="AC460" s="1"/>
      <c r="AD460" s="116"/>
      <c r="AL460" s="655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5"/>
      <c r="BZ460" s="656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5"/>
      <c r="DJ460" s="116"/>
    </row>
    <row r="461" spans="2:114" ht="15.75" customHeight="1" x14ac:dyDescent="0.25">
      <c r="B461" s="116"/>
      <c r="I461" s="655"/>
      <c r="K461" s="116"/>
      <c r="X461" s="1"/>
      <c r="Y461" s="1"/>
      <c r="Z461" s="1"/>
      <c r="AA461" s="1"/>
      <c r="AB461" s="655"/>
      <c r="AC461" s="1"/>
      <c r="AD461" s="116"/>
      <c r="AL461" s="655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5"/>
      <c r="BZ461" s="656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5"/>
      <c r="DJ461" s="116"/>
    </row>
    <row r="462" spans="2:114" ht="15.75" customHeight="1" x14ac:dyDescent="0.25">
      <c r="B462" s="116"/>
      <c r="I462" s="655"/>
      <c r="K462" s="116"/>
      <c r="X462" s="1"/>
      <c r="Y462" s="1"/>
      <c r="Z462" s="1"/>
      <c r="AA462" s="1"/>
      <c r="AB462" s="655"/>
      <c r="AC462" s="1"/>
      <c r="AD462" s="116"/>
      <c r="AL462" s="655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5"/>
      <c r="BZ462" s="656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5"/>
      <c r="DJ462" s="116"/>
    </row>
    <row r="463" spans="2:114" ht="15.75" customHeight="1" x14ac:dyDescent="0.25">
      <c r="B463" s="116"/>
      <c r="I463" s="655"/>
      <c r="K463" s="116"/>
      <c r="X463" s="1"/>
      <c r="Y463" s="1"/>
      <c r="Z463" s="1"/>
      <c r="AA463" s="1"/>
      <c r="AB463" s="655"/>
      <c r="AC463" s="1"/>
      <c r="AD463" s="116"/>
      <c r="AL463" s="655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5"/>
      <c r="BZ463" s="656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5"/>
      <c r="DJ463" s="116"/>
    </row>
    <row r="464" spans="2:114" ht="15.75" customHeight="1" x14ac:dyDescent="0.25">
      <c r="B464" s="116"/>
      <c r="I464" s="655"/>
      <c r="K464" s="116"/>
      <c r="X464" s="1"/>
      <c r="Y464" s="1"/>
      <c r="Z464" s="1"/>
      <c r="AA464" s="1"/>
      <c r="AB464" s="655"/>
      <c r="AC464" s="1"/>
      <c r="AD464" s="116"/>
      <c r="AL464" s="655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5"/>
      <c r="BZ464" s="656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5"/>
      <c r="DJ464" s="116"/>
    </row>
    <row r="465" spans="2:114" ht="15.75" customHeight="1" x14ac:dyDescent="0.25">
      <c r="B465" s="116"/>
      <c r="I465" s="655"/>
      <c r="K465" s="116"/>
      <c r="X465" s="1"/>
      <c r="Y465" s="1"/>
      <c r="Z465" s="1"/>
      <c r="AA465" s="1"/>
      <c r="AB465" s="655"/>
      <c r="AC465" s="1"/>
      <c r="AD465" s="116"/>
      <c r="AL465" s="655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5"/>
      <c r="BZ465" s="656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5"/>
      <c r="DJ465" s="116"/>
    </row>
    <row r="466" spans="2:114" ht="15.75" customHeight="1" x14ac:dyDescent="0.25">
      <c r="B466" s="116"/>
      <c r="I466" s="655"/>
      <c r="K466" s="116"/>
      <c r="X466" s="1"/>
      <c r="Y466" s="1"/>
      <c r="Z466" s="1"/>
      <c r="AA466" s="1"/>
      <c r="AB466" s="655"/>
      <c r="AC466" s="1"/>
      <c r="AD466" s="116"/>
      <c r="AL466" s="655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5"/>
      <c r="BZ466" s="656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5"/>
      <c r="DJ466" s="116"/>
    </row>
    <row r="467" spans="2:114" ht="15.75" customHeight="1" x14ac:dyDescent="0.25">
      <c r="B467" s="116"/>
      <c r="I467" s="655"/>
      <c r="K467" s="116"/>
      <c r="X467" s="1"/>
      <c r="Y467" s="1"/>
      <c r="Z467" s="1"/>
      <c r="AA467" s="1"/>
      <c r="AB467" s="655"/>
      <c r="AC467" s="1"/>
      <c r="AD467" s="116"/>
      <c r="AL467" s="655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5"/>
      <c r="BZ467" s="656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5"/>
      <c r="DJ467" s="116"/>
    </row>
    <row r="468" spans="2:114" ht="15.75" customHeight="1" x14ac:dyDescent="0.25">
      <c r="B468" s="116"/>
      <c r="I468" s="655"/>
      <c r="K468" s="116"/>
      <c r="X468" s="1"/>
      <c r="Y468" s="1"/>
      <c r="Z468" s="1"/>
      <c r="AA468" s="1"/>
      <c r="AB468" s="655"/>
      <c r="AC468" s="1"/>
      <c r="AD468" s="116"/>
      <c r="AL468" s="655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5"/>
      <c r="BZ468" s="656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5"/>
      <c r="DJ468" s="116"/>
    </row>
    <row r="469" spans="2:114" ht="15.75" customHeight="1" x14ac:dyDescent="0.25">
      <c r="B469" s="116"/>
      <c r="I469" s="655"/>
      <c r="K469" s="116"/>
      <c r="X469" s="1"/>
      <c r="Y469" s="1"/>
      <c r="Z469" s="1"/>
      <c r="AA469" s="1"/>
      <c r="AB469" s="655"/>
      <c r="AC469" s="1"/>
      <c r="AD469" s="116"/>
      <c r="AL469" s="655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5"/>
      <c r="BZ469" s="656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5"/>
      <c r="DJ469" s="116"/>
    </row>
    <row r="470" spans="2:114" ht="15.75" customHeight="1" x14ac:dyDescent="0.25">
      <c r="B470" s="116"/>
      <c r="I470" s="655"/>
      <c r="K470" s="116"/>
      <c r="X470" s="1"/>
      <c r="Y470" s="1"/>
      <c r="Z470" s="1"/>
      <c r="AA470" s="1"/>
      <c r="AB470" s="655"/>
      <c r="AC470" s="1"/>
      <c r="AD470" s="116"/>
      <c r="AL470" s="655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5"/>
      <c r="BZ470" s="656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5"/>
      <c r="DJ470" s="116"/>
    </row>
    <row r="471" spans="2:114" ht="15.75" customHeight="1" x14ac:dyDescent="0.25">
      <c r="B471" s="116"/>
      <c r="I471" s="655"/>
      <c r="K471" s="116"/>
      <c r="X471" s="1"/>
      <c r="Y471" s="1"/>
      <c r="Z471" s="1"/>
      <c r="AA471" s="1"/>
      <c r="AB471" s="655"/>
      <c r="AC471" s="1"/>
      <c r="AD471" s="116"/>
      <c r="AL471" s="655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5"/>
      <c r="BZ471" s="656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5"/>
      <c r="DJ471" s="116"/>
    </row>
    <row r="472" spans="2:114" ht="15.75" customHeight="1" x14ac:dyDescent="0.25">
      <c r="B472" s="116"/>
      <c r="I472" s="655"/>
      <c r="K472" s="116"/>
      <c r="X472" s="1"/>
      <c r="Y472" s="1"/>
      <c r="Z472" s="1"/>
      <c r="AA472" s="1"/>
      <c r="AB472" s="655"/>
      <c r="AC472" s="1"/>
      <c r="AD472" s="116"/>
      <c r="AL472" s="655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5"/>
      <c r="BZ472" s="656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5"/>
      <c r="DJ472" s="116"/>
    </row>
    <row r="473" spans="2:114" ht="15.75" customHeight="1" x14ac:dyDescent="0.25">
      <c r="B473" s="116"/>
      <c r="I473" s="655"/>
      <c r="K473" s="116"/>
      <c r="X473" s="1"/>
      <c r="Y473" s="1"/>
      <c r="Z473" s="1"/>
      <c r="AA473" s="1"/>
      <c r="AB473" s="655"/>
      <c r="AC473" s="1"/>
      <c r="AD473" s="116"/>
      <c r="AL473" s="655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5"/>
      <c r="BZ473" s="656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5"/>
      <c r="DJ473" s="116"/>
    </row>
    <row r="474" spans="2:114" ht="15.75" customHeight="1" x14ac:dyDescent="0.25">
      <c r="B474" s="116"/>
      <c r="I474" s="655"/>
      <c r="K474" s="116"/>
      <c r="X474" s="1"/>
      <c r="Y474" s="1"/>
      <c r="Z474" s="1"/>
      <c r="AA474" s="1"/>
      <c r="AB474" s="655"/>
      <c r="AC474" s="1"/>
      <c r="AD474" s="116"/>
      <c r="AL474" s="655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5"/>
      <c r="BZ474" s="656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5"/>
      <c r="DJ474" s="116"/>
    </row>
    <row r="475" spans="2:114" ht="15.75" customHeight="1" x14ac:dyDescent="0.25">
      <c r="B475" s="116"/>
      <c r="I475" s="655"/>
      <c r="K475" s="116"/>
      <c r="X475" s="1"/>
      <c r="Y475" s="1"/>
      <c r="Z475" s="1"/>
      <c r="AA475" s="1"/>
      <c r="AB475" s="655"/>
      <c r="AC475" s="1"/>
      <c r="AD475" s="116"/>
      <c r="AL475" s="655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5"/>
      <c r="BZ475" s="656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5"/>
      <c r="DJ475" s="116"/>
    </row>
    <row r="476" spans="2:114" ht="15.75" customHeight="1" x14ac:dyDescent="0.25">
      <c r="B476" s="116"/>
      <c r="I476" s="655"/>
      <c r="K476" s="116"/>
      <c r="X476" s="1"/>
      <c r="Y476" s="1"/>
      <c r="Z476" s="1"/>
      <c r="AA476" s="1"/>
      <c r="AB476" s="655"/>
      <c r="AC476" s="1"/>
      <c r="AD476" s="116"/>
      <c r="AL476" s="655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5"/>
      <c r="BZ476" s="656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5"/>
      <c r="DJ476" s="116"/>
    </row>
    <row r="477" spans="2:114" ht="15.75" customHeight="1" x14ac:dyDescent="0.25">
      <c r="B477" s="116"/>
      <c r="I477" s="655"/>
      <c r="K477" s="116"/>
      <c r="X477" s="1"/>
      <c r="Y477" s="1"/>
      <c r="Z477" s="1"/>
      <c r="AA477" s="1"/>
      <c r="AB477" s="655"/>
      <c r="AC477" s="1"/>
      <c r="AD477" s="116"/>
      <c r="AL477" s="655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5"/>
      <c r="BZ477" s="656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5"/>
      <c r="DJ477" s="116"/>
    </row>
    <row r="478" spans="2:114" ht="15.75" customHeight="1" x14ac:dyDescent="0.25">
      <c r="B478" s="116"/>
      <c r="I478" s="655"/>
      <c r="K478" s="116"/>
      <c r="X478" s="1"/>
      <c r="Y478" s="1"/>
      <c r="Z478" s="1"/>
      <c r="AA478" s="1"/>
      <c r="AB478" s="655"/>
      <c r="AC478" s="1"/>
      <c r="AD478" s="116"/>
      <c r="AL478" s="655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5"/>
      <c r="BZ478" s="656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5"/>
      <c r="DJ478" s="116"/>
    </row>
    <row r="479" spans="2:114" ht="15.75" customHeight="1" x14ac:dyDescent="0.25">
      <c r="B479" s="116"/>
      <c r="I479" s="655"/>
      <c r="K479" s="116"/>
      <c r="X479" s="1"/>
      <c r="Y479" s="1"/>
      <c r="Z479" s="1"/>
      <c r="AA479" s="1"/>
      <c r="AB479" s="655"/>
      <c r="AC479" s="1"/>
      <c r="AD479" s="116"/>
      <c r="AL479" s="655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5"/>
      <c r="BZ479" s="656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5"/>
      <c r="DJ479" s="116"/>
    </row>
    <row r="480" spans="2:114" ht="15.75" customHeight="1" x14ac:dyDescent="0.25">
      <c r="B480" s="116"/>
      <c r="I480" s="655"/>
      <c r="K480" s="116"/>
      <c r="X480" s="1"/>
      <c r="Y480" s="1"/>
      <c r="Z480" s="1"/>
      <c r="AA480" s="1"/>
      <c r="AB480" s="655"/>
      <c r="AC480" s="1"/>
      <c r="AD480" s="116"/>
      <c r="AL480" s="655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5"/>
      <c r="BZ480" s="656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5"/>
      <c r="DJ480" s="116"/>
    </row>
    <row r="481" spans="2:114" ht="15.75" customHeight="1" x14ac:dyDescent="0.25">
      <c r="B481" s="116"/>
      <c r="I481" s="655"/>
      <c r="K481" s="116"/>
      <c r="X481" s="1"/>
      <c r="Y481" s="1"/>
      <c r="Z481" s="1"/>
      <c r="AA481" s="1"/>
      <c r="AB481" s="655"/>
      <c r="AC481" s="1"/>
      <c r="AD481" s="116"/>
      <c r="AL481" s="655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5"/>
      <c r="BZ481" s="656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5"/>
      <c r="DJ481" s="116"/>
    </row>
    <row r="482" spans="2:114" ht="15.75" customHeight="1" x14ac:dyDescent="0.25">
      <c r="B482" s="116"/>
      <c r="I482" s="655"/>
      <c r="K482" s="116"/>
      <c r="X482" s="1"/>
      <c r="Y482" s="1"/>
      <c r="Z482" s="1"/>
      <c r="AA482" s="1"/>
      <c r="AB482" s="655"/>
      <c r="AC482" s="1"/>
      <c r="AD482" s="116"/>
      <c r="AL482" s="655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5"/>
      <c r="BZ482" s="656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5"/>
      <c r="DJ482" s="116"/>
    </row>
    <row r="483" spans="2:114" ht="15.75" customHeight="1" x14ac:dyDescent="0.25">
      <c r="B483" s="116"/>
      <c r="I483" s="655"/>
      <c r="K483" s="116"/>
      <c r="X483" s="1"/>
      <c r="Y483" s="1"/>
      <c r="Z483" s="1"/>
      <c r="AA483" s="1"/>
      <c r="AB483" s="655"/>
      <c r="AC483" s="1"/>
      <c r="AD483" s="116"/>
      <c r="AL483" s="655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5"/>
      <c r="BZ483" s="656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5"/>
      <c r="DJ483" s="116"/>
    </row>
    <row r="484" spans="2:114" ht="15.75" customHeight="1" x14ac:dyDescent="0.25">
      <c r="B484" s="116"/>
      <c r="I484" s="655"/>
      <c r="K484" s="116"/>
      <c r="X484" s="1"/>
      <c r="Y484" s="1"/>
      <c r="Z484" s="1"/>
      <c r="AA484" s="1"/>
      <c r="AB484" s="655"/>
      <c r="AC484" s="1"/>
      <c r="AD484" s="116"/>
      <c r="AL484" s="655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5"/>
      <c r="BZ484" s="656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5"/>
      <c r="DJ484" s="116"/>
    </row>
    <row r="485" spans="2:114" ht="15.75" customHeight="1" x14ac:dyDescent="0.25">
      <c r="B485" s="116"/>
      <c r="I485" s="655"/>
      <c r="K485" s="116"/>
      <c r="X485" s="1"/>
      <c r="Y485" s="1"/>
      <c r="Z485" s="1"/>
      <c r="AA485" s="1"/>
      <c r="AB485" s="655"/>
      <c r="AC485" s="1"/>
      <c r="AD485" s="116"/>
      <c r="AL485" s="655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5"/>
      <c r="BZ485" s="656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5"/>
      <c r="DJ485" s="116"/>
    </row>
    <row r="486" spans="2:114" ht="15.75" customHeight="1" x14ac:dyDescent="0.25">
      <c r="B486" s="116"/>
      <c r="I486" s="655"/>
      <c r="K486" s="116"/>
      <c r="X486" s="1"/>
      <c r="Y486" s="1"/>
      <c r="Z486" s="1"/>
      <c r="AA486" s="1"/>
      <c r="AB486" s="655"/>
      <c r="AC486" s="1"/>
      <c r="AD486" s="116"/>
      <c r="AL486" s="655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5"/>
      <c r="BZ486" s="656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5"/>
      <c r="DJ486" s="116"/>
    </row>
    <row r="487" spans="2:114" ht="15.75" customHeight="1" x14ac:dyDescent="0.25">
      <c r="B487" s="116"/>
      <c r="I487" s="655"/>
      <c r="K487" s="116"/>
      <c r="X487" s="1"/>
      <c r="Y487" s="1"/>
      <c r="Z487" s="1"/>
      <c r="AA487" s="1"/>
      <c r="AB487" s="655"/>
      <c r="AC487" s="1"/>
      <c r="AD487" s="116"/>
      <c r="AL487" s="655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5"/>
      <c r="BZ487" s="656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5"/>
      <c r="DJ487" s="116"/>
    </row>
    <row r="488" spans="2:114" ht="15.75" customHeight="1" x14ac:dyDescent="0.25">
      <c r="B488" s="116"/>
      <c r="I488" s="655"/>
      <c r="K488" s="116"/>
      <c r="X488" s="1"/>
      <c r="Y488" s="1"/>
      <c r="Z488" s="1"/>
      <c r="AA488" s="1"/>
      <c r="AB488" s="655"/>
      <c r="AC488" s="1"/>
      <c r="AD488" s="116"/>
      <c r="AL488" s="655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5"/>
      <c r="BZ488" s="656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5"/>
      <c r="DJ488" s="116"/>
    </row>
    <row r="489" spans="2:114" ht="15.75" customHeight="1" x14ac:dyDescent="0.25">
      <c r="B489" s="116"/>
      <c r="I489" s="655"/>
      <c r="K489" s="116"/>
      <c r="X489" s="1"/>
      <c r="Y489" s="1"/>
      <c r="Z489" s="1"/>
      <c r="AA489" s="1"/>
      <c r="AB489" s="655"/>
      <c r="AC489" s="1"/>
      <c r="AD489" s="116"/>
      <c r="AL489" s="655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5"/>
      <c r="BZ489" s="656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5"/>
      <c r="DJ489" s="116"/>
    </row>
    <row r="490" spans="2:114" ht="15.75" customHeight="1" x14ac:dyDescent="0.25">
      <c r="B490" s="116"/>
      <c r="I490" s="655"/>
      <c r="K490" s="116"/>
      <c r="X490" s="1"/>
      <c r="Y490" s="1"/>
      <c r="Z490" s="1"/>
      <c r="AA490" s="1"/>
      <c r="AB490" s="655"/>
      <c r="AC490" s="1"/>
      <c r="AD490" s="116"/>
      <c r="AL490" s="655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5"/>
      <c r="BZ490" s="656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5"/>
      <c r="DJ490" s="116"/>
    </row>
    <row r="491" spans="2:114" ht="15.75" customHeight="1" x14ac:dyDescent="0.25">
      <c r="B491" s="116"/>
      <c r="I491" s="655"/>
      <c r="K491" s="116"/>
      <c r="X491" s="1"/>
      <c r="Y491" s="1"/>
      <c r="Z491" s="1"/>
      <c r="AA491" s="1"/>
      <c r="AB491" s="655"/>
      <c r="AC491" s="1"/>
      <c r="AD491" s="116"/>
      <c r="AL491" s="655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5"/>
      <c r="BZ491" s="656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5"/>
      <c r="DJ491" s="116"/>
    </row>
    <row r="492" spans="2:114" ht="15.75" customHeight="1" x14ac:dyDescent="0.25">
      <c r="B492" s="116"/>
      <c r="I492" s="655"/>
      <c r="K492" s="116"/>
      <c r="X492" s="1"/>
      <c r="Y492" s="1"/>
      <c r="Z492" s="1"/>
      <c r="AA492" s="1"/>
      <c r="AB492" s="655"/>
      <c r="AC492" s="1"/>
      <c r="AD492" s="116"/>
      <c r="AL492" s="655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5"/>
      <c r="BZ492" s="656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5"/>
      <c r="DJ492" s="116"/>
    </row>
    <row r="493" spans="2:114" ht="15.75" customHeight="1" x14ac:dyDescent="0.25">
      <c r="B493" s="116"/>
      <c r="I493" s="655"/>
      <c r="K493" s="116"/>
      <c r="X493" s="1"/>
      <c r="Y493" s="1"/>
      <c r="Z493" s="1"/>
      <c r="AA493" s="1"/>
      <c r="AB493" s="655"/>
      <c r="AC493" s="1"/>
      <c r="AD493" s="116"/>
      <c r="AL493" s="655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5"/>
      <c r="BZ493" s="656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5"/>
      <c r="DJ493" s="116"/>
    </row>
    <row r="494" spans="2:114" ht="15.75" customHeight="1" x14ac:dyDescent="0.25">
      <c r="B494" s="116"/>
      <c r="I494" s="655"/>
      <c r="K494" s="116"/>
      <c r="X494" s="1"/>
      <c r="Y494" s="1"/>
      <c r="Z494" s="1"/>
      <c r="AA494" s="1"/>
      <c r="AB494" s="655"/>
      <c r="AC494" s="1"/>
      <c r="AD494" s="116"/>
      <c r="AL494" s="655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5"/>
      <c r="BZ494" s="656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5"/>
      <c r="DJ494" s="116"/>
    </row>
    <row r="495" spans="2:114" ht="15.75" customHeight="1" x14ac:dyDescent="0.25">
      <c r="B495" s="116"/>
      <c r="I495" s="655"/>
      <c r="K495" s="116"/>
      <c r="X495" s="1"/>
      <c r="Y495" s="1"/>
      <c r="Z495" s="1"/>
      <c r="AA495" s="1"/>
      <c r="AB495" s="655"/>
      <c r="AC495" s="1"/>
      <c r="AD495" s="116"/>
      <c r="AL495" s="655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5"/>
      <c r="BZ495" s="656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5"/>
      <c r="DJ495" s="116"/>
    </row>
    <row r="496" spans="2:114" ht="15.75" customHeight="1" x14ac:dyDescent="0.25">
      <c r="B496" s="116"/>
      <c r="I496" s="655"/>
      <c r="K496" s="116"/>
      <c r="X496" s="1"/>
      <c r="Y496" s="1"/>
      <c r="Z496" s="1"/>
      <c r="AA496" s="1"/>
      <c r="AB496" s="655"/>
      <c r="AC496" s="1"/>
      <c r="AD496" s="116"/>
      <c r="AL496" s="655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5"/>
      <c r="BZ496" s="656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5"/>
      <c r="DJ496" s="116"/>
    </row>
    <row r="497" spans="2:114" ht="15.75" customHeight="1" x14ac:dyDescent="0.25">
      <c r="B497" s="116"/>
      <c r="I497" s="655"/>
      <c r="K497" s="116"/>
      <c r="X497" s="1"/>
      <c r="Y497" s="1"/>
      <c r="Z497" s="1"/>
      <c r="AA497" s="1"/>
      <c r="AB497" s="655"/>
      <c r="AC497" s="1"/>
      <c r="AD497" s="116"/>
      <c r="AL497" s="655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5"/>
      <c r="BZ497" s="656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5"/>
      <c r="DJ497" s="116"/>
    </row>
    <row r="498" spans="2:114" ht="15.75" customHeight="1" x14ac:dyDescent="0.25">
      <c r="B498" s="116"/>
      <c r="I498" s="655"/>
      <c r="K498" s="116"/>
      <c r="X498" s="1"/>
      <c r="Y498" s="1"/>
      <c r="Z498" s="1"/>
      <c r="AA498" s="1"/>
      <c r="AB498" s="655"/>
      <c r="AC498" s="1"/>
      <c r="AD498" s="116"/>
      <c r="AL498" s="655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5"/>
      <c r="BZ498" s="656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5"/>
      <c r="DJ498" s="116"/>
    </row>
    <row r="499" spans="2:114" ht="15.75" customHeight="1" x14ac:dyDescent="0.25">
      <c r="B499" s="116"/>
      <c r="I499" s="655"/>
      <c r="K499" s="116"/>
      <c r="X499" s="1"/>
      <c r="Y499" s="1"/>
      <c r="Z499" s="1"/>
      <c r="AA499" s="1"/>
      <c r="AB499" s="655"/>
      <c r="AC499" s="1"/>
      <c r="AD499" s="116"/>
      <c r="AL499" s="655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5"/>
      <c r="BZ499" s="656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5"/>
      <c r="DJ499" s="116"/>
    </row>
    <row r="500" spans="2:114" ht="15.75" customHeight="1" x14ac:dyDescent="0.25">
      <c r="B500" s="116"/>
      <c r="I500" s="655"/>
      <c r="K500" s="116"/>
      <c r="X500" s="1"/>
      <c r="Y500" s="1"/>
      <c r="Z500" s="1"/>
      <c r="AA500" s="1"/>
      <c r="AB500" s="655"/>
      <c r="AC500" s="1"/>
      <c r="AD500" s="116"/>
      <c r="AL500" s="655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5"/>
      <c r="BZ500" s="656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5"/>
      <c r="DJ500" s="116"/>
    </row>
    <row r="501" spans="2:114" ht="15.75" customHeight="1" x14ac:dyDescent="0.25">
      <c r="B501" s="116"/>
      <c r="I501" s="655"/>
      <c r="K501" s="116"/>
      <c r="X501" s="1"/>
      <c r="Y501" s="1"/>
      <c r="Z501" s="1"/>
      <c r="AA501" s="1"/>
      <c r="AB501" s="655"/>
      <c r="AC501" s="1"/>
      <c r="AD501" s="116"/>
      <c r="AL501" s="655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5"/>
      <c r="BZ501" s="656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5"/>
      <c r="DJ501" s="116"/>
    </row>
    <row r="502" spans="2:114" ht="15.75" customHeight="1" x14ac:dyDescent="0.25">
      <c r="B502" s="116"/>
      <c r="I502" s="655"/>
      <c r="K502" s="116"/>
      <c r="X502" s="1"/>
      <c r="Y502" s="1"/>
      <c r="Z502" s="1"/>
      <c r="AA502" s="1"/>
      <c r="AB502" s="655"/>
      <c r="AC502" s="1"/>
      <c r="AD502" s="116"/>
      <c r="AL502" s="655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5"/>
      <c r="BZ502" s="656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5"/>
      <c r="DJ502" s="116"/>
    </row>
    <row r="503" spans="2:114" ht="15.75" customHeight="1" x14ac:dyDescent="0.25">
      <c r="B503" s="116"/>
      <c r="I503" s="655"/>
      <c r="K503" s="116"/>
      <c r="X503" s="1"/>
      <c r="Y503" s="1"/>
      <c r="Z503" s="1"/>
      <c r="AA503" s="1"/>
      <c r="AB503" s="655"/>
      <c r="AC503" s="1"/>
      <c r="AD503" s="116"/>
      <c r="AL503" s="655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5"/>
      <c r="BZ503" s="656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5"/>
      <c r="DJ503" s="116"/>
    </row>
    <row r="504" spans="2:114" ht="15.75" customHeight="1" x14ac:dyDescent="0.25">
      <c r="B504" s="116"/>
      <c r="I504" s="655"/>
      <c r="K504" s="116"/>
      <c r="X504" s="1"/>
      <c r="Y504" s="1"/>
      <c r="Z504" s="1"/>
      <c r="AA504" s="1"/>
      <c r="AB504" s="655"/>
      <c r="AC504" s="1"/>
      <c r="AD504" s="116"/>
      <c r="AL504" s="655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5"/>
      <c r="BZ504" s="656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5"/>
      <c r="DJ504" s="116"/>
    </row>
    <row r="505" spans="2:114" ht="15.75" customHeight="1" x14ac:dyDescent="0.25">
      <c r="B505" s="116"/>
      <c r="I505" s="655"/>
      <c r="K505" s="116"/>
      <c r="X505" s="1"/>
      <c r="Y505" s="1"/>
      <c r="Z505" s="1"/>
      <c r="AA505" s="1"/>
      <c r="AB505" s="655"/>
      <c r="AC505" s="1"/>
      <c r="AD505" s="116"/>
      <c r="AL505" s="655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5"/>
      <c r="BZ505" s="656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5"/>
      <c r="DJ505" s="116"/>
    </row>
    <row r="506" spans="2:114" ht="15.75" customHeight="1" x14ac:dyDescent="0.25">
      <c r="B506" s="116"/>
      <c r="I506" s="655"/>
      <c r="K506" s="116"/>
      <c r="X506" s="1"/>
      <c r="Y506" s="1"/>
      <c r="Z506" s="1"/>
      <c r="AA506" s="1"/>
      <c r="AB506" s="655"/>
      <c r="AC506" s="1"/>
      <c r="AD506" s="116"/>
      <c r="AL506" s="655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5"/>
      <c r="BZ506" s="656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5"/>
      <c r="DJ506" s="116"/>
    </row>
    <row r="507" spans="2:114" ht="15.75" customHeight="1" x14ac:dyDescent="0.25">
      <c r="B507" s="116"/>
      <c r="I507" s="655"/>
      <c r="K507" s="116"/>
      <c r="X507" s="1"/>
      <c r="Y507" s="1"/>
      <c r="Z507" s="1"/>
      <c r="AA507" s="1"/>
      <c r="AB507" s="655"/>
      <c r="AC507" s="1"/>
      <c r="AD507" s="116"/>
      <c r="AL507" s="655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5"/>
      <c r="BZ507" s="656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5"/>
      <c r="DJ507" s="116"/>
    </row>
    <row r="508" spans="2:114" ht="15.75" customHeight="1" x14ac:dyDescent="0.25">
      <c r="B508" s="116"/>
      <c r="I508" s="655"/>
      <c r="K508" s="116"/>
      <c r="X508" s="1"/>
      <c r="Y508" s="1"/>
      <c r="Z508" s="1"/>
      <c r="AA508" s="1"/>
      <c r="AB508" s="655"/>
      <c r="AC508" s="1"/>
      <c r="AD508" s="116"/>
      <c r="AL508" s="655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5"/>
      <c r="BZ508" s="656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5"/>
      <c r="DJ508" s="116"/>
    </row>
    <row r="509" spans="2:114" ht="15.75" customHeight="1" x14ac:dyDescent="0.25">
      <c r="B509" s="116"/>
      <c r="I509" s="655"/>
      <c r="K509" s="116"/>
      <c r="X509" s="1"/>
      <c r="Y509" s="1"/>
      <c r="Z509" s="1"/>
      <c r="AA509" s="1"/>
      <c r="AB509" s="655"/>
      <c r="AC509" s="1"/>
      <c r="AD509" s="116"/>
      <c r="AL509" s="655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5"/>
      <c r="BZ509" s="656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5"/>
      <c r="DJ509" s="116"/>
    </row>
    <row r="510" spans="2:114" ht="15.75" customHeight="1" x14ac:dyDescent="0.25">
      <c r="B510" s="116"/>
      <c r="I510" s="655"/>
      <c r="K510" s="116"/>
      <c r="X510" s="1"/>
      <c r="Y510" s="1"/>
      <c r="Z510" s="1"/>
      <c r="AA510" s="1"/>
      <c r="AB510" s="655"/>
      <c r="AC510" s="1"/>
      <c r="AD510" s="116"/>
      <c r="AL510" s="655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5"/>
      <c r="BZ510" s="656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5"/>
      <c r="DJ510" s="116"/>
    </row>
    <row r="511" spans="2:114" ht="15.75" customHeight="1" x14ac:dyDescent="0.25">
      <c r="B511" s="116"/>
      <c r="I511" s="655"/>
      <c r="K511" s="116"/>
      <c r="X511" s="1"/>
      <c r="Y511" s="1"/>
      <c r="Z511" s="1"/>
      <c r="AA511" s="1"/>
      <c r="AB511" s="655"/>
      <c r="AC511" s="1"/>
      <c r="AD511" s="116"/>
      <c r="AL511" s="655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5"/>
      <c r="BZ511" s="656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5"/>
      <c r="DJ511" s="116"/>
    </row>
    <row r="512" spans="2:114" ht="15.75" customHeight="1" x14ac:dyDescent="0.25">
      <c r="B512" s="116"/>
      <c r="I512" s="655"/>
      <c r="K512" s="116"/>
      <c r="X512" s="1"/>
      <c r="Y512" s="1"/>
      <c r="Z512" s="1"/>
      <c r="AA512" s="1"/>
      <c r="AB512" s="655"/>
      <c r="AC512" s="1"/>
      <c r="AD512" s="116"/>
      <c r="AL512" s="655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5"/>
      <c r="BZ512" s="656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5"/>
      <c r="DJ512" s="116"/>
    </row>
    <row r="513" spans="2:114" ht="15.75" customHeight="1" x14ac:dyDescent="0.25">
      <c r="B513" s="116"/>
      <c r="I513" s="655"/>
      <c r="K513" s="116"/>
      <c r="X513" s="1"/>
      <c r="Y513" s="1"/>
      <c r="Z513" s="1"/>
      <c r="AA513" s="1"/>
      <c r="AB513" s="655"/>
      <c r="AC513" s="1"/>
      <c r="AD513" s="116"/>
      <c r="AL513" s="655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5"/>
      <c r="BZ513" s="656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5"/>
      <c r="DJ513" s="116"/>
    </row>
    <row r="514" spans="2:114" ht="15.75" customHeight="1" x14ac:dyDescent="0.25">
      <c r="B514" s="116"/>
      <c r="I514" s="655"/>
      <c r="K514" s="116"/>
      <c r="X514" s="1"/>
      <c r="Y514" s="1"/>
      <c r="Z514" s="1"/>
      <c r="AA514" s="1"/>
      <c r="AB514" s="655"/>
      <c r="AC514" s="1"/>
      <c r="AD514" s="116"/>
      <c r="AL514" s="655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5"/>
      <c r="BZ514" s="656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5"/>
      <c r="DJ514" s="116"/>
    </row>
    <row r="515" spans="2:114" ht="15.75" customHeight="1" x14ac:dyDescent="0.25">
      <c r="B515" s="116"/>
      <c r="I515" s="655"/>
      <c r="K515" s="116"/>
      <c r="X515" s="1"/>
      <c r="Y515" s="1"/>
      <c r="Z515" s="1"/>
      <c r="AA515" s="1"/>
      <c r="AB515" s="655"/>
      <c r="AC515" s="1"/>
      <c r="AD515" s="116"/>
      <c r="AL515" s="655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5"/>
      <c r="BZ515" s="656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5"/>
      <c r="DJ515" s="116"/>
    </row>
    <row r="516" spans="2:114" ht="15.75" customHeight="1" x14ac:dyDescent="0.25">
      <c r="B516" s="116"/>
      <c r="I516" s="655"/>
      <c r="K516" s="116"/>
      <c r="X516" s="1"/>
      <c r="Y516" s="1"/>
      <c r="Z516" s="1"/>
      <c r="AA516" s="1"/>
      <c r="AB516" s="655"/>
      <c r="AC516" s="1"/>
      <c r="AD516" s="116"/>
      <c r="AL516" s="655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5"/>
      <c r="BZ516" s="656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5"/>
      <c r="DJ516" s="116"/>
    </row>
    <row r="517" spans="2:114" ht="15.75" customHeight="1" x14ac:dyDescent="0.25">
      <c r="B517" s="116"/>
      <c r="I517" s="655"/>
      <c r="K517" s="116"/>
      <c r="X517" s="1"/>
      <c r="Y517" s="1"/>
      <c r="Z517" s="1"/>
      <c r="AA517" s="1"/>
      <c r="AB517" s="655"/>
      <c r="AC517" s="1"/>
      <c r="AD517" s="116"/>
      <c r="AL517" s="655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5"/>
      <c r="BZ517" s="656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5"/>
      <c r="DJ517" s="116"/>
    </row>
    <row r="518" spans="2:114" ht="15.75" customHeight="1" x14ac:dyDescent="0.25">
      <c r="B518" s="116"/>
      <c r="I518" s="655"/>
      <c r="K518" s="116"/>
      <c r="X518" s="1"/>
      <c r="Y518" s="1"/>
      <c r="Z518" s="1"/>
      <c r="AA518" s="1"/>
      <c r="AB518" s="655"/>
      <c r="AC518" s="1"/>
      <c r="AD518" s="116"/>
      <c r="AL518" s="655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5"/>
      <c r="BZ518" s="656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5"/>
      <c r="DJ518" s="116"/>
    </row>
    <row r="519" spans="2:114" ht="15.75" customHeight="1" x14ac:dyDescent="0.25">
      <c r="B519" s="116"/>
      <c r="I519" s="655"/>
      <c r="K519" s="116"/>
      <c r="X519" s="1"/>
      <c r="Y519" s="1"/>
      <c r="Z519" s="1"/>
      <c r="AA519" s="1"/>
      <c r="AB519" s="655"/>
      <c r="AC519" s="1"/>
      <c r="AD519" s="116"/>
      <c r="AL519" s="655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5"/>
      <c r="BZ519" s="656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5"/>
      <c r="DJ519" s="116"/>
    </row>
    <row r="520" spans="2:114" ht="15.75" customHeight="1" x14ac:dyDescent="0.25">
      <c r="B520" s="116"/>
      <c r="I520" s="655"/>
      <c r="K520" s="116"/>
      <c r="X520" s="1"/>
      <c r="Y520" s="1"/>
      <c r="Z520" s="1"/>
      <c r="AA520" s="1"/>
      <c r="AB520" s="655"/>
      <c r="AC520" s="1"/>
      <c r="AD520" s="116"/>
      <c r="AL520" s="655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5"/>
      <c r="BZ520" s="656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5"/>
      <c r="DJ520" s="116"/>
    </row>
    <row r="521" spans="2:114" ht="15.75" customHeight="1" x14ac:dyDescent="0.25">
      <c r="B521" s="116"/>
      <c r="I521" s="655"/>
      <c r="K521" s="116"/>
      <c r="X521" s="1"/>
      <c r="Y521" s="1"/>
      <c r="Z521" s="1"/>
      <c r="AA521" s="1"/>
      <c r="AB521" s="655"/>
      <c r="AC521" s="1"/>
      <c r="AD521" s="116"/>
      <c r="AL521" s="655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5"/>
      <c r="BZ521" s="656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5"/>
      <c r="DJ521" s="116"/>
    </row>
    <row r="522" spans="2:114" ht="15.75" customHeight="1" x14ac:dyDescent="0.25">
      <c r="B522" s="116"/>
      <c r="I522" s="655"/>
      <c r="K522" s="116"/>
      <c r="X522" s="1"/>
      <c r="Y522" s="1"/>
      <c r="Z522" s="1"/>
      <c r="AA522" s="1"/>
      <c r="AB522" s="655"/>
      <c r="AC522" s="1"/>
      <c r="AD522" s="116"/>
      <c r="AL522" s="655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5"/>
      <c r="BZ522" s="656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5"/>
      <c r="DJ522" s="116"/>
    </row>
    <row r="523" spans="2:114" ht="15.75" customHeight="1" x14ac:dyDescent="0.25">
      <c r="B523" s="116"/>
      <c r="I523" s="655"/>
      <c r="K523" s="116"/>
      <c r="X523" s="1"/>
      <c r="Y523" s="1"/>
      <c r="Z523" s="1"/>
      <c r="AA523" s="1"/>
      <c r="AB523" s="655"/>
      <c r="AC523" s="1"/>
      <c r="AD523" s="116"/>
      <c r="AL523" s="655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5"/>
      <c r="BZ523" s="656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5"/>
      <c r="DJ523" s="116"/>
    </row>
    <row r="524" spans="2:114" ht="15.75" customHeight="1" x14ac:dyDescent="0.25">
      <c r="B524" s="116"/>
      <c r="I524" s="655"/>
      <c r="K524" s="116"/>
      <c r="X524" s="1"/>
      <c r="Y524" s="1"/>
      <c r="Z524" s="1"/>
      <c r="AA524" s="1"/>
      <c r="AB524" s="655"/>
      <c r="AC524" s="1"/>
      <c r="AD524" s="116"/>
      <c r="AL524" s="655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5"/>
      <c r="BZ524" s="656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5"/>
      <c r="DJ524" s="116"/>
    </row>
    <row r="525" spans="2:114" ht="15.75" customHeight="1" x14ac:dyDescent="0.25">
      <c r="B525" s="116"/>
      <c r="I525" s="655"/>
      <c r="K525" s="116"/>
      <c r="X525" s="1"/>
      <c r="Y525" s="1"/>
      <c r="Z525" s="1"/>
      <c r="AA525" s="1"/>
      <c r="AB525" s="655"/>
      <c r="AC525" s="1"/>
      <c r="AD525" s="116"/>
      <c r="AL525" s="655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5"/>
      <c r="BZ525" s="656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5"/>
      <c r="DJ525" s="116"/>
    </row>
    <row r="526" spans="2:114" ht="15.75" customHeight="1" x14ac:dyDescent="0.25">
      <c r="B526" s="116"/>
      <c r="I526" s="655"/>
      <c r="K526" s="116"/>
      <c r="X526" s="1"/>
      <c r="Y526" s="1"/>
      <c r="Z526" s="1"/>
      <c r="AA526" s="1"/>
      <c r="AB526" s="655"/>
      <c r="AC526" s="1"/>
      <c r="AD526" s="116"/>
      <c r="AL526" s="655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5"/>
      <c r="BZ526" s="656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5"/>
      <c r="DJ526" s="116"/>
    </row>
    <row r="527" spans="2:114" ht="15.75" customHeight="1" x14ac:dyDescent="0.25">
      <c r="B527" s="116"/>
      <c r="I527" s="655"/>
      <c r="K527" s="116"/>
      <c r="X527" s="1"/>
      <c r="Y527" s="1"/>
      <c r="Z527" s="1"/>
      <c r="AA527" s="1"/>
      <c r="AB527" s="655"/>
      <c r="AC527" s="1"/>
      <c r="AD527" s="116"/>
      <c r="AL527" s="655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5"/>
      <c r="BZ527" s="656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5"/>
      <c r="DJ527" s="116"/>
    </row>
    <row r="528" spans="2:114" ht="15.75" customHeight="1" x14ac:dyDescent="0.25">
      <c r="B528" s="116"/>
      <c r="I528" s="655"/>
      <c r="K528" s="116"/>
      <c r="X528" s="1"/>
      <c r="Y528" s="1"/>
      <c r="Z528" s="1"/>
      <c r="AA528" s="1"/>
      <c r="AB528" s="655"/>
      <c r="AC528" s="1"/>
      <c r="AD528" s="116"/>
      <c r="AL528" s="655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5"/>
      <c r="BZ528" s="656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5"/>
      <c r="DJ528" s="116"/>
    </row>
    <row r="529" spans="2:114" ht="15.75" customHeight="1" x14ac:dyDescent="0.25">
      <c r="B529" s="116"/>
      <c r="I529" s="655"/>
      <c r="K529" s="116"/>
      <c r="X529" s="1"/>
      <c r="Y529" s="1"/>
      <c r="Z529" s="1"/>
      <c r="AA529" s="1"/>
      <c r="AB529" s="655"/>
      <c r="AC529" s="1"/>
      <c r="AD529" s="116"/>
      <c r="AL529" s="655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5"/>
      <c r="BZ529" s="656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5"/>
      <c r="DJ529" s="116"/>
    </row>
    <row r="530" spans="2:114" ht="15.75" customHeight="1" x14ac:dyDescent="0.25">
      <c r="B530" s="116"/>
      <c r="I530" s="655"/>
      <c r="K530" s="116"/>
      <c r="X530" s="1"/>
      <c r="Y530" s="1"/>
      <c r="Z530" s="1"/>
      <c r="AA530" s="1"/>
      <c r="AB530" s="655"/>
      <c r="AC530" s="1"/>
      <c r="AD530" s="116"/>
      <c r="AL530" s="655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5"/>
      <c r="BZ530" s="656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5"/>
      <c r="DJ530" s="116"/>
    </row>
    <row r="531" spans="2:114" ht="15.75" customHeight="1" x14ac:dyDescent="0.25">
      <c r="B531" s="116"/>
      <c r="I531" s="655"/>
      <c r="K531" s="116"/>
      <c r="X531" s="1"/>
      <c r="Y531" s="1"/>
      <c r="Z531" s="1"/>
      <c r="AA531" s="1"/>
      <c r="AB531" s="655"/>
      <c r="AC531" s="1"/>
      <c r="AD531" s="116"/>
      <c r="AL531" s="655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5"/>
      <c r="BZ531" s="656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5"/>
      <c r="DJ531" s="116"/>
    </row>
    <row r="532" spans="2:114" ht="15.75" customHeight="1" x14ac:dyDescent="0.25">
      <c r="B532" s="116"/>
      <c r="I532" s="655"/>
      <c r="K532" s="116"/>
      <c r="X532" s="1"/>
      <c r="Y532" s="1"/>
      <c r="Z532" s="1"/>
      <c r="AA532" s="1"/>
      <c r="AB532" s="655"/>
      <c r="AC532" s="1"/>
      <c r="AD532" s="116"/>
      <c r="AL532" s="655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5"/>
      <c r="BZ532" s="656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5"/>
      <c r="DJ532" s="116"/>
    </row>
    <row r="533" spans="2:114" ht="15.75" customHeight="1" x14ac:dyDescent="0.25">
      <c r="B533" s="116"/>
      <c r="I533" s="655"/>
      <c r="K533" s="116"/>
      <c r="X533" s="1"/>
      <c r="Y533" s="1"/>
      <c r="Z533" s="1"/>
      <c r="AA533" s="1"/>
      <c r="AB533" s="655"/>
      <c r="AC533" s="1"/>
      <c r="AD533" s="116"/>
      <c r="AL533" s="655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5"/>
      <c r="BZ533" s="656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5"/>
      <c r="DJ533" s="116"/>
    </row>
    <row r="534" spans="2:114" ht="15.75" customHeight="1" x14ac:dyDescent="0.25">
      <c r="B534" s="116"/>
      <c r="I534" s="655"/>
      <c r="K534" s="116"/>
      <c r="X534" s="1"/>
      <c r="Y534" s="1"/>
      <c r="Z534" s="1"/>
      <c r="AA534" s="1"/>
      <c r="AB534" s="655"/>
      <c r="AC534" s="1"/>
      <c r="AD534" s="116"/>
      <c r="AL534" s="655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5"/>
      <c r="BZ534" s="656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5"/>
      <c r="DJ534" s="116"/>
    </row>
    <row r="535" spans="2:114" ht="15.75" customHeight="1" x14ac:dyDescent="0.25">
      <c r="B535" s="116"/>
      <c r="I535" s="655"/>
      <c r="K535" s="116"/>
      <c r="X535" s="1"/>
      <c r="Y535" s="1"/>
      <c r="Z535" s="1"/>
      <c r="AA535" s="1"/>
      <c r="AB535" s="655"/>
      <c r="AC535" s="1"/>
      <c r="AD535" s="116"/>
      <c r="AL535" s="655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5"/>
      <c r="BZ535" s="656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5"/>
      <c r="DJ535" s="116"/>
    </row>
    <row r="536" spans="2:114" ht="15.75" customHeight="1" x14ac:dyDescent="0.25">
      <c r="B536" s="116"/>
      <c r="I536" s="655"/>
      <c r="K536" s="116"/>
      <c r="X536" s="1"/>
      <c r="Y536" s="1"/>
      <c r="Z536" s="1"/>
      <c r="AA536" s="1"/>
      <c r="AB536" s="655"/>
      <c r="AC536" s="1"/>
      <c r="AD536" s="116"/>
      <c r="AL536" s="655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5"/>
      <c r="BZ536" s="656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5"/>
      <c r="DJ536" s="116"/>
    </row>
    <row r="537" spans="2:114" ht="15.75" customHeight="1" x14ac:dyDescent="0.25">
      <c r="B537" s="116"/>
      <c r="I537" s="655"/>
      <c r="K537" s="116"/>
      <c r="X537" s="1"/>
      <c r="Y537" s="1"/>
      <c r="Z537" s="1"/>
      <c r="AA537" s="1"/>
      <c r="AB537" s="655"/>
      <c r="AC537" s="1"/>
      <c r="AD537" s="116"/>
      <c r="AL537" s="655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5"/>
      <c r="BZ537" s="656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5"/>
      <c r="DJ537" s="116"/>
    </row>
    <row r="538" spans="2:114" ht="15.75" customHeight="1" x14ac:dyDescent="0.25">
      <c r="B538" s="116"/>
      <c r="I538" s="655"/>
      <c r="K538" s="116"/>
      <c r="X538" s="1"/>
      <c r="Y538" s="1"/>
      <c r="Z538" s="1"/>
      <c r="AA538" s="1"/>
      <c r="AB538" s="655"/>
      <c r="AC538" s="1"/>
      <c r="AD538" s="116"/>
      <c r="AL538" s="655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5"/>
      <c r="BZ538" s="656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5"/>
      <c r="DJ538" s="116"/>
    </row>
    <row r="539" spans="2:114" ht="15.75" customHeight="1" x14ac:dyDescent="0.25">
      <c r="B539" s="116"/>
      <c r="I539" s="655"/>
      <c r="K539" s="116"/>
      <c r="X539" s="1"/>
      <c r="Y539" s="1"/>
      <c r="Z539" s="1"/>
      <c r="AA539" s="1"/>
      <c r="AB539" s="655"/>
      <c r="AC539" s="1"/>
      <c r="AD539" s="116"/>
      <c r="AL539" s="655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5"/>
      <c r="BZ539" s="656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5"/>
      <c r="DJ539" s="116"/>
    </row>
    <row r="540" spans="2:114" ht="15.75" customHeight="1" x14ac:dyDescent="0.25">
      <c r="B540" s="116"/>
      <c r="I540" s="655"/>
      <c r="K540" s="116"/>
      <c r="X540" s="1"/>
      <c r="Y540" s="1"/>
      <c r="Z540" s="1"/>
      <c r="AA540" s="1"/>
      <c r="AB540" s="655"/>
      <c r="AC540" s="1"/>
      <c r="AD540" s="116"/>
      <c r="AL540" s="655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5"/>
      <c r="BZ540" s="656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5"/>
      <c r="DJ540" s="116"/>
    </row>
    <row r="541" spans="2:114" ht="15.75" customHeight="1" x14ac:dyDescent="0.25">
      <c r="B541" s="116"/>
      <c r="I541" s="655"/>
      <c r="K541" s="116"/>
      <c r="X541" s="1"/>
      <c r="Y541" s="1"/>
      <c r="Z541" s="1"/>
      <c r="AA541" s="1"/>
      <c r="AB541" s="655"/>
      <c r="AC541" s="1"/>
      <c r="AD541" s="116"/>
      <c r="AL541" s="655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5"/>
      <c r="BZ541" s="656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5"/>
      <c r="DJ541" s="116"/>
    </row>
    <row r="542" spans="2:114" ht="15.75" customHeight="1" x14ac:dyDescent="0.25">
      <c r="B542" s="116"/>
      <c r="I542" s="655"/>
      <c r="K542" s="116"/>
      <c r="X542" s="1"/>
      <c r="Y542" s="1"/>
      <c r="Z542" s="1"/>
      <c r="AA542" s="1"/>
      <c r="AB542" s="655"/>
      <c r="AC542" s="1"/>
      <c r="AD542" s="116"/>
      <c r="AL542" s="655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5"/>
      <c r="BZ542" s="656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5"/>
      <c r="DJ542" s="116"/>
    </row>
    <row r="543" spans="2:114" ht="15.75" customHeight="1" x14ac:dyDescent="0.25">
      <c r="B543" s="116"/>
      <c r="I543" s="655"/>
      <c r="K543" s="116"/>
      <c r="X543" s="1"/>
      <c r="Y543" s="1"/>
      <c r="Z543" s="1"/>
      <c r="AA543" s="1"/>
      <c r="AB543" s="655"/>
      <c r="AC543" s="1"/>
      <c r="AD543" s="116"/>
      <c r="AL543" s="655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5"/>
      <c r="BZ543" s="656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5"/>
      <c r="DJ543" s="116"/>
    </row>
    <row r="544" spans="2:114" ht="15.75" customHeight="1" x14ac:dyDescent="0.25">
      <c r="B544" s="116"/>
      <c r="I544" s="655"/>
      <c r="K544" s="116"/>
      <c r="X544" s="1"/>
      <c r="Y544" s="1"/>
      <c r="Z544" s="1"/>
      <c r="AA544" s="1"/>
      <c r="AB544" s="655"/>
      <c r="AC544" s="1"/>
      <c r="AD544" s="116"/>
      <c r="AL544" s="655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5"/>
      <c r="BZ544" s="656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5"/>
      <c r="DJ544" s="116"/>
    </row>
    <row r="545" spans="2:114" ht="15.75" customHeight="1" x14ac:dyDescent="0.25">
      <c r="B545" s="116"/>
      <c r="I545" s="655"/>
      <c r="K545" s="116"/>
      <c r="X545" s="1"/>
      <c r="Y545" s="1"/>
      <c r="Z545" s="1"/>
      <c r="AA545" s="1"/>
      <c r="AB545" s="655"/>
      <c r="AC545" s="1"/>
      <c r="AD545" s="116"/>
      <c r="AL545" s="655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5"/>
      <c r="BZ545" s="656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5"/>
      <c r="DJ545" s="116"/>
    </row>
    <row r="546" spans="2:114" ht="15.75" customHeight="1" x14ac:dyDescent="0.25">
      <c r="B546" s="116"/>
      <c r="I546" s="655"/>
      <c r="K546" s="116"/>
      <c r="X546" s="1"/>
      <c r="Y546" s="1"/>
      <c r="Z546" s="1"/>
      <c r="AA546" s="1"/>
      <c r="AB546" s="655"/>
      <c r="AC546" s="1"/>
      <c r="AD546" s="116"/>
      <c r="AL546" s="655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5"/>
      <c r="BZ546" s="656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5"/>
      <c r="DJ546" s="116"/>
    </row>
    <row r="547" spans="2:114" ht="15.75" customHeight="1" x14ac:dyDescent="0.25">
      <c r="B547" s="116"/>
      <c r="I547" s="655"/>
      <c r="K547" s="116"/>
      <c r="X547" s="1"/>
      <c r="Y547" s="1"/>
      <c r="Z547" s="1"/>
      <c r="AA547" s="1"/>
      <c r="AB547" s="655"/>
      <c r="AC547" s="1"/>
      <c r="AD547" s="116"/>
      <c r="AL547" s="655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5"/>
      <c r="BZ547" s="656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5"/>
      <c r="DJ547" s="116"/>
    </row>
    <row r="548" spans="2:114" ht="15.75" customHeight="1" x14ac:dyDescent="0.25">
      <c r="B548" s="116"/>
      <c r="I548" s="655"/>
      <c r="K548" s="116"/>
      <c r="X548" s="1"/>
      <c r="Y548" s="1"/>
      <c r="Z548" s="1"/>
      <c r="AA548" s="1"/>
      <c r="AB548" s="655"/>
      <c r="AC548" s="1"/>
      <c r="AD548" s="116"/>
      <c r="AL548" s="655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5"/>
      <c r="BZ548" s="656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5"/>
      <c r="DJ548" s="116"/>
    </row>
    <row r="549" spans="2:114" ht="15.75" customHeight="1" x14ac:dyDescent="0.25">
      <c r="B549" s="116"/>
      <c r="I549" s="655"/>
      <c r="K549" s="116"/>
      <c r="X549" s="1"/>
      <c r="Y549" s="1"/>
      <c r="Z549" s="1"/>
      <c r="AA549" s="1"/>
      <c r="AB549" s="655"/>
      <c r="AC549" s="1"/>
      <c r="AD549" s="116"/>
      <c r="AL549" s="655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5"/>
      <c r="BZ549" s="656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5"/>
      <c r="DJ549" s="116"/>
    </row>
    <row r="550" spans="2:114" ht="15.75" customHeight="1" x14ac:dyDescent="0.25">
      <c r="B550" s="116"/>
      <c r="I550" s="655"/>
      <c r="K550" s="116"/>
      <c r="X550" s="1"/>
      <c r="Y550" s="1"/>
      <c r="Z550" s="1"/>
      <c r="AA550" s="1"/>
      <c r="AB550" s="655"/>
      <c r="AC550" s="1"/>
      <c r="AD550" s="116"/>
      <c r="AL550" s="655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5"/>
      <c r="BZ550" s="656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5"/>
      <c r="DJ550" s="116"/>
    </row>
    <row r="551" spans="2:114" ht="15.75" customHeight="1" x14ac:dyDescent="0.25">
      <c r="B551" s="116"/>
      <c r="I551" s="655"/>
      <c r="K551" s="116"/>
      <c r="X551" s="1"/>
      <c r="Y551" s="1"/>
      <c r="Z551" s="1"/>
      <c r="AA551" s="1"/>
      <c r="AB551" s="655"/>
      <c r="AC551" s="1"/>
      <c r="AD551" s="116"/>
      <c r="AL551" s="655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5"/>
      <c r="BZ551" s="656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5"/>
      <c r="DJ551" s="116"/>
    </row>
    <row r="552" spans="2:114" ht="15.75" customHeight="1" x14ac:dyDescent="0.25">
      <c r="B552" s="116"/>
      <c r="I552" s="655"/>
      <c r="K552" s="116"/>
      <c r="X552" s="1"/>
      <c r="Y552" s="1"/>
      <c r="Z552" s="1"/>
      <c r="AA552" s="1"/>
      <c r="AB552" s="655"/>
      <c r="AC552" s="1"/>
      <c r="AD552" s="116"/>
      <c r="AL552" s="655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5"/>
      <c r="BZ552" s="656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5"/>
      <c r="DJ552" s="116"/>
    </row>
    <row r="553" spans="2:114" ht="15.75" customHeight="1" x14ac:dyDescent="0.25">
      <c r="B553" s="116"/>
      <c r="I553" s="655"/>
      <c r="K553" s="116"/>
      <c r="X553" s="1"/>
      <c r="Y553" s="1"/>
      <c r="Z553" s="1"/>
      <c r="AA553" s="1"/>
      <c r="AB553" s="655"/>
      <c r="AC553" s="1"/>
      <c r="AD553" s="116"/>
      <c r="AL553" s="655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5"/>
      <c r="BZ553" s="656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5"/>
      <c r="DJ553" s="116"/>
    </row>
    <row r="554" spans="2:114" ht="15.75" customHeight="1" x14ac:dyDescent="0.25">
      <c r="B554" s="116"/>
      <c r="I554" s="655"/>
      <c r="K554" s="116"/>
      <c r="X554" s="1"/>
      <c r="Y554" s="1"/>
      <c r="Z554" s="1"/>
      <c r="AA554" s="1"/>
      <c r="AB554" s="655"/>
      <c r="AC554" s="1"/>
      <c r="AD554" s="116"/>
      <c r="AL554" s="655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5"/>
      <c r="BZ554" s="656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5"/>
      <c r="DJ554" s="116"/>
    </row>
    <row r="555" spans="2:114" ht="15.75" customHeight="1" x14ac:dyDescent="0.25">
      <c r="B555" s="116"/>
      <c r="I555" s="655"/>
      <c r="K555" s="116"/>
      <c r="X555" s="1"/>
      <c r="Y555" s="1"/>
      <c r="Z555" s="1"/>
      <c r="AA555" s="1"/>
      <c r="AB555" s="655"/>
      <c r="AC555" s="1"/>
      <c r="AD555" s="116"/>
      <c r="AL555" s="655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5"/>
      <c r="BZ555" s="656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5"/>
      <c r="DJ555" s="116"/>
    </row>
    <row r="556" spans="2:114" ht="15.75" customHeight="1" x14ac:dyDescent="0.25">
      <c r="B556" s="116"/>
      <c r="I556" s="655"/>
      <c r="K556" s="116"/>
      <c r="X556" s="1"/>
      <c r="Y556" s="1"/>
      <c r="Z556" s="1"/>
      <c r="AA556" s="1"/>
      <c r="AB556" s="655"/>
      <c r="AC556" s="1"/>
      <c r="AD556" s="116"/>
      <c r="AL556" s="655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5"/>
      <c r="BZ556" s="656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5"/>
      <c r="DJ556" s="116"/>
    </row>
    <row r="557" spans="2:114" ht="15.75" customHeight="1" x14ac:dyDescent="0.25">
      <c r="B557" s="116"/>
      <c r="I557" s="655"/>
      <c r="K557" s="116"/>
      <c r="X557" s="1"/>
      <c r="Y557" s="1"/>
      <c r="Z557" s="1"/>
      <c r="AA557" s="1"/>
      <c r="AB557" s="655"/>
      <c r="AC557" s="1"/>
      <c r="AD557" s="116"/>
      <c r="AL557" s="655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5"/>
      <c r="BZ557" s="656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5"/>
      <c r="DJ557" s="116"/>
    </row>
    <row r="558" spans="2:114" ht="15.75" customHeight="1" x14ac:dyDescent="0.25">
      <c r="B558" s="116"/>
      <c r="I558" s="655"/>
      <c r="K558" s="116"/>
      <c r="X558" s="1"/>
      <c r="Y558" s="1"/>
      <c r="Z558" s="1"/>
      <c r="AA558" s="1"/>
      <c r="AB558" s="655"/>
      <c r="AC558" s="1"/>
      <c r="AD558" s="116"/>
      <c r="AL558" s="655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5"/>
      <c r="BZ558" s="656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5"/>
      <c r="DJ558" s="116"/>
    </row>
    <row r="559" spans="2:114" ht="15.75" customHeight="1" x14ac:dyDescent="0.25">
      <c r="B559" s="116"/>
      <c r="I559" s="655"/>
      <c r="K559" s="116"/>
      <c r="X559" s="1"/>
      <c r="Y559" s="1"/>
      <c r="Z559" s="1"/>
      <c r="AA559" s="1"/>
      <c r="AB559" s="655"/>
      <c r="AC559" s="1"/>
      <c r="AD559" s="116"/>
      <c r="AL559" s="655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5"/>
      <c r="BZ559" s="656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5"/>
      <c r="DJ559" s="116"/>
    </row>
    <row r="560" spans="2:114" ht="15.75" customHeight="1" x14ac:dyDescent="0.25">
      <c r="B560" s="116"/>
      <c r="I560" s="655"/>
      <c r="K560" s="116"/>
      <c r="X560" s="1"/>
      <c r="Y560" s="1"/>
      <c r="Z560" s="1"/>
      <c r="AA560" s="1"/>
      <c r="AB560" s="655"/>
      <c r="AC560" s="1"/>
      <c r="AD560" s="116"/>
      <c r="AL560" s="655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5"/>
      <c r="BZ560" s="656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5"/>
      <c r="DJ560" s="116"/>
    </row>
    <row r="561" spans="2:114" ht="15.75" customHeight="1" x14ac:dyDescent="0.25">
      <c r="B561" s="116"/>
      <c r="I561" s="655"/>
      <c r="K561" s="116"/>
      <c r="X561" s="1"/>
      <c r="Y561" s="1"/>
      <c r="Z561" s="1"/>
      <c r="AA561" s="1"/>
      <c r="AB561" s="655"/>
      <c r="AC561" s="1"/>
      <c r="AD561" s="116"/>
      <c r="AL561" s="655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5"/>
      <c r="BZ561" s="656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5"/>
      <c r="DJ561" s="116"/>
    </row>
    <row r="562" spans="2:114" ht="15.75" customHeight="1" x14ac:dyDescent="0.25">
      <c r="B562" s="116"/>
      <c r="I562" s="655"/>
      <c r="K562" s="116"/>
      <c r="X562" s="1"/>
      <c r="Y562" s="1"/>
      <c r="Z562" s="1"/>
      <c r="AA562" s="1"/>
      <c r="AB562" s="655"/>
      <c r="AC562" s="1"/>
      <c r="AD562" s="116"/>
      <c r="AL562" s="655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5"/>
      <c r="BZ562" s="656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5"/>
      <c r="DJ562" s="116"/>
    </row>
    <row r="563" spans="2:114" ht="15.75" customHeight="1" x14ac:dyDescent="0.25">
      <c r="B563" s="116"/>
      <c r="I563" s="655"/>
      <c r="K563" s="116"/>
      <c r="X563" s="1"/>
      <c r="Y563" s="1"/>
      <c r="Z563" s="1"/>
      <c r="AA563" s="1"/>
      <c r="AB563" s="655"/>
      <c r="AC563" s="1"/>
      <c r="AD563" s="116"/>
      <c r="AL563" s="655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5"/>
      <c r="BZ563" s="656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5"/>
      <c r="DJ563" s="116"/>
    </row>
    <row r="564" spans="2:114" ht="15.75" customHeight="1" x14ac:dyDescent="0.25">
      <c r="B564" s="116"/>
      <c r="I564" s="655"/>
      <c r="K564" s="116"/>
      <c r="X564" s="1"/>
      <c r="Y564" s="1"/>
      <c r="Z564" s="1"/>
      <c r="AA564" s="1"/>
      <c r="AB564" s="655"/>
      <c r="AC564" s="1"/>
      <c r="AD564" s="116"/>
      <c r="AL564" s="655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5"/>
      <c r="BZ564" s="656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5"/>
      <c r="DJ564" s="116"/>
    </row>
    <row r="565" spans="2:114" ht="15.75" customHeight="1" x14ac:dyDescent="0.25">
      <c r="B565" s="116"/>
      <c r="I565" s="655"/>
      <c r="K565" s="116"/>
      <c r="X565" s="1"/>
      <c r="Y565" s="1"/>
      <c r="Z565" s="1"/>
      <c r="AA565" s="1"/>
      <c r="AB565" s="655"/>
      <c r="AC565" s="1"/>
      <c r="AD565" s="116"/>
      <c r="AL565" s="655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5"/>
      <c r="BZ565" s="656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5"/>
      <c r="DJ565" s="116"/>
    </row>
    <row r="566" spans="2:114" ht="15.75" customHeight="1" x14ac:dyDescent="0.25">
      <c r="B566" s="116"/>
      <c r="I566" s="655"/>
      <c r="K566" s="116"/>
      <c r="X566" s="1"/>
      <c r="Y566" s="1"/>
      <c r="Z566" s="1"/>
      <c r="AA566" s="1"/>
      <c r="AB566" s="655"/>
      <c r="AC566" s="1"/>
      <c r="AD566" s="116"/>
      <c r="AL566" s="655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5"/>
      <c r="BZ566" s="656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5"/>
      <c r="DJ566" s="116"/>
    </row>
    <row r="567" spans="2:114" ht="15.75" customHeight="1" x14ac:dyDescent="0.25">
      <c r="B567" s="116"/>
      <c r="I567" s="655"/>
      <c r="K567" s="116"/>
      <c r="X567" s="1"/>
      <c r="Y567" s="1"/>
      <c r="Z567" s="1"/>
      <c r="AA567" s="1"/>
      <c r="AB567" s="655"/>
      <c r="AC567" s="1"/>
      <c r="AD567" s="116"/>
      <c r="AL567" s="655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5"/>
      <c r="BZ567" s="656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5"/>
      <c r="DJ567" s="116"/>
    </row>
    <row r="568" spans="2:114" ht="15.75" customHeight="1" x14ac:dyDescent="0.25">
      <c r="B568" s="116"/>
      <c r="I568" s="655"/>
      <c r="K568" s="116"/>
      <c r="X568" s="1"/>
      <c r="Y568" s="1"/>
      <c r="Z568" s="1"/>
      <c r="AA568" s="1"/>
      <c r="AB568" s="655"/>
      <c r="AC568" s="1"/>
      <c r="AD568" s="116"/>
      <c r="AL568" s="655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5"/>
      <c r="BZ568" s="656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5"/>
      <c r="DJ568" s="116"/>
    </row>
    <row r="569" spans="2:114" ht="15.75" customHeight="1" x14ac:dyDescent="0.25">
      <c r="B569" s="116"/>
      <c r="I569" s="655"/>
      <c r="K569" s="116"/>
      <c r="X569" s="1"/>
      <c r="Y569" s="1"/>
      <c r="Z569" s="1"/>
      <c r="AA569" s="1"/>
      <c r="AB569" s="655"/>
      <c r="AC569" s="1"/>
      <c r="AD569" s="116"/>
      <c r="AL569" s="655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5"/>
      <c r="BZ569" s="656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5"/>
      <c r="DJ569" s="116"/>
    </row>
    <row r="570" spans="2:114" ht="15.75" customHeight="1" x14ac:dyDescent="0.25">
      <c r="B570" s="116"/>
      <c r="I570" s="655"/>
      <c r="K570" s="116"/>
      <c r="X570" s="1"/>
      <c r="Y570" s="1"/>
      <c r="Z570" s="1"/>
      <c r="AA570" s="1"/>
      <c r="AB570" s="655"/>
      <c r="AC570" s="1"/>
      <c r="AD570" s="116"/>
      <c r="AL570" s="655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5"/>
      <c r="BZ570" s="656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5"/>
      <c r="DJ570" s="116"/>
    </row>
    <row r="571" spans="2:114" ht="15.75" customHeight="1" x14ac:dyDescent="0.25">
      <c r="B571" s="116"/>
      <c r="I571" s="655"/>
      <c r="K571" s="116"/>
      <c r="X571" s="1"/>
      <c r="Y571" s="1"/>
      <c r="Z571" s="1"/>
      <c r="AA571" s="1"/>
      <c r="AB571" s="655"/>
      <c r="AC571" s="1"/>
      <c r="AD571" s="116"/>
      <c r="AL571" s="655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5"/>
      <c r="BZ571" s="656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5"/>
      <c r="DJ571" s="116"/>
    </row>
    <row r="572" spans="2:114" ht="15.75" customHeight="1" x14ac:dyDescent="0.25">
      <c r="B572" s="116"/>
      <c r="I572" s="655"/>
      <c r="K572" s="116"/>
      <c r="X572" s="1"/>
      <c r="Y572" s="1"/>
      <c r="Z572" s="1"/>
      <c r="AA572" s="1"/>
      <c r="AB572" s="655"/>
      <c r="AC572" s="1"/>
      <c r="AD572" s="116"/>
      <c r="AL572" s="655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5"/>
      <c r="BZ572" s="656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5"/>
      <c r="DJ572" s="116"/>
    </row>
    <row r="573" spans="2:114" ht="15.75" customHeight="1" x14ac:dyDescent="0.25">
      <c r="B573" s="116"/>
      <c r="I573" s="655"/>
      <c r="K573" s="116"/>
      <c r="X573" s="1"/>
      <c r="Y573" s="1"/>
      <c r="Z573" s="1"/>
      <c r="AA573" s="1"/>
      <c r="AB573" s="655"/>
      <c r="AC573" s="1"/>
      <c r="AD573" s="116"/>
      <c r="AL573" s="655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5"/>
      <c r="BZ573" s="656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5"/>
      <c r="DJ573" s="116"/>
    </row>
    <row r="574" spans="2:114" ht="15.75" customHeight="1" x14ac:dyDescent="0.25">
      <c r="B574" s="116"/>
      <c r="I574" s="655"/>
      <c r="K574" s="116"/>
      <c r="X574" s="1"/>
      <c r="Y574" s="1"/>
      <c r="Z574" s="1"/>
      <c r="AA574" s="1"/>
      <c r="AB574" s="655"/>
      <c r="AC574" s="1"/>
      <c r="AD574" s="116"/>
      <c r="AL574" s="655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5"/>
      <c r="BZ574" s="656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5"/>
      <c r="DJ574" s="116"/>
    </row>
    <row r="575" spans="2:114" ht="15.75" customHeight="1" x14ac:dyDescent="0.25">
      <c r="B575" s="116"/>
      <c r="I575" s="655"/>
      <c r="K575" s="116"/>
      <c r="X575" s="1"/>
      <c r="Y575" s="1"/>
      <c r="Z575" s="1"/>
      <c r="AA575" s="1"/>
      <c r="AB575" s="655"/>
      <c r="AC575" s="1"/>
      <c r="AD575" s="116"/>
      <c r="AL575" s="655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5"/>
      <c r="BZ575" s="656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5"/>
      <c r="DJ575" s="116"/>
    </row>
    <row r="576" spans="2:114" ht="15.75" customHeight="1" x14ac:dyDescent="0.25">
      <c r="B576" s="116"/>
      <c r="I576" s="655"/>
      <c r="K576" s="116"/>
      <c r="X576" s="1"/>
      <c r="Y576" s="1"/>
      <c r="Z576" s="1"/>
      <c r="AA576" s="1"/>
      <c r="AB576" s="655"/>
      <c r="AC576" s="1"/>
      <c r="AD576" s="116"/>
      <c r="AL576" s="655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5"/>
      <c r="BZ576" s="656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5"/>
      <c r="DJ576" s="116"/>
    </row>
    <row r="577" spans="2:114" ht="15.75" customHeight="1" x14ac:dyDescent="0.25">
      <c r="B577" s="116"/>
      <c r="I577" s="655"/>
      <c r="K577" s="116"/>
      <c r="X577" s="1"/>
      <c r="Y577" s="1"/>
      <c r="Z577" s="1"/>
      <c r="AA577" s="1"/>
      <c r="AB577" s="655"/>
      <c r="AC577" s="1"/>
      <c r="AD577" s="116"/>
      <c r="AL577" s="655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5"/>
      <c r="BZ577" s="656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5"/>
      <c r="DJ577" s="116"/>
    </row>
    <row r="578" spans="2:114" ht="15.75" customHeight="1" x14ac:dyDescent="0.25">
      <c r="B578" s="116"/>
      <c r="I578" s="655"/>
      <c r="K578" s="116"/>
      <c r="X578" s="1"/>
      <c r="Y578" s="1"/>
      <c r="Z578" s="1"/>
      <c r="AA578" s="1"/>
      <c r="AB578" s="655"/>
      <c r="AC578" s="1"/>
      <c r="AD578" s="116"/>
      <c r="AL578" s="655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5"/>
      <c r="BZ578" s="656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5"/>
      <c r="DJ578" s="116"/>
    </row>
    <row r="579" spans="2:114" ht="15.75" customHeight="1" x14ac:dyDescent="0.25">
      <c r="B579" s="116"/>
      <c r="I579" s="655"/>
      <c r="K579" s="116"/>
      <c r="X579" s="1"/>
      <c r="Y579" s="1"/>
      <c r="Z579" s="1"/>
      <c r="AA579" s="1"/>
      <c r="AB579" s="655"/>
      <c r="AC579" s="1"/>
      <c r="AD579" s="116"/>
      <c r="AL579" s="655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5"/>
      <c r="BZ579" s="656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5"/>
      <c r="DJ579" s="116"/>
    </row>
    <row r="580" spans="2:114" ht="15.75" customHeight="1" x14ac:dyDescent="0.25">
      <c r="B580" s="116"/>
      <c r="I580" s="655"/>
      <c r="K580" s="116"/>
      <c r="X580" s="1"/>
      <c r="Y580" s="1"/>
      <c r="Z580" s="1"/>
      <c r="AA580" s="1"/>
      <c r="AB580" s="655"/>
      <c r="AC580" s="1"/>
      <c r="AD580" s="116"/>
      <c r="AL580" s="655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5"/>
      <c r="BZ580" s="656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5"/>
      <c r="DJ580" s="116"/>
    </row>
    <row r="581" spans="2:114" ht="15.75" customHeight="1" x14ac:dyDescent="0.25">
      <c r="B581" s="116"/>
      <c r="I581" s="655"/>
      <c r="K581" s="116"/>
      <c r="X581" s="1"/>
      <c r="Y581" s="1"/>
      <c r="Z581" s="1"/>
      <c r="AA581" s="1"/>
      <c r="AB581" s="655"/>
      <c r="AC581" s="1"/>
      <c r="AD581" s="116"/>
      <c r="AL581" s="655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5"/>
      <c r="BZ581" s="656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5"/>
      <c r="DJ581" s="116"/>
    </row>
    <row r="582" spans="2:114" ht="15.75" customHeight="1" x14ac:dyDescent="0.25">
      <c r="B582" s="116"/>
      <c r="I582" s="655"/>
      <c r="K582" s="116"/>
      <c r="X582" s="1"/>
      <c r="Y582" s="1"/>
      <c r="Z582" s="1"/>
      <c r="AA582" s="1"/>
      <c r="AB582" s="655"/>
      <c r="AC582" s="1"/>
      <c r="AD582" s="116"/>
      <c r="AL582" s="655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5"/>
      <c r="BZ582" s="656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5"/>
      <c r="DJ582" s="116"/>
    </row>
    <row r="583" spans="2:114" ht="15.75" customHeight="1" x14ac:dyDescent="0.25">
      <c r="B583" s="116"/>
      <c r="I583" s="655"/>
      <c r="K583" s="116"/>
      <c r="X583" s="1"/>
      <c r="Y583" s="1"/>
      <c r="Z583" s="1"/>
      <c r="AA583" s="1"/>
      <c r="AB583" s="655"/>
      <c r="AC583" s="1"/>
      <c r="AD583" s="116"/>
      <c r="AL583" s="655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5"/>
      <c r="BZ583" s="656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5"/>
      <c r="DJ583" s="116"/>
    </row>
    <row r="584" spans="2:114" ht="15.75" customHeight="1" x14ac:dyDescent="0.25">
      <c r="B584" s="116"/>
      <c r="I584" s="655"/>
      <c r="K584" s="116"/>
      <c r="X584" s="1"/>
      <c r="Y584" s="1"/>
      <c r="Z584" s="1"/>
      <c r="AA584" s="1"/>
      <c r="AB584" s="655"/>
      <c r="AC584" s="1"/>
      <c r="AD584" s="116"/>
      <c r="AL584" s="655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5"/>
      <c r="BZ584" s="656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5"/>
      <c r="DJ584" s="116"/>
    </row>
    <row r="585" spans="2:114" ht="15.75" customHeight="1" x14ac:dyDescent="0.25">
      <c r="B585" s="116"/>
      <c r="I585" s="655"/>
      <c r="K585" s="116"/>
      <c r="X585" s="1"/>
      <c r="Y585" s="1"/>
      <c r="Z585" s="1"/>
      <c r="AA585" s="1"/>
      <c r="AB585" s="655"/>
      <c r="AC585" s="1"/>
      <c r="AD585" s="116"/>
      <c r="AL585" s="655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5"/>
      <c r="BZ585" s="656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5"/>
      <c r="DJ585" s="116"/>
    </row>
    <row r="586" spans="2:114" ht="15.75" customHeight="1" x14ac:dyDescent="0.25">
      <c r="B586" s="116"/>
      <c r="I586" s="655"/>
      <c r="K586" s="116"/>
      <c r="X586" s="1"/>
      <c r="Y586" s="1"/>
      <c r="Z586" s="1"/>
      <c r="AA586" s="1"/>
      <c r="AB586" s="655"/>
      <c r="AC586" s="1"/>
      <c r="AD586" s="116"/>
      <c r="AL586" s="655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5"/>
      <c r="BZ586" s="656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5"/>
      <c r="DJ586" s="116"/>
    </row>
    <row r="587" spans="2:114" ht="15.75" customHeight="1" x14ac:dyDescent="0.25">
      <c r="B587" s="116"/>
      <c r="I587" s="655"/>
      <c r="K587" s="116"/>
      <c r="X587" s="1"/>
      <c r="Y587" s="1"/>
      <c r="Z587" s="1"/>
      <c r="AA587" s="1"/>
      <c r="AB587" s="655"/>
      <c r="AC587" s="1"/>
      <c r="AD587" s="116"/>
      <c r="AL587" s="655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5"/>
      <c r="BZ587" s="656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5"/>
      <c r="DJ587" s="116"/>
    </row>
    <row r="588" spans="2:114" ht="15.75" customHeight="1" x14ac:dyDescent="0.25">
      <c r="B588" s="116"/>
      <c r="I588" s="655"/>
      <c r="K588" s="116"/>
      <c r="X588" s="1"/>
      <c r="Y588" s="1"/>
      <c r="Z588" s="1"/>
      <c r="AA588" s="1"/>
      <c r="AB588" s="655"/>
      <c r="AC588" s="1"/>
      <c r="AD588" s="116"/>
      <c r="AL588" s="655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5"/>
      <c r="BZ588" s="656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5"/>
      <c r="DJ588" s="116"/>
    </row>
    <row r="589" spans="2:114" ht="15.75" customHeight="1" x14ac:dyDescent="0.25">
      <c r="B589" s="116"/>
      <c r="I589" s="655"/>
      <c r="K589" s="116"/>
      <c r="X589" s="1"/>
      <c r="Y589" s="1"/>
      <c r="Z589" s="1"/>
      <c r="AA589" s="1"/>
      <c r="AB589" s="655"/>
      <c r="AC589" s="1"/>
      <c r="AD589" s="116"/>
      <c r="AL589" s="655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5"/>
      <c r="BZ589" s="656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5"/>
      <c r="DJ589" s="116"/>
    </row>
    <row r="590" spans="2:114" ht="15.75" customHeight="1" x14ac:dyDescent="0.25">
      <c r="B590" s="116"/>
      <c r="I590" s="655"/>
      <c r="K590" s="116"/>
      <c r="X590" s="1"/>
      <c r="Y590" s="1"/>
      <c r="Z590" s="1"/>
      <c r="AA590" s="1"/>
      <c r="AB590" s="655"/>
      <c r="AC590" s="1"/>
      <c r="AD590" s="116"/>
      <c r="AL590" s="655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5"/>
      <c r="BZ590" s="656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5"/>
      <c r="DJ590" s="116"/>
    </row>
    <row r="591" spans="2:114" ht="15.75" customHeight="1" x14ac:dyDescent="0.25">
      <c r="B591" s="116"/>
      <c r="I591" s="655"/>
      <c r="K591" s="116"/>
      <c r="X591" s="1"/>
      <c r="Y591" s="1"/>
      <c r="Z591" s="1"/>
      <c r="AA591" s="1"/>
      <c r="AB591" s="655"/>
      <c r="AC591" s="1"/>
      <c r="AD591" s="116"/>
      <c r="AL591" s="655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5"/>
      <c r="BZ591" s="656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5"/>
      <c r="DJ591" s="116"/>
    </row>
    <row r="592" spans="2:114" ht="15.75" customHeight="1" x14ac:dyDescent="0.25">
      <c r="B592" s="116"/>
      <c r="I592" s="655"/>
      <c r="K592" s="116"/>
      <c r="X592" s="1"/>
      <c r="Y592" s="1"/>
      <c r="Z592" s="1"/>
      <c r="AA592" s="1"/>
      <c r="AB592" s="655"/>
      <c r="AC592" s="1"/>
      <c r="AD592" s="116"/>
      <c r="AL592" s="655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5"/>
      <c r="BZ592" s="656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5"/>
      <c r="DJ592" s="116"/>
    </row>
    <row r="593" spans="2:114" ht="15.75" customHeight="1" x14ac:dyDescent="0.25">
      <c r="B593" s="116"/>
      <c r="I593" s="655"/>
      <c r="K593" s="116"/>
      <c r="X593" s="1"/>
      <c r="Y593" s="1"/>
      <c r="Z593" s="1"/>
      <c r="AA593" s="1"/>
      <c r="AB593" s="655"/>
      <c r="AC593" s="1"/>
      <c r="AD593" s="116"/>
      <c r="AL593" s="655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5"/>
      <c r="BZ593" s="656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5"/>
      <c r="DJ593" s="116"/>
    </row>
    <row r="594" spans="2:114" ht="15.75" customHeight="1" x14ac:dyDescent="0.25">
      <c r="B594" s="116"/>
      <c r="I594" s="655"/>
      <c r="K594" s="116"/>
      <c r="X594" s="1"/>
      <c r="Y594" s="1"/>
      <c r="Z594" s="1"/>
      <c r="AA594" s="1"/>
      <c r="AB594" s="655"/>
      <c r="AC594" s="1"/>
      <c r="AD594" s="116"/>
      <c r="AL594" s="655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5"/>
      <c r="BZ594" s="656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5"/>
      <c r="DJ594" s="116"/>
    </row>
    <row r="595" spans="2:114" ht="15.75" customHeight="1" x14ac:dyDescent="0.25">
      <c r="B595" s="116"/>
      <c r="I595" s="655"/>
      <c r="K595" s="116"/>
      <c r="X595" s="1"/>
      <c r="Y595" s="1"/>
      <c r="Z595" s="1"/>
      <c r="AA595" s="1"/>
      <c r="AB595" s="655"/>
      <c r="AC595" s="1"/>
      <c r="AD595" s="116"/>
      <c r="AL595" s="655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5"/>
      <c r="BZ595" s="656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5"/>
      <c r="DJ595" s="116"/>
    </row>
    <row r="596" spans="2:114" ht="15.75" customHeight="1" x14ac:dyDescent="0.25">
      <c r="B596" s="116"/>
      <c r="I596" s="655"/>
      <c r="K596" s="116"/>
      <c r="X596" s="1"/>
      <c r="Y596" s="1"/>
      <c r="Z596" s="1"/>
      <c r="AA596" s="1"/>
      <c r="AB596" s="655"/>
      <c r="AC596" s="1"/>
      <c r="AD596" s="116"/>
      <c r="AL596" s="655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5"/>
      <c r="BZ596" s="656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5"/>
      <c r="DJ596" s="116"/>
    </row>
    <row r="597" spans="2:114" ht="15.75" customHeight="1" x14ac:dyDescent="0.25">
      <c r="B597" s="116"/>
      <c r="I597" s="655"/>
      <c r="K597" s="116"/>
      <c r="X597" s="1"/>
      <c r="Y597" s="1"/>
      <c r="Z597" s="1"/>
      <c r="AA597" s="1"/>
      <c r="AB597" s="655"/>
      <c r="AC597" s="1"/>
      <c r="AD597" s="116"/>
      <c r="AL597" s="655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5"/>
      <c r="BZ597" s="656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5"/>
      <c r="DJ597" s="116"/>
    </row>
    <row r="598" spans="2:114" ht="15.75" customHeight="1" x14ac:dyDescent="0.25">
      <c r="B598" s="116"/>
      <c r="I598" s="655"/>
      <c r="K598" s="116"/>
      <c r="X598" s="1"/>
      <c r="Y598" s="1"/>
      <c r="Z598" s="1"/>
      <c r="AA598" s="1"/>
      <c r="AB598" s="655"/>
      <c r="AC598" s="1"/>
      <c r="AD598" s="116"/>
      <c r="AL598" s="655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5"/>
      <c r="BZ598" s="656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5"/>
      <c r="DJ598" s="116"/>
    </row>
    <row r="599" spans="2:114" ht="15.75" customHeight="1" x14ac:dyDescent="0.25">
      <c r="B599" s="116"/>
      <c r="I599" s="655"/>
      <c r="K599" s="116"/>
      <c r="X599" s="1"/>
      <c r="Y599" s="1"/>
      <c r="Z599" s="1"/>
      <c r="AA599" s="1"/>
      <c r="AB599" s="655"/>
      <c r="AC599" s="1"/>
      <c r="AD599" s="116"/>
      <c r="AL599" s="655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5"/>
      <c r="BZ599" s="656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5"/>
      <c r="DJ599" s="116"/>
    </row>
    <row r="600" spans="2:114" ht="15.75" customHeight="1" x14ac:dyDescent="0.25">
      <c r="B600" s="116"/>
      <c r="I600" s="655"/>
      <c r="K600" s="116"/>
      <c r="X600" s="1"/>
      <c r="Y600" s="1"/>
      <c r="Z600" s="1"/>
      <c r="AA600" s="1"/>
      <c r="AB600" s="655"/>
      <c r="AC600" s="1"/>
      <c r="AD600" s="116"/>
      <c r="AL600" s="655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5"/>
      <c r="BZ600" s="656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5"/>
      <c r="DJ600" s="116"/>
    </row>
    <row r="601" spans="2:114" ht="15.75" customHeight="1" x14ac:dyDescent="0.25">
      <c r="B601" s="116"/>
      <c r="I601" s="655"/>
      <c r="K601" s="116"/>
      <c r="X601" s="1"/>
      <c r="Y601" s="1"/>
      <c r="Z601" s="1"/>
      <c r="AA601" s="1"/>
      <c r="AB601" s="655"/>
      <c r="AC601" s="1"/>
      <c r="AD601" s="116"/>
      <c r="AL601" s="655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5"/>
      <c r="BZ601" s="656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5"/>
      <c r="DJ601" s="116"/>
    </row>
    <row r="602" spans="2:114" ht="15.75" customHeight="1" x14ac:dyDescent="0.25">
      <c r="B602" s="116"/>
      <c r="I602" s="655"/>
      <c r="K602" s="116"/>
      <c r="X602" s="1"/>
      <c r="Y602" s="1"/>
      <c r="Z602" s="1"/>
      <c r="AA602" s="1"/>
      <c r="AB602" s="655"/>
      <c r="AC602" s="1"/>
      <c r="AD602" s="116"/>
      <c r="AL602" s="655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5"/>
      <c r="BZ602" s="656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5"/>
      <c r="DJ602" s="116"/>
    </row>
    <row r="603" spans="2:114" ht="15.75" customHeight="1" x14ac:dyDescent="0.25">
      <c r="B603" s="116"/>
      <c r="I603" s="655"/>
      <c r="K603" s="116"/>
      <c r="X603" s="1"/>
      <c r="Y603" s="1"/>
      <c r="Z603" s="1"/>
      <c r="AA603" s="1"/>
      <c r="AB603" s="655"/>
      <c r="AC603" s="1"/>
      <c r="AD603" s="116"/>
      <c r="AL603" s="655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5"/>
      <c r="BZ603" s="656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5"/>
      <c r="DJ603" s="116"/>
    </row>
    <row r="604" spans="2:114" ht="15.75" customHeight="1" x14ac:dyDescent="0.25">
      <c r="B604" s="116"/>
      <c r="I604" s="655"/>
      <c r="K604" s="116"/>
      <c r="X604" s="1"/>
      <c r="Y604" s="1"/>
      <c r="Z604" s="1"/>
      <c r="AA604" s="1"/>
      <c r="AB604" s="655"/>
      <c r="AC604" s="1"/>
      <c r="AD604" s="116"/>
      <c r="AL604" s="655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5"/>
      <c r="BZ604" s="656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5"/>
      <c r="DJ604" s="116"/>
    </row>
    <row r="605" spans="2:114" ht="15.75" customHeight="1" x14ac:dyDescent="0.25">
      <c r="B605" s="116"/>
      <c r="I605" s="655"/>
      <c r="K605" s="116"/>
      <c r="X605" s="1"/>
      <c r="Y605" s="1"/>
      <c r="Z605" s="1"/>
      <c r="AA605" s="1"/>
      <c r="AB605" s="655"/>
      <c r="AC605" s="1"/>
      <c r="AD605" s="116"/>
      <c r="AL605" s="655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5"/>
      <c r="BZ605" s="656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5"/>
      <c r="DJ605" s="116"/>
    </row>
    <row r="606" spans="2:114" ht="15.75" customHeight="1" x14ac:dyDescent="0.25">
      <c r="B606" s="116"/>
      <c r="I606" s="655"/>
      <c r="K606" s="116"/>
      <c r="X606" s="1"/>
      <c r="Y606" s="1"/>
      <c r="Z606" s="1"/>
      <c r="AA606" s="1"/>
      <c r="AB606" s="655"/>
      <c r="AC606" s="1"/>
      <c r="AD606" s="116"/>
      <c r="AL606" s="655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5"/>
      <c r="BZ606" s="656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5"/>
      <c r="DJ606" s="116"/>
    </row>
    <row r="607" spans="2:114" ht="15.75" customHeight="1" x14ac:dyDescent="0.25">
      <c r="B607" s="116"/>
      <c r="I607" s="655"/>
      <c r="K607" s="116"/>
      <c r="X607" s="1"/>
      <c r="Y607" s="1"/>
      <c r="Z607" s="1"/>
      <c r="AA607" s="1"/>
      <c r="AB607" s="655"/>
      <c r="AC607" s="1"/>
      <c r="AD607" s="116"/>
      <c r="AL607" s="655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5"/>
      <c r="BZ607" s="656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5"/>
      <c r="DJ607" s="116"/>
    </row>
    <row r="608" spans="2:114" ht="15.75" customHeight="1" x14ac:dyDescent="0.25">
      <c r="B608" s="116"/>
      <c r="I608" s="655"/>
      <c r="K608" s="116"/>
      <c r="X608" s="1"/>
      <c r="Y608" s="1"/>
      <c r="Z608" s="1"/>
      <c r="AA608" s="1"/>
      <c r="AB608" s="655"/>
      <c r="AC608" s="1"/>
      <c r="AD608" s="116"/>
      <c r="AL608" s="655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5"/>
      <c r="BZ608" s="656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5"/>
      <c r="DJ608" s="116"/>
    </row>
    <row r="609" spans="2:114" ht="15.75" customHeight="1" x14ac:dyDescent="0.25">
      <c r="B609" s="116"/>
      <c r="I609" s="655"/>
      <c r="K609" s="116"/>
      <c r="X609" s="1"/>
      <c r="Y609" s="1"/>
      <c r="Z609" s="1"/>
      <c r="AA609" s="1"/>
      <c r="AB609" s="655"/>
      <c r="AC609" s="1"/>
      <c r="AD609" s="116"/>
      <c r="AL609" s="655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5"/>
      <c r="BZ609" s="656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5"/>
      <c r="DJ609" s="116"/>
    </row>
    <row r="610" spans="2:114" ht="15.75" customHeight="1" x14ac:dyDescent="0.25">
      <c r="B610" s="116"/>
      <c r="I610" s="655"/>
      <c r="K610" s="116"/>
      <c r="X610" s="1"/>
      <c r="Y610" s="1"/>
      <c r="Z610" s="1"/>
      <c r="AA610" s="1"/>
      <c r="AB610" s="655"/>
      <c r="AC610" s="1"/>
      <c r="AD610" s="116"/>
      <c r="AL610" s="655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5"/>
      <c r="BZ610" s="656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5"/>
      <c r="DJ610" s="116"/>
    </row>
    <row r="611" spans="2:114" ht="15.75" customHeight="1" x14ac:dyDescent="0.25">
      <c r="B611" s="116"/>
      <c r="I611" s="655"/>
      <c r="K611" s="116"/>
      <c r="X611" s="1"/>
      <c r="Y611" s="1"/>
      <c r="Z611" s="1"/>
      <c r="AA611" s="1"/>
      <c r="AB611" s="655"/>
      <c r="AC611" s="1"/>
      <c r="AD611" s="116"/>
      <c r="AL611" s="655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5"/>
      <c r="BZ611" s="656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5"/>
      <c r="DJ611" s="116"/>
    </row>
    <row r="612" spans="2:114" ht="15.75" customHeight="1" x14ac:dyDescent="0.25">
      <c r="B612" s="116"/>
      <c r="I612" s="655"/>
      <c r="K612" s="116"/>
      <c r="X612" s="1"/>
      <c r="Y612" s="1"/>
      <c r="Z612" s="1"/>
      <c r="AA612" s="1"/>
      <c r="AB612" s="655"/>
      <c r="AC612" s="1"/>
      <c r="AD612" s="116"/>
      <c r="AL612" s="655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5"/>
      <c r="BZ612" s="656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5"/>
      <c r="DJ612" s="116"/>
    </row>
    <row r="613" spans="2:114" ht="15.75" customHeight="1" x14ac:dyDescent="0.25">
      <c r="B613" s="116"/>
      <c r="I613" s="655"/>
      <c r="K613" s="116"/>
      <c r="X613" s="1"/>
      <c r="Y613" s="1"/>
      <c r="Z613" s="1"/>
      <c r="AA613" s="1"/>
      <c r="AB613" s="655"/>
      <c r="AC613" s="1"/>
      <c r="AD613" s="116"/>
      <c r="AL613" s="655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5"/>
      <c r="BZ613" s="656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5"/>
      <c r="DJ613" s="116"/>
    </row>
    <row r="614" spans="2:114" ht="15.75" customHeight="1" x14ac:dyDescent="0.25">
      <c r="B614" s="116"/>
      <c r="I614" s="655"/>
      <c r="K614" s="116"/>
      <c r="X614" s="1"/>
      <c r="Y614" s="1"/>
      <c r="Z614" s="1"/>
      <c r="AA614" s="1"/>
      <c r="AB614" s="655"/>
      <c r="AC614" s="1"/>
      <c r="AD614" s="116"/>
      <c r="AL614" s="655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5"/>
      <c r="BZ614" s="656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5"/>
      <c r="DJ614" s="116"/>
    </row>
    <row r="615" spans="2:114" ht="15.75" customHeight="1" x14ac:dyDescent="0.25">
      <c r="B615" s="116"/>
      <c r="I615" s="655"/>
      <c r="K615" s="116"/>
      <c r="X615" s="1"/>
      <c r="Y615" s="1"/>
      <c r="Z615" s="1"/>
      <c r="AA615" s="1"/>
      <c r="AB615" s="655"/>
      <c r="AC615" s="1"/>
      <c r="AD615" s="116"/>
      <c r="AL615" s="655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5"/>
      <c r="BZ615" s="656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5"/>
      <c r="DJ615" s="116"/>
    </row>
    <row r="616" spans="2:114" ht="15.75" customHeight="1" x14ac:dyDescent="0.25">
      <c r="B616" s="116"/>
      <c r="I616" s="655"/>
      <c r="K616" s="116"/>
      <c r="X616" s="1"/>
      <c r="Y616" s="1"/>
      <c r="Z616" s="1"/>
      <c r="AA616" s="1"/>
      <c r="AB616" s="655"/>
      <c r="AC616" s="1"/>
      <c r="AD616" s="116"/>
      <c r="AL616" s="655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5"/>
      <c r="BZ616" s="656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5"/>
      <c r="DJ616" s="116"/>
    </row>
    <row r="617" spans="2:114" ht="15.75" customHeight="1" x14ac:dyDescent="0.25">
      <c r="B617" s="116"/>
      <c r="I617" s="655"/>
      <c r="K617" s="116"/>
      <c r="X617" s="1"/>
      <c r="Y617" s="1"/>
      <c r="Z617" s="1"/>
      <c r="AA617" s="1"/>
      <c r="AB617" s="655"/>
      <c r="AC617" s="1"/>
      <c r="AD617" s="116"/>
      <c r="AL617" s="655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5"/>
      <c r="BZ617" s="656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5"/>
      <c r="DJ617" s="116"/>
    </row>
    <row r="618" spans="2:114" ht="15.75" customHeight="1" x14ac:dyDescent="0.25">
      <c r="B618" s="116"/>
      <c r="I618" s="655"/>
      <c r="K618" s="116"/>
      <c r="X618" s="1"/>
      <c r="Y618" s="1"/>
      <c r="Z618" s="1"/>
      <c r="AA618" s="1"/>
      <c r="AB618" s="655"/>
      <c r="AC618" s="1"/>
      <c r="AD618" s="116"/>
      <c r="AL618" s="655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5"/>
      <c r="BZ618" s="656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5"/>
      <c r="DJ618" s="116"/>
    </row>
    <row r="619" spans="2:114" ht="15.75" customHeight="1" x14ac:dyDescent="0.25">
      <c r="B619" s="116"/>
      <c r="I619" s="655"/>
      <c r="K619" s="116"/>
      <c r="X619" s="1"/>
      <c r="Y619" s="1"/>
      <c r="Z619" s="1"/>
      <c r="AA619" s="1"/>
      <c r="AB619" s="655"/>
      <c r="AC619" s="1"/>
      <c r="AD619" s="116"/>
      <c r="AL619" s="655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5"/>
      <c r="BZ619" s="656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5"/>
      <c r="DJ619" s="116"/>
    </row>
    <row r="620" spans="2:114" ht="15.75" customHeight="1" x14ac:dyDescent="0.25">
      <c r="B620" s="116"/>
      <c r="I620" s="655"/>
      <c r="K620" s="116"/>
      <c r="X620" s="1"/>
      <c r="Y620" s="1"/>
      <c r="Z620" s="1"/>
      <c r="AA620" s="1"/>
      <c r="AB620" s="655"/>
      <c r="AC620" s="1"/>
      <c r="AD620" s="116"/>
      <c r="AL620" s="655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5"/>
      <c r="BZ620" s="656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5"/>
      <c r="DJ620" s="116"/>
    </row>
    <row r="621" spans="2:114" ht="15.75" customHeight="1" x14ac:dyDescent="0.25">
      <c r="B621" s="116"/>
      <c r="I621" s="655"/>
      <c r="K621" s="116"/>
      <c r="X621" s="1"/>
      <c r="Y621" s="1"/>
      <c r="Z621" s="1"/>
      <c r="AA621" s="1"/>
      <c r="AB621" s="655"/>
      <c r="AC621" s="1"/>
      <c r="AD621" s="116"/>
      <c r="AL621" s="655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5"/>
      <c r="BZ621" s="656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5"/>
      <c r="DJ621" s="116"/>
    </row>
    <row r="622" spans="2:114" ht="15.75" customHeight="1" x14ac:dyDescent="0.25">
      <c r="B622" s="116"/>
      <c r="I622" s="655"/>
      <c r="K622" s="116"/>
      <c r="X622" s="1"/>
      <c r="Y622" s="1"/>
      <c r="Z622" s="1"/>
      <c r="AA622" s="1"/>
      <c r="AB622" s="655"/>
      <c r="AC622" s="1"/>
      <c r="AD622" s="116"/>
      <c r="AL622" s="655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5"/>
      <c r="BZ622" s="656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5"/>
      <c r="DJ622" s="116"/>
    </row>
    <row r="623" spans="2:114" ht="15.75" customHeight="1" x14ac:dyDescent="0.25">
      <c r="B623" s="116"/>
      <c r="I623" s="655"/>
      <c r="K623" s="116"/>
      <c r="X623" s="1"/>
      <c r="Y623" s="1"/>
      <c r="Z623" s="1"/>
      <c r="AA623" s="1"/>
      <c r="AB623" s="655"/>
      <c r="AC623" s="1"/>
      <c r="AD623" s="116"/>
      <c r="AL623" s="655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5"/>
      <c r="BZ623" s="656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5"/>
      <c r="DJ623" s="116"/>
    </row>
    <row r="624" spans="2:114" ht="15.75" customHeight="1" x14ac:dyDescent="0.25">
      <c r="B624" s="116"/>
      <c r="I624" s="655"/>
      <c r="K624" s="116"/>
      <c r="X624" s="1"/>
      <c r="Y624" s="1"/>
      <c r="Z624" s="1"/>
      <c r="AA624" s="1"/>
      <c r="AB624" s="655"/>
      <c r="AC624" s="1"/>
      <c r="AD624" s="116"/>
      <c r="AL624" s="655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5"/>
      <c r="BZ624" s="656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5"/>
      <c r="DJ624" s="116"/>
    </row>
    <row r="625" spans="2:114" ht="15.75" customHeight="1" x14ac:dyDescent="0.25">
      <c r="B625" s="116"/>
      <c r="I625" s="655"/>
      <c r="K625" s="116"/>
      <c r="X625" s="1"/>
      <c r="Y625" s="1"/>
      <c r="Z625" s="1"/>
      <c r="AA625" s="1"/>
      <c r="AB625" s="655"/>
      <c r="AC625" s="1"/>
      <c r="AD625" s="116"/>
      <c r="AL625" s="655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5"/>
      <c r="BZ625" s="656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5"/>
      <c r="DJ625" s="116"/>
    </row>
    <row r="626" spans="2:114" ht="15.75" customHeight="1" x14ac:dyDescent="0.25">
      <c r="B626" s="116"/>
      <c r="I626" s="655"/>
      <c r="K626" s="116"/>
      <c r="X626" s="1"/>
      <c r="Y626" s="1"/>
      <c r="Z626" s="1"/>
      <c r="AA626" s="1"/>
      <c r="AB626" s="655"/>
      <c r="AC626" s="1"/>
      <c r="AD626" s="116"/>
      <c r="AL626" s="655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5"/>
      <c r="BZ626" s="656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5"/>
      <c r="DJ626" s="116"/>
    </row>
    <row r="627" spans="2:114" ht="15.75" customHeight="1" x14ac:dyDescent="0.25">
      <c r="B627" s="116"/>
      <c r="I627" s="655"/>
      <c r="K627" s="116"/>
      <c r="X627" s="1"/>
      <c r="Y627" s="1"/>
      <c r="Z627" s="1"/>
      <c r="AA627" s="1"/>
      <c r="AB627" s="655"/>
      <c r="AC627" s="1"/>
      <c r="AD627" s="116"/>
      <c r="AL627" s="655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5"/>
      <c r="BZ627" s="656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5"/>
      <c r="DJ627" s="116"/>
    </row>
    <row r="628" spans="2:114" ht="15.75" customHeight="1" x14ac:dyDescent="0.25">
      <c r="B628" s="116"/>
      <c r="I628" s="655"/>
      <c r="K628" s="116"/>
      <c r="X628" s="1"/>
      <c r="Y628" s="1"/>
      <c r="Z628" s="1"/>
      <c r="AA628" s="1"/>
      <c r="AB628" s="655"/>
      <c r="AC628" s="1"/>
      <c r="AD628" s="116"/>
      <c r="AL628" s="655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5"/>
      <c r="BZ628" s="656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5"/>
      <c r="DJ628" s="116"/>
    </row>
    <row r="629" spans="2:114" ht="15.75" customHeight="1" x14ac:dyDescent="0.25">
      <c r="B629" s="116"/>
      <c r="I629" s="655"/>
      <c r="K629" s="116"/>
      <c r="X629" s="1"/>
      <c r="Y629" s="1"/>
      <c r="Z629" s="1"/>
      <c r="AA629" s="1"/>
      <c r="AB629" s="655"/>
      <c r="AC629" s="1"/>
      <c r="AD629" s="116"/>
      <c r="AL629" s="655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5"/>
      <c r="BZ629" s="656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5"/>
      <c r="DJ629" s="116"/>
    </row>
    <row r="630" spans="2:114" ht="15.75" customHeight="1" x14ac:dyDescent="0.25">
      <c r="B630" s="116"/>
      <c r="I630" s="655"/>
      <c r="K630" s="116"/>
      <c r="X630" s="1"/>
      <c r="Y630" s="1"/>
      <c r="Z630" s="1"/>
      <c r="AA630" s="1"/>
      <c r="AB630" s="655"/>
      <c r="AC630" s="1"/>
      <c r="AD630" s="116"/>
      <c r="AL630" s="655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5"/>
      <c r="BZ630" s="656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5"/>
      <c r="DJ630" s="116"/>
    </row>
    <row r="631" spans="2:114" ht="15.75" customHeight="1" x14ac:dyDescent="0.25">
      <c r="B631" s="116"/>
      <c r="I631" s="655"/>
      <c r="K631" s="116"/>
      <c r="X631" s="1"/>
      <c r="Y631" s="1"/>
      <c r="Z631" s="1"/>
      <c r="AA631" s="1"/>
      <c r="AB631" s="655"/>
      <c r="AC631" s="1"/>
      <c r="AD631" s="116"/>
      <c r="AL631" s="655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5"/>
      <c r="BZ631" s="656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5"/>
      <c r="DJ631" s="116"/>
    </row>
    <row r="632" spans="2:114" ht="15.75" customHeight="1" x14ac:dyDescent="0.25">
      <c r="B632" s="116"/>
      <c r="I632" s="655"/>
      <c r="K632" s="116"/>
      <c r="X632" s="1"/>
      <c r="Y632" s="1"/>
      <c r="Z632" s="1"/>
      <c r="AA632" s="1"/>
      <c r="AB632" s="655"/>
      <c r="AC632" s="1"/>
      <c r="AD632" s="116"/>
      <c r="AL632" s="655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5"/>
      <c r="BZ632" s="656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5"/>
      <c r="DJ632" s="116"/>
    </row>
    <row r="633" spans="2:114" ht="15.75" customHeight="1" x14ac:dyDescent="0.25">
      <c r="B633" s="116"/>
      <c r="I633" s="655"/>
      <c r="K633" s="116"/>
      <c r="X633" s="1"/>
      <c r="Y633" s="1"/>
      <c r="Z633" s="1"/>
      <c r="AA633" s="1"/>
      <c r="AB633" s="655"/>
      <c r="AC633" s="1"/>
      <c r="AD633" s="116"/>
      <c r="AL633" s="655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5"/>
      <c r="BZ633" s="656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5"/>
      <c r="DJ633" s="116"/>
    </row>
    <row r="634" spans="2:114" ht="15.75" customHeight="1" x14ac:dyDescent="0.25">
      <c r="B634" s="116"/>
      <c r="I634" s="655"/>
      <c r="K634" s="116"/>
      <c r="X634" s="1"/>
      <c r="Y634" s="1"/>
      <c r="Z634" s="1"/>
      <c r="AA634" s="1"/>
      <c r="AB634" s="655"/>
      <c r="AC634" s="1"/>
      <c r="AD634" s="116"/>
      <c r="AL634" s="655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5"/>
      <c r="BZ634" s="656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5"/>
      <c r="DJ634" s="116"/>
    </row>
    <row r="635" spans="2:114" ht="15.75" customHeight="1" x14ac:dyDescent="0.25">
      <c r="B635" s="116"/>
      <c r="I635" s="655"/>
      <c r="K635" s="116"/>
      <c r="X635" s="1"/>
      <c r="Y635" s="1"/>
      <c r="Z635" s="1"/>
      <c r="AA635" s="1"/>
      <c r="AB635" s="655"/>
      <c r="AC635" s="1"/>
      <c r="AD635" s="116"/>
      <c r="AL635" s="655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5"/>
      <c r="BZ635" s="656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5"/>
      <c r="DJ635" s="116"/>
    </row>
    <row r="636" spans="2:114" ht="15.75" customHeight="1" x14ac:dyDescent="0.25">
      <c r="B636" s="116"/>
      <c r="I636" s="655"/>
      <c r="K636" s="116"/>
      <c r="X636" s="1"/>
      <c r="Y636" s="1"/>
      <c r="Z636" s="1"/>
      <c r="AA636" s="1"/>
      <c r="AB636" s="655"/>
      <c r="AC636" s="1"/>
      <c r="AD636" s="116"/>
      <c r="AL636" s="655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5"/>
      <c r="BZ636" s="656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5"/>
      <c r="DJ636" s="116"/>
    </row>
    <row r="637" spans="2:114" ht="15.75" customHeight="1" x14ac:dyDescent="0.25">
      <c r="B637" s="116"/>
      <c r="I637" s="655"/>
      <c r="K637" s="116"/>
      <c r="X637" s="1"/>
      <c r="Y637" s="1"/>
      <c r="Z637" s="1"/>
      <c r="AA637" s="1"/>
      <c r="AB637" s="655"/>
      <c r="AC637" s="1"/>
      <c r="AD637" s="116"/>
      <c r="AL637" s="655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5"/>
      <c r="BZ637" s="656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5"/>
      <c r="DJ637" s="116"/>
    </row>
    <row r="638" spans="2:114" ht="15.75" customHeight="1" x14ac:dyDescent="0.25">
      <c r="B638" s="116"/>
      <c r="I638" s="655"/>
      <c r="K638" s="116"/>
      <c r="X638" s="1"/>
      <c r="Y638" s="1"/>
      <c r="Z638" s="1"/>
      <c r="AA638" s="1"/>
      <c r="AB638" s="655"/>
      <c r="AC638" s="1"/>
      <c r="AD638" s="116"/>
      <c r="AL638" s="655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5"/>
      <c r="BZ638" s="656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5"/>
      <c r="DJ638" s="116"/>
    </row>
    <row r="639" spans="2:114" ht="15.75" customHeight="1" x14ac:dyDescent="0.25">
      <c r="B639" s="116"/>
      <c r="I639" s="655"/>
      <c r="K639" s="116"/>
      <c r="X639" s="1"/>
      <c r="Y639" s="1"/>
      <c r="Z639" s="1"/>
      <c r="AA639" s="1"/>
      <c r="AB639" s="655"/>
      <c r="AC639" s="1"/>
      <c r="AD639" s="116"/>
      <c r="AL639" s="655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5"/>
      <c r="BZ639" s="656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5"/>
      <c r="DJ639" s="116"/>
    </row>
    <row r="640" spans="2:114" ht="15.75" customHeight="1" x14ac:dyDescent="0.25">
      <c r="B640" s="116"/>
      <c r="I640" s="655"/>
      <c r="K640" s="116"/>
      <c r="X640" s="1"/>
      <c r="Y640" s="1"/>
      <c r="Z640" s="1"/>
      <c r="AA640" s="1"/>
      <c r="AB640" s="655"/>
      <c r="AC640" s="1"/>
      <c r="AD640" s="116"/>
      <c r="AL640" s="655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5"/>
      <c r="BZ640" s="656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5"/>
      <c r="DJ640" s="116"/>
    </row>
    <row r="641" spans="2:114" ht="15.75" customHeight="1" x14ac:dyDescent="0.25">
      <c r="B641" s="116"/>
      <c r="I641" s="655"/>
      <c r="K641" s="116"/>
      <c r="X641" s="1"/>
      <c r="Y641" s="1"/>
      <c r="Z641" s="1"/>
      <c r="AA641" s="1"/>
      <c r="AB641" s="655"/>
      <c r="AC641" s="1"/>
      <c r="AD641" s="116"/>
      <c r="AL641" s="655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5"/>
      <c r="BZ641" s="656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5"/>
      <c r="DJ641" s="116"/>
    </row>
    <row r="642" spans="2:114" ht="15.75" customHeight="1" x14ac:dyDescent="0.25">
      <c r="B642" s="116"/>
      <c r="I642" s="655"/>
      <c r="K642" s="116"/>
      <c r="X642" s="1"/>
      <c r="Y642" s="1"/>
      <c r="Z642" s="1"/>
      <c r="AA642" s="1"/>
      <c r="AB642" s="655"/>
      <c r="AC642" s="1"/>
      <c r="AD642" s="116"/>
      <c r="AL642" s="655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5"/>
      <c r="BZ642" s="656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5"/>
      <c r="DJ642" s="116"/>
    </row>
    <row r="643" spans="2:114" ht="15.75" customHeight="1" x14ac:dyDescent="0.25">
      <c r="B643" s="116"/>
      <c r="I643" s="655"/>
      <c r="K643" s="116"/>
      <c r="X643" s="1"/>
      <c r="Y643" s="1"/>
      <c r="Z643" s="1"/>
      <c r="AA643" s="1"/>
      <c r="AB643" s="655"/>
      <c r="AC643" s="1"/>
      <c r="AD643" s="116"/>
      <c r="AL643" s="655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5"/>
      <c r="BZ643" s="656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5"/>
      <c r="DJ643" s="116"/>
    </row>
    <row r="644" spans="2:114" ht="15.75" customHeight="1" x14ac:dyDescent="0.25">
      <c r="B644" s="116"/>
      <c r="I644" s="655"/>
      <c r="K644" s="116"/>
      <c r="X644" s="1"/>
      <c r="Y644" s="1"/>
      <c r="Z644" s="1"/>
      <c r="AA644" s="1"/>
      <c r="AB644" s="655"/>
      <c r="AC644" s="1"/>
      <c r="AD644" s="116"/>
      <c r="AL644" s="655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5"/>
      <c r="BZ644" s="656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5"/>
      <c r="DJ644" s="116"/>
    </row>
    <row r="645" spans="2:114" ht="15.75" customHeight="1" x14ac:dyDescent="0.25">
      <c r="B645" s="116"/>
      <c r="I645" s="655"/>
      <c r="K645" s="116"/>
      <c r="X645" s="1"/>
      <c r="Y645" s="1"/>
      <c r="Z645" s="1"/>
      <c r="AA645" s="1"/>
      <c r="AB645" s="655"/>
      <c r="AC645" s="1"/>
      <c r="AD645" s="116"/>
      <c r="AL645" s="655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5"/>
      <c r="BZ645" s="656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5"/>
      <c r="DJ645" s="116"/>
    </row>
    <row r="646" spans="2:114" ht="15.75" customHeight="1" x14ac:dyDescent="0.25">
      <c r="B646" s="116"/>
      <c r="I646" s="655"/>
      <c r="K646" s="116"/>
      <c r="X646" s="1"/>
      <c r="Y646" s="1"/>
      <c r="Z646" s="1"/>
      <c r="AA646" s="1"/>
      <c r="AB646" s="655"/>
      <c r="AC646" s="1"/>
      <c r="AD646" s="116"/>
      <c r="AL646" s="655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5"/>
      <c r="BZ646" s="656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5"/>
      <c r="DJ646" s="116"/>
    </row>
    <row r="647" spans="2:114" ht="15.75" customHeight="1" x14ac:dyDescent="0.25">
      <c r="B647" s="116"/>
      <c r="I647" s="655"/>
      <c r="K647" s="116"/>
      <c r="X647" s="1"/>
      <c r="Y647" s="1"/>
      <c r="Z647" s="1"/>
      <c r="AA647" s="1"/>
      <c r="AB647" s="655"/>
      <c r="AC647" s="1"/>
      <c r="AD647" s="116"/>
      <c r="AL647" s="655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5"/>
      <c r="BZ647" s="656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5"/>
      <c r="DJ647" s="116"/>
    </row>
    <row r="648" spans="2:114" ht="15.75" customHeight="1" x14ac:dyDescent="0.25">
      <c r="B648" s="116"/>
      <c r="I648" s="655"/>
      <c r="K648" s="116"/>
      <c r="X648" s="1"/>
      <c r="Y648" s="1"/>
      <c r="Z648" s="1"/>
      <c r="AA648" s="1"/>
      <c r="AB648" s="655"/>
      <c r="AC648" s="1"/>
      <c r="AD648" s="116"/>
      <c r="AL648" s="655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5"/>
      <c r="BZ648" s="656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5"/>
      <c r="DJ648" s="116"/>
    </row>
    <row r="649" spans="2:114" ht="15.75" customHeight="1" x14ac:dyDescent="0.25">
      <c r="B649" s="116"/>
      <c r="I649" s="655"/>
      <c r="K649" s="116"/>
      <c r="X649" s="1"/>
      <c r="Y649" s="1"/>
      <c r="Z649" s="1"/>
      <c r="AA649" s="1"/>
      <c r="AB649" s="655"/>
      <c r="AC649" s="1"/>
      <c r="AD649" s="116"/>
      <c r="AL649" s="655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5"/>
      <c r="BZ649" s="656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5"/>
      <c r="DJ649" s="116"/>
    </row>
    <row r="650" spans="2:114" ht="15.75" customHeight="1" x14ac:dyDescent="0.25">
      <c r="B650" s="116"/>
      <c r="I650" s="655"/>
      <c r="K650" s="116"/>
      <c r="X650" s="1"/>
      <c r="Y650" s="1"/>
      <c r="Z650" s="1"/>
      <c r="AA650" s="1"/>
      <c r="AB650" s="655"/>
      <c r="AC650" s="1"/>
      <c r="AD650" s="116"/>
      <c r="AL650" s="655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5"/>
      <c r="BZ650" s="656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5"/>
      <c r="DJ650" s="116"/>
    </row>
    <row r="651" spans="2:114" ht="15.75" customHeight="1" x14ac:dyDescent="0.25">
      <c r="B651" s="116"/>
      <c r="I651" s="655"/>
      <c r="K651" s="116"/>
      <c r="X651" s="1"/>
      <c r="Y651" s="1"/>
      <c r="Z651" s="1"/>
      <c r="AA651" s="1"/>
      <c r="AB651" s="655"/>
      <c r="AC651" s="1"/>
      <c r="AD651" s="116"/>
      <c r="AL651" s="655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5"/>
      <c r="BZ651" s="656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5"/>
      <c r="DJ651" s="116"/>
    </row>
    <row r="652" spans="2:114" ht="15.75" customHeight="1" x14ac:dyDescent="0.25">
      <c r="B652" s="116"/>
      <c r="I652" s="655"/>
      <c r="K652" s="116"/>
      <c r="X652" s="1"/>
      <c r="Y652" s="1"/>
      <c r="Z652" s="1"/>
      <c r="AA652" s="1"/>
      <c r="AB652" s="655"/>
      <c r="AC652" s="1"/>
      <c r="AD652" s="116"/>
      <c r="AL652" s="655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5"/>
      <c r="BZ652" s="656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5"/>
      <c r="DJ652" s="116"/>
    </row>
    <row r="653" spans="2:114" ht="15.75" customHeight="1" x14ac:dyDescent="0.25">
      <c r="B653" s="116"/>
      <c r="I653" s="655"/>
      <c r="K653" s="116"/>
      <c r="X653" s="1"/>
      <c r="Y653" s="1"/>
      <c r="Z653" s="1"/>
      <c r="AA653" s="1"/>
      <c r="AB653" s="655"/>
      <c r="AC653" s="1"/>
      <c r="AD653" s="116"/>
      <c r="AL653" s="655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5"/>
      <c r="BZ653" s="656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5"/>
      <c r="DJ653" s="116"/>
    </row>
    <row r="654" spans="2:114" ht="15.75" customHeight="1" x14ac:dyDescent="0.25">
      <c r="B654" s="116"/>
      <c r="I654" s="655"/>
      <c r="K654" s="116"/>
      <c r="X654" s="1"/>
      <c r="Y654" s="1"/>
      <c r="Z654" s="1"/>
      <c r="AA654" s="1"/>
      <c r="AB654" s="655"/>
      <c r="AC654" s="1"/>
      <c r="AD654" s="116"/>
      <c r="AL654" s="655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5"/>
      <c r="BZ654" s="656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5"/>
      <c r="DJ654" s="116"/>
    </row>
    <row r="655" spans="2:114" ht="15.75" customHeight="1" x14ac:dyDescent="0.25">
      <c r="B655" s="116"/>
      <c r="I655" s="655"/>
      <c r="K655" s="116"/>
      <c r="X655" s="1"/>
      <c r="Y655" s="1"/>
      <c r="Z655" s="1"/>
      <c r="AA655" s="1"/>
      <c r="AB655" s="655"/>
      <c r="AC655" s="1"/>
      <c r="AD655" s="116"/>
      <c r="AL655" s="655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5"/>
      <c r="BZ655" s="656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5"/>
      <c r="DJ655" s="116"/>
    </row>
    <row r="656" spans="2:114" ht="15.75" customHeight="1" x14ac:dyDescent="0.25">
      <c r="B656" s="116"/>
      <c r="I656" s="655"/>
      <c r="K656" s="116"/>
      <c r="X656" s="1"/>
      <c r="Y656" s="1"/>
      <c r="Z656" s="1"/>
      <c r="AA656" s="1"/>
      <c r="AB656" s="655"/>
      <c r="AC656" s="1"/>
      <c r="AD656" s="116"/>
      <c r="AL656" s="655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5"/>
      <c r="BZ656" s="656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5"/>
      <c r="DJ656" s="116"/>
    </row>
    <row r="657" spans="2:114" ht="15.75" customHeight="1" x14ac:dyDescent="0.25">
      <c r="B657" s="116"/>
      <c r="I657" s="655"/>
      <c r="K657" s="116"/>
      <c r="X657" s="1"/>
      <c r="Y657" s="1"/>
      <c r="Z657" s="1"/>
      <c r="AA657" s="1"/>
      <c r="AB657" s="655"/>
      <c r="AC657" s="1"/>
      <c r="AD657" s="116"/>
      <c r="AL657" s="655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5"/>
      <c r="BZ657" s="656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5"/>
      <c r="DJ657" s="116"/>
    </row>
    <row r="658" spans="2:114" ht="15.75" customHeight="1" x14ac:dyDescent="0.25">
      <c r="B658" s="116"/>
      <c r="I658" s="655"/>
      <c r="K658" s="116"/>
      <c r="X658" s="1"/>
      <c r="Y658" s="1"/>
      <c r="Z658" s="1"/>
      <c r="AA658" s="1"/>
      <c r="AB658" s="655"/>
      <c r="AC658" s="1"/>
      <c r="AD658" s="116"/>
      <c r="AL658" s="655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5"/>
      <c r="BZ658" s="656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5"/>
      <c r="DJ658" s="116"/>
    </row>
    <row r="659" spans="2:114" ht="15.75" customHeight="1" x14ac:dyDescent="0.25">
      <c r="B659" s="116"/>
      <c r="I659" s="655"/>
      <c r="K659" s="116"/>
      <c r="X659" s="1"/>
      <c r="Y659" s="1"/>
      <c r="Z659" s="1"/>
      <c r="AA659" s="1"/>
      <c r="AB659" s="655"/>
      <c r="AC659" s="1"/>
      <c r="AD659" s="116"/>
      <c r="AL659" s="655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5"/>
      <c r="BZ659" s="656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5"/>
      <c r="DJ659" s="116"/>
    </row>
    <row r="660" spans="2:114" ht="15.75" customHeight="1" x14ac:dyDescent="0.25">
      <c r="B660" s="116"/>
      <c r="I660" s="655"/>
      <c r="K660" s="116"/>
      <c r="X660" s="1"/>
      <c r="Y660" s="1"/>
      <c r="Z660" s="1"/>
      <c r="AA660" s="1"/>
      <c r="AB660" s="655"/>
      <c r="AC660" s="1"/>
      <c r="AD660" s="116"/>
      <c r="AL660" s="655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5"/>
      <c r="BZ660" s="656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5"/>
      <c r="DJ660" s="116"/>
    </row>
    <row r="661" spans="2:114" ht="15.75" customHeight="1" x14ac:dyDescent="0.25">
      <c r="B661" s="116"/>
      <c r="I661" s="655"/>
      <c r="K661" s="116"/>
      <c r="X661" s="1"/>
      <c r="Y661" s="1"/>
      <c r="Z661" s="1"/>
      <c r="AA661" s="1"/>
      <c r="AB661" s="655"/>
      <c r="AC661" s="1"/>
      <c r="AD661" s="116"/>
      <c r="AL661" s="655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5"/>
      <c r="BZ661" s="656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5"/>
      <c r="DJ661" s="116"/>
    </row>
    <row r="662" spans="2:114" ht="15.75" customHeight="1" x14ac:dyDescent="0.25">
      <c r="B662" s="116"/>
      <c r="I662" s="655"/>
      <c r="K662" s="116"/>
      <c r="X662" s="1"/>
      <c r="Y662" s="1"/>
      <c r="Z662" s="1"/>
      <c r="AA662" s="1"/>
      <c r="AB662" s="655"/>
      <c r="AC662" s="1"/>
      <c r="AD662" s="116"/>
      <c r="AL662" s="655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5"/>
      <c r="BZ662" s="656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5"/>
      <c r="DJ662" s="116"/>
    </row>
    <row r="663" spans="2:114" ht="15.75" customHeight="1" x14ac:dyDescent="0.25">
      <c r="B663" s="116"/>
      <c r="I663" s="655"/>
      <c r="K663" s="116"/>
      <c r="X663" s="1"/>
      <c r="Y663" s="1"/>
      <c r="Z663" s="1"/>
      <c r="AA663" s="1"/>
      <c r="AB663" s="655"/>
      <c r="AC663" s="1"/>
      <c r="AD663" s="116"/>
      <c r="AL663" s="655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5"/>
      <c r="BZ663" s="656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5"/>
      <c r="DJ663" s="116"/>
    </row>
    <row r="664" spans="2:114" ht="15.75" customHeight="1" x14ac:dyDescent="0.25">
      <c r="B664" s="116"/>
      <c r="I664" s="655"/>
      <c r="K664" s="116"/>
      <c r="X664" s="1"/>
      <c r="Y664" s="1"/>
      <c r="Z664" s="1"/>
      <c r="AA664" s="1"/>
      <c r="AB664" s="655"/>
      <c r="AC664" s="1"/>
      <c r="AD664" s="116"/>
      <c r="AL664" s="655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5"/>
      <c r="BZ664" s="656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5"/>
      <c r="DJ664" s="116"/>
    </row>
    <row r="665" spans="2:114" ht="15.75" customHeight="1" x14ac:dyDescent="0.25">
      <c r="B665" s="116"/>
      <c r="I665" s="655"/>
      <c r="K665" s="116"/>
      <c r="X665" s="1"/>
      <c r="Y665" s="1"/>
      <c r="Z665" s="1"/>
      <c r="AA665" s="1"/>
      <c r="AB665" s="655"/>
      <c r="AC665" s="1"/>
      <c r="AD665" s="116"/>
      <c r="AL665" s="655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5"/>
      <c r="BZ665" s="656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5"/>
      <c r="DJ665" s="116"/>
    </row>
    <row r="666" spans="2:114" ht="15.75" customHeight="1" x14ac:dyDescent="0.25">
      <c r="B666" s="116"/>
      <c r="I666" s="655"/>
      <c r="K666" s="116"/>
      <c r="X666" s="1"/>
      <c r="Y666" s="1"/>
      <c r="Z666" s="1"/>
      <c r="AA666" s="1"/>
      <c r="AB666" s="655"/>
      <c r="AC666" s="1"/>
      <c r="AD666" s="116"/>
      <c r="AL666" s="655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5"/>
      <c r="BZ666" s="656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5"/>
      <c r="DJ666" s="116"/>
    </row>
    <row r="667" spans="2:114" ht="15.75" customHeight="1" x14ac:dyDescent="0.25">
      <c r="B667" s="116"/>
      <c r="I667" s="655"/>
      <c r="K667" s="116"/>
      <c r="X667" s="1"/>
      <c r="Y667" s="1"/>
      <c r="Z667" s="1"/>
      <c r="AA667" s="1"/>
      <c r="AB667" s="655"/>
      <c r="AC667" s="1"/>
      <c r="AD667" s="116"/>
      <c r="AL667" s="655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5"/>
      <c r="BZ667" s="656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5"/>
      <c r="DJ667" s="116"/>
    </row>
    <row r="668" spans="2:114" ht="15.75" customHeight="1" x14ac:dyDescent="0.25">
      <c r="B668" s="116"/>
      <c r="I668" s="655"/>
      <c r="K668" s="116"/>
      <c r="X668" s="1"/>
      <c r="Y668" s="1"/>
      <c r="Z668" s="1"/>
      <c r="AA668" s="1"/>
      <c r="AB668" s="655"/>
      <c r="AC668" s="1"/>
      <c r="AD668" s="116"/>
      <c r="AL668" s="655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5"/>
      <c r="BZ668" s="656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5"/>
      <c r="DJ668" s="116"/>
    </row>
    <row r="669" spans="2:114" ht="15.75" customHeight="1" x14ac:dyDescent="0.25">
      <c r="B669" s="116"/>
      <c r="I669" s="655"/>
      <c r="K669" s="116"/>
      <c r="X669" s="1"/>
      <c r="Y669" s="1"/>
      <c r="Z669" s="1"/>
      <c r="AA669" s="1"/>
      <c r="AB669" s="655"/>
      <c r="AC669" s="1"/>
      <c r="AD669" s="116"/>
      <c r="AL669" s="655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5"/>
      <c r="BZ669" s="656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5"/>
      <c r="DJ669" s="116"/>
    </row>
    <row r="670" spans="2:114" ht="15.75" customHeight="1" x14ac:dyDescent="0.25">
      <c r="B670" s="116"/>
      <c r="I670" s="655"/>
      <c r="K670" s="116"/>
      <c r="X670" s="1"/>
      <c r="Y670" s="1"/>
      <c r="Z670" s="1"/>
      <c r="AA670" s="1"/>
      <c r="AB670" s="655"/>
      <c r="AC670" s="1"/>
      <c r="AD670" s="116"/>
      <c r="AL670" s="655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5"/>
      <c r="BZ670" s="656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5"/>
      <c r="DJ670" s="116"/>
    </row>
    <row r="671" spans="2:114" ht="15.75" customHeight="1" x14ac:dyDescent="0.25">
      <c r="B671" s="116"/>
      <c r="I671" s="655"/>
      <c r="K671" s="116"/>
      <c r="X671" s="1"/>
      <c r="Y671" s="1"/>
      <c r="Z671" s="1"/>
      <c r="AA671" s="1"/>
      <c r="AB671" s="655"/>
      <c r="AC671" s="1"/>
      <c r="AD671" s="116"/>
      <c r="AL671" s="655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5"/>
      <c r="BZ671" s="656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5"/>
      <c r="DJ671" s="116"/>
    </row>
    <row r="672" spans="2:114" ht="15.75" customHeight="1" x14ac:dyDescent="0.25">
      <c r="B672" s="116"/>
      <c r="I672" s="655"/>
      <c r="K672" s="116"/>
      <c r="X672" s="1"/>
      <c r="Y672" s="1"/>
      <c r="Z672" s="1"/>
      <c r="AA672" s="1"/>
      <c r="AB672" s="655"/>
      <c r="AC672" s="1"/>
      <c r="AD672" s="116"/>
      <c r="AL672" s="655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5"/>
      <c r="BZ672" s="656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5"/>
      <c r="DJ672" s="116"/>
    </row>
    <row r="673" spans="2:114" ht="15.75" customHeight="1" x14ac:dyDescent="0.25">
      <c r="B673" s="116"/>
      <c r="I673" s="655"/>
      <c r="K673" s="116"/>
      <c r="X673" s="1"/>
      <c r="Y673" s="1"/>
      <c r="Z673" s="1"/>
      <c r="AA673" s="1"/>
      <c r="AB673" s="655"/>
      <c r="AC673" s="1"/>
      <c r="AD673" s="116"/>
      <c r="AL673" s="655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5"/>
      <c r="BZ673" s="656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5"/>
      <c r="DJ673" s="116"/>
    </row>
    <row r="674" spans="2:114" ht="15.75" customHeight="1" x14ac:dyDescent="0.25">
      <c r="B674" s="116"/>
      <c r="I674" s="655"/>
      <c r="K674" s="116"/>
      <c r="X674" s="1"/>
      <c r="Y674" s="1"/>
      <c r="Z674" s="1"/>
      <c r="AA674" s="1"/>
      <c r="AB674" s="655"/>
      <c r="AC674" s="1"/>
      <c r="AD674" s="116"/>
      <c r="AL674" s="655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5"/>
      <c r="BZ674" s="656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5"/>
      <c r="DJ674" s="116"/>
    </row>
    <row r="675" spans="2:114" ht="15.75" customHeight="1" x14ac:dyDescent="0.25">
      <c r="B675" s="116"/>
      <c r="I675" s="655"/>
      <c r="K675" s="116"/>
      <c r="X675" s="1"/>
      <c r="Y675" s="1"/>
      <c r="Z675" s="1"/>
      <c r="AA675" s="1"/>
      <c r="AB675" s="655"/>
      <c r="AC675" s="1"/>
      <c r="AD675" s="116"/>
      <c r="AL675" s="655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5"/>
      <c r="BZ675" s="656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5"/>
      <c r="DJ675" s="116"/>
    </row>
    <row r="676" spans="2:114" ht="15.75" customHeight="1" x14ac:dyDescent="0.25">
      <c r="B676" s="116"/>
      <c r="I676" s="655"/>
      <c r="K676" s="116"/>
      <c r="X676" s="1"/>
      <c r="Y676" s="1"/>
      <c r="Z676" s="1"/>
      <c r="AA676" s="1"/>
      <c r="AB676" s="655"/>
      <c r="AC676" s="1"/>
      <c r="AD676" s="116"/>
      <c r="AL676" s="655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5"/>
      <c r="BZ676" s="656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5"/>
      <c r="DJ676" s="116"/>
    </row>
    <row r="677" spans="2:114" ht="15.75" customHeight="1" x14ac:dyDescent="0.25">
      <c r="B677" s="116"/>
      <c r="I677" s="655"/>
      <c r="K677" s="116"/>
      <c r="X677" s="1"/>
      <c r="Y677" s="1"/>
      <c r="Z677" s="1"/>
      <c r="AA677" s="1"/>
      <c r="AB677" s="655"/>
      <c r="AC677" s="1"/>
      <c r="AD677" s="116"/>
      <c r="AL677" s="655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5"/>
      <c r="BZ677" s="656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5"/>
      <c r="DJ677" s="116"/>
    </row>
    <row r="678" spans="2:114" ht="15.75" customHeight="1" x14ac:dyDescent="0.25">
      <c r="B678" s="116"/>
      <c r="I678" s="655"/>
      <c r="K678" s="116"/>
      <c r="X678" s="1"/>
      <c r="Y678" s="1"/>
      <c r="Z678" s="1"/>
      <c r="AA678" s="1"/>
      <c r="AB678" s="655"/>
      <c r="AC678" s="1"/>
      <c r="AD678" s="116"/>
      <c r="AL678" s="655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5"/>
      <c r="BZ678" s="656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5"/>
      <c r="DJ678" s="116"/>
    </row>
    <row r="679" spans="2:114" ht="15.75" customHeight="1" x14ac:dyDescent="0.25">
      <c r="B679" s="116"/>
      <c r="I679" s="655"/>
      <c r="K679" s="116"/>
      <c r="X679" s="1"/>
      <c r="Y679" s="1"/>
      <c r="Z679" s="1"/>
      <c r="AA679" s="1"/>
      <c r="AB679" s="655"/>
      <c r="AC679" s="1"/>
      <c r="AD679" s="116"/>
      <c r="AL679" s="655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5"/>
      <c r="BZ679" s="656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5"/>
      <c r="DJ679" s="116"/>
    </row>
    <row r="680" spans="2:114" ht="15.75" customHeight="1" x14ac:dyDescent="0.25">
      <c r="B680" s="116"/>
      <c r="I680" s="655"/>
      <c r="K680" s="116"/>
      <c r="X680" s="1"/>
      <c r="Y680" s="1"/>
      <c r="Z680" s="1"/>
      <c r="AA680" s="1"/>
      <c r="AB680" s="655"/>
      <c r="AC680" s="1"/>
      <c r="AD680" s="116"/>
      <c r="AL680" s="655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5"/>
      <c r="BZ680" s="656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5"/>
      <c r="DJ680" s="116"/>
    </row>
    <row r="681" spans="2:114" ht="15.75" customHeight="1" x14ac:dyDescent="0.25">
      <c r="B681" s="116"/>
      <c r="I681" s="655"/>
      <c r="K681" s="116"/>
      <c r="X681" s="1"/>
      <c r="Y681" s="1"/>
      <c r="Z681" s="1"/>
      <c r="AA681" s="1"/>
      <c r="AB681" s="655"/>
      <c r="AC681" s="1"/>
      <c r="AD681" s="116"/>
      <c r="AL681" s="655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5"/>
      <c r="BZ681" s="656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5"/>
      <c r="DJ681" s="116"/>
    </row>
    <row r="682" spans="2:114" ht="15.75" customHeight="1" x14ac:dyDescent="0.25">
      <c r="B682" s="116"/>
      <c r="I682" s="655"/>
      <c r="K682" s="116"/>
      <c r="X682" s="1"/>
      <c r="Y682" s="1"/>
      <c r="Z682" s="1"/>
      <c r="AA682" s="1"/>
      <c r="AB682" s="655"/>
      <c r="AC682" s="1"/>
      <c r="AD682" s="116"/>
      <c r="AL682" s="655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5"/>
      <c r="BZ682" s="656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5"/>
      <c r="DJ682" s="116"/>
    </row>
    <row r="683" spans="2:114" ht="15.75" customHeight="1" x14ac:dyDescent="0.25">
      <c r="B683" s="116"/>
      <c r="I683" s="655"/>
      <c r="K683" s="116"/>
      <c r="X683" s="1"/>
      <c r="Y683" s="1"/>
      <c r="Z683" s="1"/>
      <c r="AA683" s="1"/>
      <c r="AB683" s="655"/>
      <c r="AC683" s="1"/>
      <c r="AD683" s="116"/>
      <c r="AL683" s="655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5"/>
      <c r="BZ683" s="656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5"/>
      <c r="DJ683" s="116"/>
    </row>
    <row r="684" spans="2:114" ht="15.75" customHeight="1" x14ac:dyDescent="0.25">
      <c r="B684" s="116"/>
      <c r="I684" s="655"/>
      <c r="K684" s="116"/>
      <c r="X684" s="1"/>
      <c r="Y684" s="1"/>
      <c r="Z684" s="1"/>
      <c r="AA684" s="1"/>
      <c r="AB684" s="655"/>
      <c r="AC684" s="1"/>
      <c r="AD684" s="116"/>
      <c r="AL684" s="655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5"/>
      <c r="BZ684" s="656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5"/>
      <c r="DJ684" s="116"/>
    </row>
    <row r="685" spans="2:114" ht="15.75" customHeight="1" x14ac:dyDescent="0.25">
      <c r="B685" s="116"/>
      <c r="I685" s="655"/>
      <c r="K685" s="116"/>
      <c r="X685" s="1"/>
      <c r="Y685" s="1"/>
      <c r="Z685" s="1"/>
      <c r="AA685" s="1"/>
      <c r="AB685" s="655"/>
      <c r="AC685" s="1"/>
      <c r="AD685" s="116"/>
      <c r="AL685" s="655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5"/>
      <c r="BZ685" s="656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5"/>
      <c r="DJ685" s="116"/>
    </row>
    <row r="686" spans="2:114" ht="15.75" customHeight="1" x14ac:dyDescent="0.25">
      <c r="B686" s="116"/>
      <c r="I686" s="655"/>
      <c r="K686" s="116"/>
      <c r="X686" s="1"/>
      <c r="Y686" s="1"/>
      <c r="Z686" s="1"/>
      <c r="AA686" s="1"/>
      <c r="AB686" s="655"/>
      <c r="AC686" s="1"/>
      <c r="AD686" s="116"/>
      <c r="AL686" s="655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5"/>
      <c r="BZ686" s="656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5"/>
      <c r="DJ686" s="116"/>
    </row>
    <row r="687" spans="2:114" ht="15.75" customHeight="1" x14ac:dyDescent="0.25">
      <c r="B687" s="116"/>
      <c r="I687" s="655"/>
      <c r="K687" s="116"/>
      <c r="X687" s="1"/>
      <c r="Y687" s="1"/>
      <c r="Z687" s="1"/>
      <c r="AA687" s="1"/>
      <c r="AB687" s="655"/>
      <c r="AC687" s="1"/>
      <c r="AD687" s="116"/>
      <c r="AL687" s="655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5"/>
      <c r="BZ687" s="656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5"/>
      <c r="DJ687" s="116"/>
    </row>
    <row r="688" spans="2:114" ht="15.75" customHeight="1" x14ac:dyDescent="0.25">
      <c r="B688" s="116"/>
      <c r="I688" s="655"/>
      <c r="K688" s="116"/>
      <c r="X688" s="1"/>
      <c r="Y688" s="1"/>
      <c r="Z688" s="1"/>
      <c r="AA688" s="1"/>
      <c r="AB688" s="655"/>
      <c r="AC688" s="1"/>
      <c r="AD688" s="116"/>
      <c r="AL688" s="655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5"/>
      <c r="BZ688" s="656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5"/>
      <c r="DJ688" s="116"/>
    </row>
    <row r="689" spans="2:114" ht="15.75" customHeight="1" x14ac:dyDescent="0.25">
      <c r="B689" s="116"/>
      <c r="I689" s="655"/>
      <c r="K689" s="116"/>
      <c r="X689" s="1"/>
      <c r="Y689" s="1"/>
      <c r="Z689" s="1"/>
      <c r="AA689" s="1"/>
      <c r="AB689" s="655"/>
      <c r="AC689" s="1"/>
      <c r="AD689" s="116"/>
      <c r="AL689" s="655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5"/>
      <c r="BZ689" s="656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5"/>
      <c r="DJ689" s="116"/>
    </row>
    <row r="690" spans="2:114" ht="15.75" customHeight="1" x14ac:dyDescent="0.25">
      <c r="B690" s="116"/>
      <c r="I690" s="655"/>
      <c r="K690" s="116"/>
      <c r="X690" s="1"/>
      <c r="Y690" s="1"/>
      <c r="Z690" s="1"/>
      <c r="AA690" s="1"/>
      <c r="AB690" s="655"/>
      <c r="AC690" s="1"/>
      <c r="AD690" s="116"/>
      <c r="AL690" s="655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5"/>
      <c r="BZ690" s="656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5"/>
      <c r="DJ690" s="116"/>
    </row>
    <row r="691" spans="2:114" ht="15.75" customHeight="1" x14ac:dyDescent="0.25">
      <c r="B691" s="116"/>
      <c r="I691" s="655"/>
      <c r="K691" s="116"/>
      <c r="X691" s="1"/>
      <c r="Y691" s="1"/>
      <c r="Z691" s="1"/>
      <c r="AA691" s="1"/>
      <c r="AB691" s="655"/>
      <c r="AC691" s="1"/>
      <c r="AD691" s="116"/>
      <c r="AL691" s="655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5"/>
      <c r="BZ691" s="656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5"/>
      <c r="DJ691" s="116"/>
    </row>
    <row r="692" spans="2:114" ht="15.75" customHeight="1" x14ac:dyDescent="0.25">
      <c r="B692" s="116"/>
      <c r="I692" s="655"/>
      <c r="K692" s="116"/>
      <c r="X692" s="1"/>
      <c r="Y692" s="1"/>
      <c r="Z692" s="1"/>
      <c r="AA692" s="1"/>
      <c r="AB692" s="655"/>
      <c r="AC692" s="1"/>
      <c r="AD692" s="116"/>
      <c r="AL692" s="655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5"/>
      <c r="BZ692" s="656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5"/>
      <c r="DJ692" s="116"/>
    </row>
    <row r="693" spans="2:114" ht="15.75" customHeight="1" x14ac:dyDescent="0.25">
      <c r="B693" s="116"/>
      <c r="I693" s="655"/>
      <c r="K693" s="116"/>
      <c r="X693" s="1"/>
      <c r="Y693" s="1"/>
      <c r="Z693" s="1"/>
      <c r="AA693" s="1"/>
      <c r="AB693" s="655"/>
      <c r="AC693" s="1"/>
      <c r="AD693" s="116"/>
      <c r="AL693" s="655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5"/>
      <c r="BZ693" s="656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5"/>
      <c r="DJ693" s="116"/>
    </row>
    <row r="694" spans="2:114" ht="15.75" customHeight="1" x14ac:dyDescent="0.25">
      <c r="B694" s="116"/>
      <c r="I694" s="655"/>
      <c r="K694" s="116"/>
      <c r="X694" s="1"/>
      <c r="Y694" s="1"/>
      <c r="Z694" s="1"/>
      <c r="AA694" s="1"/>
      <c r="AB694" s="655"/>
      <c r="AC694" s="1"/>
      <c r="AD694" s="116"/>
      <c r="AL694" s="655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5"/>
      <c r="BZ694" s="656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5"/>
      <c r="DJ694" s="116"/>
    </row>
    <row r="695" spans="2:114" ht="15.75" customHeight="1" x14ac:dyDescent="0.25">
      <c r="B695" s="116"/>
      <c r="I695" s="655"/>
      <c r="K695" s="116"/>
      <c r="X695" s="1"/>
      <c r="Y695" s="1"/>
      <c r="Z695" s="1"/>
      <c r="AA695" s="1"/>
      <c r="AB695" s="655"/>
      <c r="AC695" s="1"/>
      <c r="AD695" s="116"/>
      <c r="AL695" s="655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5"/>
      <c r="BZ695" s="656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5"/>
      <c r="DJ695" s="116"/>
    </row>
    <row r="696" spans="2:114" ht="15.75" customHeight="1" x14ac:dyDescent="0.25">
      <c r="B696" s="116"/>
      <c r="I696" s="655"/>
      <c r="K696" s="116"/>
      <c r="X696" s="1"/>
      <c r="Y696" s="1"/>
      <c r="Z696" s="1"/>
      <c r="AA696" s="1"/>
      <c r="AB696" s="655"/>
      <c r="AC696" s="1"/>
      <c r="AD696" s="116"/>
      <c r="AL696" s="655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5"/>
      <c r="BZ696" s="656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5"/>
      <c r="DJ696" s="116"/>
    </row>
    <row r="697" spans="2:114" ht="15.75" customHeight="1" x14ac:dyDescent="0.25">
      <c r="B697" s="116"/>
      <c r="I697" s="655"/>
      <c r="K697" s="116"/>
      <c r="X697" s="1"/>
      <c r="Y697" s="1"/>
      <c r="Z697" s="1"/>
      <c r="AA697" s="1"/>
      <c r="AB697" s="655"/>
      <c r="AC697" s="1"/>
      <c r="AD697" s="116"/>
      <c r="AL697" s="655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5"/>
      <c r="BZ697" s="656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5"/>
      <c r="DJ697" s="116"/>
    </row>
    <row r="698" spans="2:114" ht="15.75" customHeight="1" x14ac:dyDescent="0.25">
      <c r="B698" s="116"/>
      <c r="I698" s="655"/>
      <c r="K698" s="116"/>
      <c r="X698" s="1"/>
      <c r="Y698" s="1"/>
      <c r="Z698" s="1"/>
      <c r="AA698" s="1"/>
      <c r="AB698" s="655"/>
      <c r="AC698" s="1"/>
      <c r="AD698" s="116"/>
      <c r="AL698" s="655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5"/>
      <c r="BZ698" s="656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5"/>
      <c r="DJ698" s="116"/>
    </row>
    <row r="699" spans="2:114" ht="15.75" customHeight="1" x14ac:dyDescent="0.25">
      <c r="B699" s="116"/>
      <c r="I699" s="655"/>
      <c r="K699" s="116"/>
      <c r="X699" s="1"/>
      <c r="Y699" s="1"/>
      <c r="Z699" s="1"/>
      <c r="AA699" s="1"/>
      <c r="AB699" s="655"/>
      <c r="AC699" s="1"/>
      <c r="AD699" s="116"/>
      <c r="AL699" s="655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5"/>
      <c r="BZ699" s="656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5"/>
      <c r="DJ699" s="116"/>
    </row>
    <row r="700" spans="2:114" ht="15.75" customHeight="1" x14ac:dyDescent="0.25">
      <c r="B700" s="116"/>
      <c r="I700" s="655"/>
      <c r="K700" s="116"/>
      <c r="X700" s="1"/>
      <c r="Y700" s="1"/>
      <c r="Z700" s="1"/>
      <c r="AA700" s="1"/>
      <c r="AB700" s="655"/>
      <c r="AC700" s="1"/>
      <c r="AD700" s="116"/>
      <c r="AL700" s="655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5"/>
      <c r="BZ700" s="656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5"/>
      <c r="DJ700" s="116"/>
    </row>
    <row r="701" spans="2:114" ht="15.75" customHeight="1" x14ac:dyDescent="0.25">
      <c r="B701" s="116"/>
      <c r="I701" s="655"/>
      <c r="K701" s="116"/>
      <c r="X701" s="1"/>
      <c r="Y701" s="1"/>
      <c r="Z701" s="1"/>
      <c r="AA701" s="1"/>
      <c r="AB701" s="655"/>
      <c r="AC701" s="1"/>
      <c r="AD701" s="116"/>
      <c r="AL701" s="655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5"/>
      <c r="BZ701" s="656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5"/>
      <c r="DJ701" s="116"/>
    </row>
    <row r="702" spans="2:114" ht="15.75" customHeight="1" x14ac:dyDescent="0.25">
      <c r="B702" s="116"/>
      <c r="I702" s="655"/>
      <c r="K702" s="116"/>
      <c r="X702" s="1"/>
      <c r="Y702" s="1"/>
      <c r="Z702" s="1"/>
      <c r="AA702" s="1"/>
      <c r="AB702" s="655"/>
      <c r="AC702" s="1"/>
      <c r="AD702" s="116"/>
      <c r="AL702" s="655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5"/>
      <c r="BZ702" s="656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5"/>
      <c r="DJ702" s="116"/>
    </row>
    <row r="703" spans="2:114" ht="15.75" customHeight="1" x14ac:dyDescent="0.25">
      <c r="B703" s="116"/>
      <c r="I703" s="655"/>
      <c r="K703" s="116"/>
      <c r="X703" s="1"/>
      <c r="Y703" s="1"/>
      <c r="Z703" s="1"/>
      <c r="AA703" s="1"/>
      <c r="AB703" s="655"/>
      <c r="AC703" s="1"/>
      <c r="AD703" s="116"/>
      <c r="AL703" s="655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5"/>
      <c r="BZ703" s="656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5"/>
      <c r="DJ703" s="116"/>
    </row>
    <row r="704" spans="2:114" ht="15.75" customHeight="1" x14ac:dyDescent="0.25">
      <c r="B704" s="116"/>
      <c r="I704" s="655"/>
      <c r="K704" s="116"/>
      <c r="X704" s="1"/>
      <c r="Y704" s="1"/>
      <c r="Z704" s="1"/>
      <c r="AA704" s="1"/>
      <c r="AB704" s="655"/>
      <c r="AC704" s="1"/>
      <c r="AD704" s="116"/>
      <c r="AL704" s="655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5"/>
      <c r="BZ704" s="656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5"/>
      <c r="DJ704" s="116"/>
    </row>
    <row r="705" spans="2:114" ht="15.75" customHeight="1" x14ac:dyDescent="0.25">
      <c r="B705" s="116"/>
      <c r="I705" s="655"/>
      <c r="K705" s="116"/>
      <c r="X705" s="1"/>
      <c r="Y705" s="1"/>
      <c r="Z705" s="1"/>
      <c r="AA705" s="1"/>
      <c r="AB705" s="655"/>
      <c r="AC705" s="1"/>
      <c r="AD705" s="116"/>
      <c r="AL705" s="655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5"/>
      <c r="BZ705" s="656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5"/>
      <c r="DJ705" s="116"/>
    </row>
    <row r="706" spans="2:114" ht="15.75" customHeight="1" x14ac:dyDescent="0.25">
      <c r="B706" s="116"/>
      <c r="I706" s="655"/>
      <c r="K706" s="116"/>
      <c r="X706" s="1"/>
      <c r="Y706" s="1"/>
      <c r="Z706" s="1"/>
      <c r="AA706" s="1"/>
      <c r="AB706" s="655"/>
      <c r="AC706" s="1"/>
      <c r="AD706" s="116"/>
      <c r="AL706" s="655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5"/>
      <c r="BZ706" s="656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5"/>
      <c r="DJ706" s="116"/>
    </row>
    <row r="707" spans="2:114" ht="15.75" customHeight="1" x14ac:dyDescent="0.25">
      <c r="B707" s="116"/>
      <c r="I707" s="655"/>
      <c r="K707" s="116"/>
      <c r="X707" s="1"/>
      <c r="Y707" s="1"/>
      <c r="Z707" s="1"/>
      <c r="AA707" s="1"/>
      <c r="AB707" s="655"/>
      <c r="AC707" s="1"/>
      <c r="AD707" s="116"/>
      <c r="AL707" s="655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5"/>
      <c r="BZ707" s="656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5"/>
      <c r="DJ707" s="116"/>
    </row>
    <row r="708" spans="2:114" ht="15.75" customHeight="1" x14ac:dyDescent="0.25">
      <c r="B708" s="116"/>
      <c r="I708" s="655"/>
      <c r="K708" s="116"/>
      <c r="X708" s="1"/>
      <c r="Y708" s="1"/>
      <c r="Z708" s="1"/>
      <c r="AA708" s="1"/>
      <c r="AB708" s="655"/>
      <c r="AC708" s="1"/>
      <c r="AD708" s="116"/>
      <c r="AL708" s="655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5"/>
      <c r="BZ708" s="656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5"/>
      <c r="DJ708" s="116"/>
    </row>
    <row r="709" spans="2:114" ht="15.75" customHeight="1" x14ac:dyDescent="0.25">
      <c r="B709" s="116"/>
      <c r="I709" s="655"/>
      <c r="K709" s="116"/>
      <c r="X709" s="1"/>
      <c r="Y709" s="1"/>
      <c r="Z709" s="1"/>
      <c r="AA709" s="1"/>
      <c r="AB709" s="655"/>
      <c r="AC709" s="1"/>
      <c r="AD709" s="116"/>
      <c r="AL709" s="655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5"/>
      <c r="BZ709" s="656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5"/>
      <c r="DJ709" s="116"/>
    </row>
    <row r="710" spans="2:114" ht="15.75" customHeight="1" x14ac:dyDescent="0.25">
      <c r="B710" s="116"/>
      <c r="I710" s="655"/>
      <c r="K710" s="116"/>
      <c r="X710" s="1"/>
      <c r="Y710" s="1"/>
      <c r="Z710" s="1"/>
      <c r="AA710" s="1"/>
      <c r="AB710" s="655"/>
      <c r="AC710" s="1"/>
      <c r="AD710" s="116"/>
      <c r="AL710" s="655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5"/>
      <c r="BZ710" s="656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5"/>
      <c r="DJ710" s="116"/>
    </row>
    <row r="711" spans="2:114" ht="15.75" customHeight="1" x14ac:dyDescent="0.25">
      <c r="B711" s="116"/>
      <c r="I711" s="655"/>
      <c r="K711" s="116"/>
      <c r="X711" s="1"/>
      <c r="Y711" s="1"/>
      <c r="Z711" s="1"/>
      <c r="AA711" s="1"/>
      <c r="AB711" s="655"/>
      <c r="AC711" s="1"/>
      <c r="AD711" s="116"/>
      <c r="AL711" s="655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5"/>
      <c r="BZ711" s="656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5"/>
      <c r="DJ711" s="116"/>
    </row>
    <row r="712" spans="2:114" ht="15.75" customHeight="1" x14ac:dyDescent="0.25">
      <c r="B712" s="116"/>
      <c r="I712" s="655"/>
      <c r="K712" s="116"/>
      <c r="X712" s="1"/>
      <c r="Y712" s="1"/>
      <c r="Z712" s="1"/>
      <c r="AA712" s="1"/>
      <c r="AB712" s="655"/>
      <c r="AC712" s="1"/>
      <c r="AD712" s="116"/>
      <c r="AL712" s="655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5"/>
      <c r="BZ712" s="656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5"/>
      <c r="DJ712" s="116"/>
    </row>
    <row r="713" spans="2:114" ht="15.75" customHeight="1" x14ac:dyDescent="0.25">
      <c r="B713" s="116"/>
      <c r="I713" s="655"/>
      <c r="K713" s="116"/>
      <c r="X713" s="1"/>
      <c r="Y713" s="1"/>
      <c r="Z713" s="1"/>
      <c r="AA713" s="1"/>
      <c r="AB713" s="655"/>
      <c r="AC713" s="1"/>
      <c r="AD713" s="116"/>
      <c r="AL713" s="655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5"/>
      <c r="BZ713" s="656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5"/>
      <c r="DJ713" s="116"/>
    </row>
    <row r="714" spans="2:114" ht="15.75" customHeight="1" x14ac:dyDescent="0.25">
      <c r="B714" s="116"/>
      <c r="I714" s="655"/>
      <c r="K714" s="116"/>
      <c r="X714" s="1"/>
      <c r="Y714" s="1"/>
      <c r="Z714" s="1"/>
      <c r="AA714" s="1"/>
      <c r="AB714" s="655"/>
      <c r="AC714" s="1"/>
      <c r="AD714" s="116"/>
      <c r="AL714" s="655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5"/>
      <c r="BZ714" s="656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5"/>
      <c r="DJ714" s="116"/>
    </row>
    <row r="715" spans="2:114" ht="15.75" customHeight="1" x14ac:dyDescent="0.25">
      <c r="B715" s="116"/>
      <c r="I715" s="655"/>
      <c r="K715" s="116"/>
      <c r="X715" s="1"/>
      <c r="Y715" s="1"/>
      <c r="Z715" s="1"/>
      <c r="AA715" s="1"/>
      <c r="AB715" s="655"/>
      <c r="AC715" s="1"/>
      <c r="AD715" s="116"/>
      <c r="AL715" s="655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5"/>
      <c r="BZ715" s="656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5"/>
      <c r="DJ715" s="116"/>
    </row>
    <row r="716" spans="2:114" ht="15.75" customHeight="1" x14ac:dyDescent="0.25">
      <c r="B716" s="116"/>
      <c r="I716" s="655"/>
      <c r="K716" s="116"/>
      <c r="X716" s="1"/>
      <c r="Y716" s="1"/>
      <c r="Z716" s="1"/>
      <c r="AA716" s="1"/>
      <c r="AB716" s="655"/>
      <c r="AC716" s="1"/>
      <c r="AD716" s="116"/>
      <c r="AL716" s="655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5"/>
      <c r="BZ716" s="656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5"/>
      <c r="DJ716" s="116"/>
    </row>
    <row r="717" spans="2:114" ht="15.75" customHeight="1" x14ac:dyDescent="0.25">
      <c r="B717" s="116"/>
      <c r="I717" s="655"/>
      <c r="K717" s="116"/>
      <c r="X717" s="1"/>
      <c r="Y717" s="1"/>
      <c r="Z717" s="1"/>
      <c r="AA717" s="1"/>
      <c r="AB717" s="655"/>
      <c r="AC717" s="1"/>
      <c r="AD717" s="116"/>
      <c r="AL717" s="655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5"/>
      <c r="BZ717" s="656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5"/>
      <c r="DJ717" s="116"/>
    </row>
    <row r="718" spans="2:114" ht="15.75" customHeight="1" x14ac:dyDescent="0.25">
      <c r="B718" s="116"/>
      <c r="I718" s="655"/>
      <c r="K718" s="116"/>
      <c r="X718" s="1"/>
      <c r="Y718" s="1"/>
      <c r="Z718" s="1"/>
      <c r="AA718" s="1"/>
      <c r="AB718" s="655"/>
      <c r="AC718" s="1"/>
      <c r="AD718" s="116"/>
      <c r="AL718" s="655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5"/>
      <c r="BZ718" s="656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5"/>
      <c r="DJ718" s="116"/>
    </row>
    <row r="719" spans="2:114" ht="15.75" customHeight="1" x14ac:dyDescent="0.25">
      <c r="B719" s="116"/>
      <c r="I719" s="655"/>
      <c r="K719" s="116"/>
      <c r="X719" s="1"/>
      <c r="Y719" s="1"/>
      <c r="Z719" s="1"/>
      <c r="AA719" s="1"/>
      <c r="AB719" s="655"/>
      <c r="AC719" s="1"/>
      <c r="AD719" s="116"/>
      <c r="AL719" s="655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5"/>
      <c r="BZ719" s="656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5"/>
      <c r="DJ719" s="116"/>
    </row>
    <row r="720" spans="2:114" ht="15.75" customHeight="1" x14ac:dyDescent="0.25">
      <c r="B720" s="116"/>
      <c r="I720" s="655"/>
      <c r="K720" s="116"/>
      <c r="X720" s="1"/>
      <c r="Y720" s="1"/>
      <c r="Z720" s="1"/>
      <c r="AA720" s="1"/>
      <c r="AB720" s="655"/>
      <c r="AC720" s="1"/>
      <c r="AD720" s="116"/>
      <c r="AL720" s="655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5"/>
      <c r="BZ720" s="656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5"/>
      <c r="DJ720" s="116"/>
    </row>
    <row r="721" spans="2:114" ht="15.75" customHeight="1" x14ac:dyDescent="0.25">
      <c r="B721" s="116"/>
      <c r="I721" s="655"/>
      <c r="K721" s="116"/>
      <c r="X721" s="1"/>
      <c r="Y721" s="1"/>
      <c r="Z721" s="1"/>
      <c r="AA721" s="1"/>
      <c r="AB721" s="655"/>
      <c r="AC721" s="1"/>
      <c r="AD721" s="116"/>
      <c r="AL721" s="655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5"/>
      <c r="BZ721" s="656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5"/>
      <c r="DJ721" s="116"/>
    </row>
    <row r="722" spans="2:114" ht="15.75" customHeight="1" x14ac:dyDescent="0.25">
      <c r="B722" s="116"/>
      <c r="I722" s="655"/>
      <c r="K722" s="116"/>
      <c r="X722" s="1"/>
      <c r="Y722" s="1"/>
      <c r="Z722" s="1"/>
      <c r="AA722" s="1"/>
      <c r="AB722" s="655"/>
      <c r="AC722" s="1"/>
      <c r="AD722" s="116"/>
      <c r="AL722" s="655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5"/>
      <c r="BZ722" s="656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5"/>
      <c r="DJ722" s="116"/>
    </row>
    <row r="723" spans="2:114" ht="15.75" customHeight="1" x14ac:dyDescent="0.25">
      <c r="B723" s="116"/>
      <c r="I723" s="655"/>
      <c r="K723" s="116"/>
      <c r="X723" s="1"/>
      <c r="Y723" s="1"/>
      <c r="Z723" s="1"/>
      <c r="AA723" s="1"/>
      <c r="AB723" s="655"/>
      <c r="AC723" s="1"/>
      <c r="AD723" s="116"/>
      <c r="AL723" s="655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5"/>
      <c r="BZ723" s="656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5"/>
      <c r="DJ723" s="116"/>
    </row>
    <row r="724" spans="2:114" ht="15.75" customHeight="1" x14ac:dyDescent="0.25">
      <c r="B724" s="116"/>
      <c r="I724" s="655"/>
      <c r="K724" s="116"/>
      <c r="X724" s="1"/>
      <c r="Y724" s="1"/>
      <c r="Z724" s="1"/>
      <c r="AA724" s="1"/>
      <c r="AB724" s="655"/>
      <c r="AC724" s="1"/>
      <c r="AD724" s="116"/>
      <c r="AL724" s="655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5"/>
      <c r="BZ724" s="656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5"/>
      <c r="DJ724" s="116"/>
    </row>
    <row r="725" spans="2:114" ht="15.75" customHeight="1" x14ac:dyDescent="0.25">
      <c r="B725" s="116"/>
      <c r="I725" s="655"/>
      <c r="K725" s="116"/>
      <c r="X725" s="1"/>
      <c r="Y725" s="1"/>
      <c r="Z725" s="1"/>
      <c r="AA725" s="1"/>
      <c r="AB725" s="655"/>
      <c r="AC725" s="1"/>
      <c r="AD725" s="116"/>
      <c r="AL725" s="655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5"/>
      <c r="BZ725" s="656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5"/>
      <c r="DJ725" s="116"/>
    </row>
    <row r="726" spans="2:114" ht="15.75" customHeight="1" x14ac:dyDescent="0.25">
      <c r="B726" s="116"/>
      <c r="I726" s="655"/>
      <c r="K726" s="116"/>
      <c r="X726" s="1"/>
      <c r="Y726" s="1"/>
      <c r="Z726" s="1"/>
      <c r="AA726" s="1"/>
      <c r="AB726" s="655"/>
      <c r="AC726" s="1"/>
      <c r="AD726" s="116"/>
      <c r="AL726" s="655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5"/>
      <c r="BZ726" s="656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5"/>
      <c r="DJ726" s="116"/>
    </row>
    <row r="727" spans="2:114" ht="15.75" customHeight="1" x14ac:dyDescent="0.25">
      <c r="B727" s="116"/>
      <c r="I727" s="655"/>
      <c r="K727" s="116"/>
      <c r="X727" s="1"/>
      <c r="Y727" s="1"/>
      <c r="Z727" s="1"/>
      <c r="AA727" s="1"/>
      <c r="AB727" s="655"/>
      <c r="AC727" s="1"/>
      <c r="AD727" s="116"/>
      <c r="AL727" s="655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5"/>
      <c r="BZ727" s="656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5"/>
      <c r="DJ727" s="116"/>
    </row>
    <row r="728" spans="2:114" ht="15.75" customHeight="1" x14ac:dyDescent="0.25">
      <c r="B728" s="116"/>
      <c r="I728" s="655"/>
      <c r="K728" s="116"/>
      <c r="X728" s="1"/>
      <c r="Y728" s="1"/>
      <c r="Z728" s="1"/>
      <c r="AA728" s="1"/>
      <c r="AB728" s="655"/>
      <c r="AC728" s="1"/>
      <c r="AD728" s="116"/>
      <c r="AL728" s="655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5"/>
      <c r="BZ728" s="656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5"/>
      <c r="DJ728" s="116"/>
    </row>
    <row r="729" spans="2:114" ht="15.75" customHeight="1" x14ac:dyDescent="0.25">
      <c r="B729" s="116"/>
      <c r="I729" s="655"/>
      <c r="K729" s="116"/>
      <c r="X729" s="1"/>
      <c r="Y729" s="1"/>
      <c r="Z729" s="1"/>
      <c r="AA729" s="1"/>
      <c r="AB729" s="655"/>
      <c r="AC729" s="1"/>
      <c r="AD729" s="116"/>
      <c r="AL729" s="655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5"/>
      <c r="BZ729" s="656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5"/>
      <c r="DJ729" s="116"/>
    </row>
    <row r="730" spans="2:114" ht="15.75" customHeight="1" x14ac:dyDescent="0.25">
      <c r="B730" s="116"/>
      <c r="I730" s="655"/>
      <c r="K730" s="116"/>
      <c r="X730" s="1"/>
      <c r="Y730" s="1"/>
      <c r="Z730" s="1"/>
      <c r="AA730" s="1"/>
      <c r="AB730" s="655"/>
      <c r="AC730" s="1"/>
      <c r="AD730" s="116"/>
      <c r="AL730" s="655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5"/>
      <c r="BZ730" s="656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5"/>
      <c r="DJ730" s="116"/>
    </row>
    <row r="731" spans="2:114" ht="15.75" customHeight="1" x14ac:dyDescent="0.25">
      <c r="B731" s="116"/>
      <c r="I731" s="655"/>
      <c r="K731" s="116"/>
      <c r="X731" s="1"/>
      <c r="Y731" s="1"/>
      <c r="Z731" s="1"/>
      <c r="AA731" s="1"/>
      <c r="AB731" s="655"/>
      <c r="AC731" s="1"/>
      <c r="AD731" s="116"/>
      <c r="AL731" s="655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5"/>
      <c r="BZ731" s="656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5"/>
      <c r="DJ731" s="116"/>
    </row>
    <row r="732" spans="2:114" ht="15.75" customHeight="1" x14ac:dyDescent="0.25">
      <c r="B732" s="116"/>
      <c r="I732" s="655"/>
      <c r="K732" s="116"/>
      <c r="X732" s="1"/>
      <c r="Y732" s="1"/>
      <c r="Z732" s="1"/>
      <c r="AA732" s="1"/>
      <c r="AB732" s="655"/>
      <c r="AC732" s="1"/>
      <c r="AD732" s="116"/>
      <c r="AL732" s="655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5"/>
      <c r="BZ732" s="656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5"/>
      <c r="DJ732" s="116"/>
    </row>
    <row r="733" spans="2:114" ht="15.75" customHeight="1" x14ac:dyDescent="0.25">
      <c r="B733" s="116"/>
      <c r="I733" s="655"/>
      <c r="K733" s="116"/>
      <c r="X733" s="1"/>
      <c r="Y733" s="1"/>
      <c r="Z733" s="1"/>
      <c r="AA733" s="1"/>
      <c r="AB733" s="655"/>
      <c r="AC733" s="1"/>
      <c r="AD733" s="116"/>
      <c r="AL733" s="655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5"/>
      <c r="BZ733" s="656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5"/>
      <c r="DJ733" s="116"/>
    </row>
    <row r="734" spans="2:114" ht="15.75" customHeight="1" x14ac:dyDescent="0.25">
      <c r="B734" s="116"/>
      <c r="I734" s="655"/>
      <c r="K734" s="116"/>
      <c r="X734" s="1"/>
      <c r="Y734" s="1"/>
      <c r="Z734" s="1"/>
      <c r="AA734" s="1"/>
      <c r="AB734" s="655"/>
      <c r="AC734" s="1"/>
      <c r="AD734" s="116"/>
      <c r="AL734" s="655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5"/>
      <c r="BZ734" s="656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5"/>
      <c r="DJ734" s="116"/>
    </row>
    <row r="735" spans="2:114" ht="15.75" customHeight="1" x14ac:dyDescent="0.25">
      <c r="B735" s="116"/>
      <c r="I735" s="655"/>
      <c r="K735" s="116"/>
      <c r="X735" s="1"/>
      <c r="Y735" s="1"/>
      <c r="Z735" s="1"/>
      <c r="AA735" s="1"/>
      <c r="AB735" s="655"/>
      <c r="AC735" s="1"/>
      <c r="AD735" s="116"/>
      <c r="AL735" s="655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5"/>
      <c r="BZ735" s="656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5"/>
      <c r="DJ735" s="116"/>
    </row>
    <row r="736" spans="2:114" ht="15.75" customHeight="1" x14ac:dyDescent="0.25">
      <c r="B736" s="116"/>
      <c r="I736" s="655"/>
      <c r="K736" s="116"/>
      <c r="X736" s="1"/>
      <c r="Y736" s="1"/>
      <c r="Z736" s="1"/>
      <c r="AA736" s="1"/>
      <c r="AB736" s="655"/>
      <c r="AC736" s="1"/>
      <c r="AD736" s="116"/>
      <c r="AL736" s="655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5"/>
      <c r="BZ736" s="656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5"/>
      <c r="DJ736" s="116"/>
    </row>
    <row r="737" spans="2:114" ht="15.75" customHeight="1" x14ac:dyDescent="0.25">
      <c r="B737" s="116"/>
      <c r="I737" s="655"/>
      <c r="K737" s="116"/>
      <c r="X737" s="1"/>
      <c r="Y737" s="1"/>
      <c r="Z737" s="1"/>
      <c r="AA737" s="1"/>
      <c r="AB737" s="655"/>
      <c r="AC737" s="1"/>
      <c r="AD737" s="116"/>
      <c r="AL737" s="655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5"/>
      <c r="BZ737" s="656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5"/>
      <c r="DJ737" s="116"/>
    </row>
    <row r="738" spans="2:114" ht="15.75" customHeight="1" x14ac:dyDescent="0.25">
      <c r="B738" s="116"/>
      <c r="I738" s="655"/>
      <c r="K738" s="116"/>
      <c r="X738" s="1"/>
      <c r="Y738" s="1"/>
      <c r="Z738" s="1"/>
      <c r="AA738" s="1"/>
      <c r="AB738" s="655"/>
      <c r="AC738" s="1"/>
      <c r="AD738" s="116"/>
      <c r="AL738" s="655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5"/>
      <c r="BZ738" s="656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5"/>
      <c r="DJ738" s="116"/>
    </row>
    <row r="739" spans="2:114" ht="15.75" customHeight="1" x14ac:dyDescent="0.25">
      <c r="B739" s="116"/>
      <c r="I739" s="655"/>
      <c r="K739" s="116"/>
      <c r="X739" s="1"/>
      <c r="Y739" s="1"/>
      <c r="Z739" s="1"/>
      <c r="AA739" s="1"/>
      <c r="AB739" s="655"/>
      <c r="AC739" s="1"/>
      <c r="AD739" s="116"/>
      <c r="AL739" s="655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5"/>
      <c r="BZ739" s="656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5"/>
      <c r="DJ739" s="116"/>
    </row>
    <row r="740" spans="2:114" ht="15.75" customHeight="1" x14ac:dyDescent="0.25">
      <c r="B740" s="116"/>
      <c r="I740" s="655"/>
      <c r="K740" s="116"/>
      <c r="X740" s="1"/>
      <c r="Y740" s="1"/>
      <c r="Z740" s="1"/>
      <c r="AA740" s="1"/>
      <c r="AB740" s="655"/>
      <c r="AC740" s="1"/>
      <c r="AD740" s="116"/>
      <c r="AL740" s="655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5"/>
      <c r="BZ740" s="656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5"/>
      <c r="DJ740" s="116"/>
    </row>
    <row r="741" spans="2:114" ht="15.75" customHeight="1" x14ac:dyDescent="0.25">
      <c r="B741" s="116"/>
      <c r="I741" s="655"/>
      <c r="K741" s="116"/>
      <c r="X741" s="1"/>
      <c r="Y741" s="1"/>
      <c r="Z741" s="1"/>
      <c r="AA741" s="1"/>
      <c r="AB741" s="655"/>
      <c r="AC741" s="1"/>
      <c r="AD741" s="116"/>
      <c r="AL741" s="655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5"/>
      <c r="BZ741" s="656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5"/>
      <c r="DJ741" s="116"/>
    </row>
    <row r="742" spans="2:114" ht="15.75" customHeight="1" x14ac:dyDescent="0.25">
      <c r="B742" s="116"/>
      <c r="I742" s="655"/>
      <c r="K742" s="116"/>
      <c r="X742" s="1"/>
      <c r="Y742" s="1"/>
      <c r="Z742" s="1"/>
      <c r="AA742" s="1"/>
      <c r="AB742" s="655"/>
      <c r="AC742" s="1"/>
      <c r="AD742" s="116"/>
      <c r="AL742" s="655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5"/>
      <c r="BZ742" s="656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5"/>
      <c r="DJ742" s="116"/>
    </row>
    <row r="743" spans="2:114" ht="15.75" customHeight="1" x14ac:dyDescent="0.25">
      <c r="B743" s="116"/>
      <c r="I743" s="655"/>
      <c r="K743" s="116"/>
      <c r="X743" s="1"/>
      <c r="Y743" s="1"/>
      <c r="Z743" s="1"/>
      <c r="AA743" s="1"/>
      <c r="AB743" s="655"/>
      <c r="AC743" s="1"/>
      <c r="AD743" s="116"/>
      <c r="AL743" s="655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5"/>
      <c r="BZ743" s="656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5"/>
      <c r="DJ743" s="116"/>
    </row>
    <row r="744" spans="2:114" ht="15.75" customHeight="1" x14ac:dyDescent="0.25">
      <c r="B744" s="116"/>
      <c r="I744" s="655"/>
      <c r="K744" s="116"/>
      <c r="X744" s="1"/>
      <c r="Y744" s="1"/>
      <c r="Z744" s="1"/>
      <c r="AA744" s="1"/>
      <c r="AB744" s="655"/>
      <c r="AC744" s="1"/>
      <c r="AD744" s="116"/>
      <c r="AL744" s="655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5"/>
      <c r="BZ744" s="656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5"/>
      <c r="DJ744" s="116"/>
    </row>
    <row r="745" spans="2:114" ht="15.75" customHeight="1" x14ac:dyDescent="0.25">
      <c r="B745" s="116"/>
      <c r="I745" s="655"/>
      <c r="K745" s="116"/>
      <c r="X745" s="1"/>
      <c r="Y745" s="1"/>
      <c r="Z745" s="1"/>
      <c r="AA745" s="1"/>
      <c r="AB745" s="655"/>
      <c r="AC745" s="1"/>
      <c r="AD745" s="116"/>
      <c r="AL745" s="655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5"/>
      <c r="BZ745" s="656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5"/>
      <c r="DJ745" s="116"/>
    </row>
    <row r="746" spans="2:114" ht="15.75" customHeight="1" x14ac:dyDescent="0.25">
      <c r="B746" s="116"/>
      <c r="I746" s="655"/>
      <c r="K746" s="116"/>
      <c r="X746" s="1"/>
      <c r="Y746" s="1"/>
      <c r="Z746" s="1"/>
      <c r="AA746" s="1"/>
      <c r="AB746" s="655"/>
      <c r="AC746" s="1"/>
      <c r="AD746" s="116"/>
      <c r="AL746" s="655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5"/>
      <c r="BZ746" s="656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5"/>
      <c r="DJ746" s="116"/>
    </row>
    <row r="747" spans="2:114" ht="15.75" customHeight="1" x14ac:dyDescent="0.25">
      <c r="B747" s="116"/>
      <c r="I747" s="655"/>
      <c r="K747" s="116"/>
      <c r="X747" s="1"/>
      <c r="Y747" s="1"/>
      <c r="Z747" s="1"/>
      <c r="AA747" s="1"/>
      <c r="AB747" s="655"/>
      <c r="AC747" s="1"/>
      <c r="AD747" s="116"/>
      <c r="AL747" s="655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5"/>
      <c r="BZ747" s="656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5"/>
      <c r="DJ747" s="116"/>
    </row>
    <row r="748" spans="2:114" ht="15.75" customHeight="1" x14ac:dyDescent="0.25">
      <c r="B748" s="116"/>
      <c r="I748" s="655"/>
      <c r="K748" s="116"/>
      <c r="X748" s="1"/>
      <c r="Y748" s="1"/>
      <c r="Z748" s="1"/>
      <c r="AA748" s="1"/>
      <c r="AB748" s="655"/>
      <c r="AC748" s="1"/>
      <c r="AD748" s="116"/>
      <c r="AL748" s="655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5"/>
      <c r="BZ748" s="656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5"/>
      <c r="DJ748" s="116"/>
    </row>
    <row r="749" spans="2:114" ht="15.75" customHeight="1" x14ac:dyDescent="0.25">
      <c r="B749" s="116"/>
      <c r="I749" s="655"/>
      <c r="K749" s="116"/>
      <c r="X749" s="1"/>
      <c r="Y749" s="1"/>
      <c r="Z749" s="1"/>
      <c r="AA749" s="1"/>
      <c r="AB749" s="655"/>
      <c r="AC749" s="1"/>
      <c r="AD749" s="116"/>
      <c r="AL749" s="655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5"/>
      <c r="BZ749" s="656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5"/>
      <c r="DJ749" s="116"/>
    </row>
    <row r="750" spans="2:114" ht="15.75" customHeight="1" x14ac:dyDescent="0.25">
      <c r="B750" s="116"/>
      <c r="I750" s="655"/>
      <c r="K750" s="116"/>
      <c r="X750" s="1"/>
      <c r="Y750" s="1"/>
      <c r="Z750" s="1"/>
      <c r="AA750" s="1"/>
      <c r="AB750" s="655"/>
      <c r="AC750" s="1"/>
      <c r="AD750" s="116"/>
      <c r="AL750" s="655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5"/>
      <c r="BZ750" s="656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5"/>
      <c r="DJ750" s="116"/>
    </row>
    <row r="751" spans="2:114" ht="15.75" customHeight="1" x14ac:dyDescent="0.25">
      <c r="B751" s="116"/>
      <c r="I751" s="655"/>
      <c r="K751" s="116"/>
      <c r="X751" s="1"/>
      <c r="Y751" s="1"/>
      <c r="Z751" s="1"/>
      <c r="AA751" s="1"/>
      <c r="AB751" s="655"/>
      <c r="AC751" s="1"/>
      <c r="AD751" s="116"/>
      <c r="AL751" s="655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5"/>
      <c r="BZ751" s="656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5"/>
      <c r="DJ751" s="116"/>
    </row>
    <row r="752" spans="2:114" ht="15.75" customHeight="1" x14ac:dyDescent="0.25">
      <c r="B752" s="116"/>
      <c r="I752" s="655"/>
      <c r="K752" s="116"/>
      <c r="X752" s="1"/>
      <c r="Y752" s="1"/>
      <c r="Z752" s="1"/>
      <c r="AA752" s="1"/>
      <c r="AB752" s="655"/>
      <c r="AC752" s="1"/>
      <c r="AD752" s="116"/>
      <c r="AL752" s="655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5"/>
      <c r="BZ752" s="656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5"/>
      <c r="DJ752" s="116"/>
    </row>
    <row r="753" spans="2:114" ht="15.75" customHeight="1" x14ac:dyDescent="0.25">
      <c r="B753" s="116"/>
      <c r="I753" s="655"/>
      <c r="K753" s="116"/>
      <c r="X753" s="1"/>
      <c r="Y753" s="1"/>
      <c r="Z753" s="1"/>
      <c r="AA753" s="1"/>
      <c r="AB753" s="655"/>
      <c r="AC753" s="1"/>
      <c r="AD753" s="116"/>
      <c r="AL753" s="655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5"/>
      <c r="BZ753" s="656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5"/>
      <c r="DJ753" s="116"/>
    </row>
    <row r="754" spans="2:114" ht="15.75" customHeight="1" x14ac:dyDescent="0.25">
      <c r="B754" s="116"/>
      <c r="I754" s="655"/>
      <c r="K754" s="116"/>
      <c r="X754" s="1"/>
      <c r="Y754" s="1"/>
      <c r="Z754" s="1"/>
      <c r="AA754" s="1"/>
      <c r="AB754" s="655"/>
      <c r="AC754" s="1"/>
      <c r="AD754" s="116"/>
      <c r="AL754" s="655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5"/>
      <c r="BZ754" s="656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5"/>
      <c r="DJ754" s="116"/>
    </row>
    <row r="755" spans="2:114" ht="15.75" customHeight="1" x14ac:dyDescent="0.25">
      <c r="B755" s="116"/>
      <c r="I755" s="655"/>
      <c r="K755" s="116"/>
      <c r="X755" s="1"/>
      <c r="Y755" s="1"/>
      <c r="Z755" s="1"/>
      <c r="AA755" s="1"/>
      <c r="AB755" s="655"/>
      <c r="AC755" s="1"/>
      <c r="AD755" s="116"/>
      <c r="AL755" s="655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5"/>
      <c r="BZ755" s="656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5"/>
      <c r="DJ755" s="116"/>
    </row>
    <row r="756" spans="2:114" ht="15.75" customHeight="1" x14ac:dyDescent="0.25">
      <c r="B756" s="116"/>
      <c r="I756" s="655"/>
      <c r="K756" s="116"/>
      <c r="X756" s="1"/>
      <c r="Y756" s="1"/>
      <c r="Z756" s="1"/>
      <c r="AA756" s="1"/>
      <c r="AB756" s="655"/>
      <c r="AC756" s="1"/>
      <c r="AD756" s="116"/>
      <c r="AL756" s="655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5"/>
      <c r="BZ756" s="656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5"/>
      <c r="DJ756" s="116"/>
    </row>
    <row r="757" spans="2:114" ht="15.75" customHeight="1" x14ac:dyDescent="0.25">
      <c r="B757" s="116"/>
      <c r="I757" s="655"/>
      <c r="K757" s="116"/>
      <c r="X757" s="1"/>
      <c r="Y757" s="1"/>
      <c r="Z757" s="1"/>
      <c r="AA757" s="1"/>
      <c r="AB757" s="655"/>
      <c r="AC757" s="1"/>
      <c r="AD757" s="116"/>
      <c r="AL757" s="655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5"/>
      <c r="BZ757" s="656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5"/>
      <c r="DJ757" s="116"/>
    </row>
    <row r="758" spans="2:114" ht="15.75" customHeight="1" x14ac:dyDescent="0.25">
      <c r="B758" s="116"/>
      <c r="I758" s="655"/>
      <c r="K758" s="116"/>
      <c r="X758" s="1"/>
      <c r="Y758" s="1"/>
      <c r="Z758" s="1"/>
      <c r="AA758" s="1"/>
      <c r="AB758" s="655"/>
      <c r="AC758" s="1"/>
      <c r="AD758" s="116"/>
      <c r="AL758" s="655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5"/>
      <c r="BZ758" s="656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5"/>
      <c r="DJ758" s="116"/>
    </row>
    <row r="759" spans="2:114" ht="15.75" customHeight="1" x14ac:dyDescent="0.25">
      <c r="B759" s="116"/>
      <c r="I759" s="655"/>
      <c r="K759" s="116"/>
      <c r="X759" s="1"/>
      <c r="Y759" s="1"/>
      <c r="Z759" s="1"/>
      <c r="AA759" s="1"/>
      <c r="AB759" s="655"/>
      <c r="AC759" s="1"/>
      <c r="AD759" s="116"/>
      <c r="AL759" s="655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5"/>
      <c r="BZ759" s="656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5"/>
      <c r="DJ759" s="116"/>
    </row>
    <row r="760" spans="2:114" ht="15.75" customHeight="1" x14ac:dyDescent="0.25">
      <c r="B760" s="116"/>
      <c r="I760" s="655"/>
      <c r="K760" s="116"/>
      <c r="X760" s="1"/>
      <c r="Y760" s="1"/>
      <c r="Z760" s="1"/>
      <c r="AA760" s="1"/>
      <c r="AB760" s="655"/>
      <c r="AC760" s="1"/>
      <c r="AD760" s="116"/>
      <c r="AL760" s="655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5"/>
      <c r="BZ760" s="656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5"/>
      <c r="DJ760" s="116"/>
    </row>
    <row r="761" spans="2:114" ht="15.75" customHeight="1" x14ac:dyDescent="0.25">
      <c r="B761" s="116"/>
      <c r="I761" s="655"/>
      <c r="K761" s="116"/>
      <c r="X761" s="1"/>
      <c r="Y761" s="1"/>
      <c r="Z761" s="1"/>
      <c r="AA761" s="1"/>
      <c r="AB761" s="655"/>
      <c r="AC761" s="1"/>
      <c r="AD761" s="116"/>
      <c r="AL761" s="655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5"/>
      <c r="BZ761" s="656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5"/>
      <c r="DJ761" s="116"/>
    </row>
    <row r="762" spans="2:114" ht="15.75" customHeight="1" x14ac:dyDescent="0.25">
      <c r="B762" s="116"/>
      <c r="I762" s="655"/>
      <c r="K762" s="116"/>
      <c r="X762" s="1"/>
      <c r="Y762" s="1"/>
      <c r="Z762" s="1"/>
      <c r="AA762" s="1"/>
      <c r="AB762" s="655"/>
      <c r="AC762" s="1"/>
      <c r="AD762" s="116"/>
      <c r="AL762" s="655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5"/>
      <c r="BZ762" s="656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5"/>
      <c r="DJ762" s="116"/>
    </row>
    <row r="763" spans="2:114" ht="15.75" customHeight="1" x14ac:dyDescent="0.25">
      <c r="B763" s="116"/>
      <c r="I763" s="655"/>
      <c r="K763" s="116"/>
      <c r="X763" s="1"/>
      <c r="Y763" s="1"/>
      <c r="Z763" s="1"/>
      <c r="AA763" s="1"/>
      <c r="AB763" s="655"/>
      <c r="AC763" s="1"/>
      <c r="AD763" s="116"/>
      <c r="AL763" s="655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5"/>
      <c r="BZ763" s="656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5"/>
      <c r="DJ763" s="116"/>
    </row>
    <row r="764" spans="2:114" ht="15.75" customHeight="1" x14ac:dyDescent="0.25">
      <c r="B764" s="116"/>
      <c r="I764" s="655"/>
      <c r="K764" s="116"/>
      <c r="X764" s="1"/>
      <c r="Y764" s="1"/>
      <c r="Z764" s="1"/>
      <c r="AA764" s="1"/>
      <c r="AB764" s="655"/>
      <c r="AC764" s="1"/>
      <c r="AD764" s="116"/>
      <c r="AL764" s="655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5"/>
      <c r="BZ764" s="656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5"/>
      <c r="DJ764" s="116"/>
    </row>
    <row r="765" spans="2:114" ht="15.75" customHeight="1" x14ac:dyDescent="0.25">
      <c r="B765" s="116"/>
      <c r="I765" s="655"/>
      <c r="K765" s="116"/>
      <c r="X765" s="1"/>
      <c r="Y765" s="1"/>
      <c r="Z765" s="1"/>
      <c r="AA765" s="1"/>
      <c r="AB765" s="655"/>
      <c r="AC765" s="1"/>
      <c r="AD765" s="116"/>
      <c r="AL765" s="655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5"/>
      <c r="BZ765" s="656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5"/>
      <c r="DJ765" s="116"/>
    </row>
    <row r="766" spans="2:114" ht="15.75" customHeight="1" x14ac:dyDescent="0.25">
      <c r="B766" s="116"/>
      <c r="I766" s="655"/>
      <c r="K766" s="116"/>
      <c r="X766" s="1"/>
      <c r="Y766" s="1"/>
      <c r="Z766" s="1"/>
      <c r="AA766" s="1"/>
      <c r="AB766" s="655"/>
      <c r="AC766" s="1"/>
      <c r="AD766" s="116"/>
      <c r="AL766" s="655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5"/>
      <c r="BZ766" s="656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5"/>
      <c r="DJ766" s="116"/>
    </row>
    <row r="767" spans="2:114" ht="15.75" customHeight="1" x14ac:dyDescent="0.25">
      <c r="B767" s="116"/>
      <c r="I767" s="655"/>
      <c r="K767" s="116"/>
      <c r="X767" s="1"/>
      <c r="Y767" s="1"/>
      <c r="Z767" s="1"/>
      <c r="AA767" s="1"/>
      <c r="AB767" s="655"/>
      <c r="AC767" s="1"/>
      <c r="AD767" s="116"/>
      <c r="AL767" s="655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5"/>
      <c r="BZ767" s="656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5"/>
      <c r="DJ767" s="116"/>
    </row>
    <row r="768" spans="2:114" ht="15.75" customHeight="1" x14ac:dyDescent="0.25">
      <c r="B768" s="116"/>
      <c r="I768" s="655"/>
      <c r="K768" s="116"/>
      <c r="X768" s="1"/>
      <c r="Y768" s="1"/>
      <c r="Z768" s="1"/>
      <c r="AA768" s="1"/>
      <c r="AB768" s="655"/>
      <c r="AC768" s="1"/>
      <c r="AD768" s="116"/>
      <c r="AL768" s="655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5"/>
      <c r="BZ768" s="656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5"/>
      <c r="DJ768" s="116"/>
    </row>
    <row r="769" spans="2:114" ht="15.75" customHeight="1" x14ac:dyDescent="0.25">
      <c r="B769" s="116"/>
      <c r="I769" s="655"/>
      <c r="K769" s="116"/>
      <c r="X769" s="1"/>
      <c r="Y769" s="1"/>
      <c r="Z769" s="1"/>
      <c r="AA769" s="1"/>
      <c r="AB769" s="655"/>
      <c r="AC769" s="1"/>
      <c r="AD769" s="116"/>
      <c r="AL769" s="655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5"/>
      <c r="BZ769" s="656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5"/>
      <c r="DJ769" s="116"/>
    </row>
    <row r="770" spans="2:114" ht="15.75" customHeight="1" x14ac:dyDescent="0.25">
      <c r="B770" s="116"/>
      <c r="I770" s="655"/>
      <c r="K770" s="116"/>
      <c r="X770" s="1"/>
      <c r="Y770" s="1"/>
      <c r="Z770" s="1"/>
      <c r="AA770" s="1"/>
      <c r="AB770" s="655"/>
      <c r="AC770" s="1"/>
      <c r="AD770" s="116"/>
      <c r="AL770" s="655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5"/>
      <c r="BZ770" s="656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5"/>
      <c r="DJ770" s="116"/>
    </row>
    <row r="771" spans="2:114" ht="15.75" customHeight="1" x14ac:dyDescent="0.25">
      <c r="B771" s="116"/>
      <c r="I771" s="655"/>
      <c r="K771" s="116"/>
      <c r="X771" s="1"/>
      <c r="Y771" s="1"/>
      <c r="Z771" s="1"/>
      <c r="AA771" s="1"/>
      <c r="AB771" s="655"/>
      <c r="AC771" s="1"/>
      <c r="AD771" s="116"/>
      <c r="AL771" s="655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5"/>
      <c r="BZ771" s="656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5"/>
      <c r="DJ771" s="116"/>
    </row>
    <row r="772" spans="2:114" ht="15.75" customHeight="1" x14ac:dyDescent="0.25">
      <c r="B772" s="116"/>
      <c r="I772" s="655"/>
      <c r="K772" s="116"/>
      <c r="X772" s="1"/>
      <c r="Y772" s="1"/>
      <c r="Z772" s="1"/>
      <c r="AA772" s="1"/>
      <c r="AB772" s="655"/>
      <c r="AC772" s="1"/>
      <c r="AD772" s="116"/>
      <c r="AL772" s="655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5"/>
      <c r="BZ772" s="656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5"/>
      <c r="DJ772" s="116"/>
    </row>
    <row r="773" spans="2:114" ht="15.75" customHeight="1" x14ac:dyDescent="0.25">
      <c r="B773" s="116"/>
      <c r="I773" s="655"/>
      <c r="K773" s="116"/>
      <c r="X773" s="1"/>
      <c r="Y773" s="1"/>
      <c r="Z773" s="1"/>
      <c r="AA773" s="1"/>
      <c r="AB773" s="655"/>
      <c r="AC773" s="1"/>
      <c r="AD773" s="116"/>
      <c r="AL773" s="655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5"/>
      <c r="BZ773" s="656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5"/>
      <c r="DJ773" s="116"/>
    </row>
    <row r="774" spans="2:114" ht="15.75" customHeight="1" x14ac:dyDescent="0.25">
      <c r="B774" s="116"/>
      <c r="I774" s="655"/>
      <c r="K774" s="116"/>
      <c r="X774" s="1"/>
      <c r="Y774" s="1"/>
      <c r="Z774" s="1"/>
      <c r="AA774" s="1"/>
      <c r="AB774" s="655"/>
      <c r="AC774" s="1"/>
      <c r="AD774" s="116"/>
      <c r="AL774" s="655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5"/>
      <c r="BZ774" s="656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5"/>
      <c r="DJ774" s="116"/>
    </row>
    <row r="775" spans="2:114" ht="15.75" customHeight="1" x14ac:dyDescent="0.25">
      <c r="B775" s="116"/>
      <c r="I775" s="655"/>
      <c r="K775" s="116"/>
      <c r="X775" s="1"/>
      <c r="Y775" s="1"/>
      <c r="Z775" s="1"/>
      <c r="AA775" s="1"/>
      <c r="AB775" s="655"/>
      <c r="AC775" s="1"/>
      <c r="AD775" s="116"/>
      <c r="AL775" s="655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5"/>
      <c r="BZ775" s="656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5"/>
      <c r="DJ775" s="116"/>
    </row>
    <row r="776" spans="2:114" ht="15.75" customHeight="1" x14ac:dyDescent="0.25">
      <c r="B776" s="116"/>
      <c r="I776" s="655"/>
      <c r="K776" s="116"/>
      <c r="X776" s="1"/>
      <c r="Y776" s="1"/>
      <c r="Z776" s="1"/>
      <c r="AA776" s="1"/>
      <c r="AB776" s="655"/>
      <c r="AC776" s="1"/>
      <c r="AD776" s="116"/>
      <c r="AL776" s="655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5"/>
      <c r="BZ776" s="656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5"/>
      <c r="DJ776" s="116"/>
    </row>
    <row r="777" spans="2:114" ht="15.75" customHeight="1" x14ac:dyDescent="0.25">
      <c r="B777" s="116"/>
      <c r="I777" s="655"/>
      <c r="K777" s="116"/>
      <c r="X777" s="1"/>
      <c r="Y777" s="1"/>
      <c r="Z777" s="1"/>
      <c r="AA777" s="1"/>
      <c r="AB777" s="655"/>
      <c r="AC777" s="1"/>
      <c r="AD777" s="116"/>
      <c r="AL777" s="655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5"/>
      <c r="BZ777" s="656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5"/>
      <c r="DJ777" s="116"/>
    </row>
    <row r="778" spans="2:114" ht="15.75" customHeight="1" x14ac:dyDescent="0.25">
      <c r="B778" s="116"/>
      <c r="I778" s="655"/>
      <c r="K778" s="116"/>
      <c r="X778" s="1"/>
      <c r="Y778" s="1"/>
      <c r="Z778" s="1"/>
      <c r="AA778" s="1"/>
      <c r="AB778" s="655"/>
      <c r="AC778" s="1"/>
      <c r="AD778" s="116"/>
      <c r="AL778" s="655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5"/>
      <c r="BZ778" s="656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5"/>
      <c r="DJ778" s="116"/>
    </row>
    <row r="779" spans="2:114" ht="15.75" customHeight="1" x14ac:dyDescent="0.25">
      <c r="B779" s="116"/>
      <c r="I779" s="655"/>
      <c r="K779" s="116"/>
      <c r="X779" s="1"/>
      <c r="Y779" s="1"/>
      <c r="Z779" s="1"/>
      <c r="AA779" s="1"/>
      <c r="AB779" s="655"/>
      <c r="AC779" s="1"/>
      <c r="AD779" s="116"/>
      <c r="AL779" s="655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5"/>
      <c r="BZ779" s="656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5"/>
      <c r="DJ779" s="116"/>
    </row>
    <row r="780" spans="2:114" ht="15.75" customHeight="1" x14ac:dyDescent="0.25">
      <c r="B780" s="116"/>
      <c r="I780" s="655"/>
      <c r="K780" s="116"/>
      <c r="X780" s="1"/>
      <c r="Y780" s="1"/>
      <c r="Z780" s="1"/>
      <c r="AA780" s="1"/>
      <c r="AB780" s="655"/>
      <c r="AC780" s="1"/>
      <c r="AD780" s="116"/>
      <c r="AL780" s="655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5"/>
      <c r="BZ780" s="656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5"/>
      <c r="DJ780" s="116"/>
    </row>
    <row r="781" spans="2:114" ht="15.75" customHeight="1" x14ac:dyDescent="0.25">
      <c r="B781" s="116"/>
      <c r="I781" s="655"/>
      <c r="K781" s="116"/>
      <c r="X781" s="1"/>
      <c r="Y781" s="1"/>
      <c r="Z781" s="1"/>
      <c r="AA781" s="1"/>
      <c r="AB781" s="655"/>
      <c r="AC781" s="1"/>
      <c r="AD781" s="116"/>
      <c r="AL781" s="655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5"/>
      <c r="BZ781" s="656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5"/>
      <c r="DJ781" s="116"/>
    </row>
    <row r="782" spans="2:114" ht="15.75" customHeight="1" x14ac:dyDescent="0.25">
      <c r="B782" s="116"/>
      <c r="I782" s="655"/>
      <c r="K782" s="116"/>
      <c r="X782" s="1"/>
      <c r="Y782" s="1"/>
      <c r="Z782" s="1"/>
      <c r="AA782" s="1"/>
      <c r="AB782" s="655"/>
      <c r="AC782" s="1"/>
      <c r="AD782" s="116"/>
      <c r="AL782" s="655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5"/>
      <c r="BZ782" s="656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5"/>
      <c r="DJ782" s="116"/>
    </row>
    <row r="783" spans="2:114" ht="15.75" customHeight="1" x14ac:dyDescent="0.25">
      <c r="B783" s="116"/>
      <c r="I783" s="655"/>
      <c r="K783" s="116"/>
      <c r="X783" s="1"/>
      <c r="Y783" s="1"/>
      <c r="Z783" s="1"/>
      <c r="AA783" s="1"/>
      <c r="AB783" s="655"/>
      <c r="AC783" s="1"/>
      <c r="AD783" s="116"/>
      <c r="AL783" s="655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5"/>
      <c r="BZ783" s="656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5"/>
      <c r="DJ783" s="116"/>
    </row>
    <row r="784" spans="2:114" ht="15.75" customHeight="1" x14ac:dyDescent="0.25">
      <c r="B784" s="116"/>
      <c r="I784" s="655"/>
      <c r="K784" s="116"/>
      <c r="X784" s="1"/>
      <c r="Y784" s="1"/>
      <c r="Z784" s="1"/>
      <c r="AA784" s="1"/>
      <c r="AB784" s="655"/>
      <c r="AC784" s="1"/>
      <c r="AD784" s="116"/>
      <c r="AL784" s="655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5"/>
      <c r="BZ784" s="656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5"/>
      <c r="DJ784" s="116"/>
    </row>
    <row r="785" spans="2:114" ht="15.75" customHeight="1" x14ac:dyDescent="0.25">
      <c r="B785" s="116"/>
      <c r="I785" s="655"/>
      <c r="K785" s="116"/>
      <c r="X785" s="1"/>
      <c r="Y785" s="1"/>
      <c r="Z785" s="1"/>
      <c r="AA785" s="1"/>
      <c r="AB785" s="655"/>
      <c r="AC785" s="1"/>
      <c r="AD785" s="116"/>
      <c r="AL785" s="655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5"/>
      <c r="BZ785" s="656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5"/>
      <c r="DJ785" s="116"/>
    </row>
    <row r="786" spans="2:114" ht="15.75" customHeight="1" x14ac:dyDescent="0.25">
      <c r="B786" s="116"/>
      <c r="I786" s="655"/>
      <c r="K786" s="116"/>
      <c r="X786" s="1"/>
      <c r="Y786" s="1"/>
      <c r="Z786" s="1"/>
      <c r="AA786" s="1"/>
      <c r="AB786" s="655"/>
      <c r="AC786" s="1"/>
      <c r="AD786" s="116"/>
      <c r="AL786" s="655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5"/>
      <c r="BZ786" s="656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5"/>
      <c r="DJ786" s="116"/>
    </row>
    <row r="787" spans="2:114" ht="15.75" customHeight="1" x14ac:dyDescent="0.25">
      <c r="B787" s="116"/>
      <c r="I787" s="655"/>
      <c r="K787" s="116"/>
      <c r="X787" s="1"/>
      <c r="Y787" s="1"/>
      <c r="Z787" s="1"/>
      <c r="AA787" s="1"/>
      <c r="AB787" s="655"/>
      <c r="AC787" s="1"/>
      <c r="AD787" s="116"/>
      <c r="AL787" s="655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5"/>
      <c r="BZ787" s="656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5"/>
      <c r="DJ787" s="116"/>
    </row>
    <row r="788" spans="2:114" ht="15.75" customHeight="1" x14ac:dyDescent="0.25">
      <c r="B788" s="116"/>
      <c r="I788" s="655"/>
      <c r="K788" s="116"/>
      <c r="X788" s="1"/>
      <c r="Y788" s="1"/>
      <c r="Z788" s="1"/>
      <c r="AA788" s="1"/>
      <c r="AB788" s="655"/>
      <c r="AC788" s="1"/>
      <c r="AD788" s="116"/>
      <c r="AL788" s="655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5"/>
      <c r="BZ788" s="656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5"/>
      <c r="DJ788" s="116"/>
    </row>
    <row r="789" spans="2:114" ht="15.75" customHeight="1" x14ac:dyDescent="0.25">
      <c r="B789" s="116"/>
      <c r="I789" s="655"/>
      <c r="K789" s="116"/>
      <c r="X789" s="1"/>
      <c r="Y789" s="1"/>
      <c r="Z789" s="1"/>
      <c r="AA789" s="1"/>
      <c r="AB789" s="655"/>
      <c r="AC789" s="1"/>
      <c r="AD789" s="116"/>
      <c r="AL789" s="655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5"/>
      <c r="BZ789" s="656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5"/>
      <c r="DJ789" s="116"/>
    </row>
    <row r="790" spans="2:114" ht="15.75" customHeight="1" x14ac:dyDescent="0.25">
      <c r="B790" s="116"/>
      <c r="I790" s="655"/>
      <c r="K790" s="116"/>
      <c r="X790" s="1"/>
      <c r="Y790" s="1"/>
      <c r="Z790" s="1"/>
      <c r="AA790" s="1"/>
      <c r="AB790" s="655"/>
      <c r="AC790" s="1"/>
      <c r="AD790" s="116"/>
      <c r="AL790" s="655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5"/>
      <c r="BZ790" s="656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5"/>
      <c r="DJ790" s="116"/>
    </row>
    <row r="791" spans="2:114" ht="15.75" customHeight="1" x14ac:dyDescent="0.25">
      <c r="B791" s="116"/>
      <c r="I791" s="655"/>
      <c r="K791" s="116"/>
      <c r="X791" s="1"/>
      <c r="Y791" s="1"/>
      <c r="Z791" s="1"/>
      <c r="AA791" s="1"/>
      <c r="AB791" s="655"/>
      <c r="AC791" s="1"/>
      <c r="AD791" s="116"/>
      <c r="AL791" s="655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5"/>
      <c r="BZ791" s="656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5"/>
      <c r="DJ791" s="116"/>
    </row>
    <row r="792" spans="2:114" ht="15.75" customHeight="1" x14ac:dyDescent="0.25">
      <c r="B792" s="116"/>
      <c r="I792" s="655"/>
      <c r="K792" s="116"/>
      <c r="X792" s="1"/>
      <c r="Y792" s="1"/>
      <c r="Z792" s="1"/>
      <c r="AA792" s="1"/>
      <c r="AB792" s="655"/>
      <c r="AC792" s="1"/>
      <c r="AD792" s="116"/>
      <c r="AL792" s="655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5"/>
      <c r="BZ792" s="656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5"/>
      <c r="DJ792" s="116"/>
    </row>
    <row r="793" spans="2:114" ht="15.75" customHeight="1" x14ac:dyDescent="0.25">
      <c r="B793" s="116"/>
      <c r="I793" s="655"/>
      <c r="K793" s="116"/>
      <c r="X793" s="1"/>
      <c r="Y793" s="1"/>
      <c r="Z793" s="1"/>
      <c r="AA793" s="1"/>
      <c r="AB793" s="655"/>
      <c r="AC793" s="1"/>
      <c r="AD793" s="116"/>
      <c r="AL793" s="655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5"/>
      <c r="BZ793" s="656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5"/>
      <c r="DJ793" s="116"/>
    </row>
    <row r="794" spans="2:114" ht="15.75" customHeight="1" x14ac:dyDescent="0.25">
      <c r="B794" s="116"/>
      <c r="I794" s="655"/>
      <c r="K794" s="116"/>
      <c r="X794" s="1"/>
      <c r="Y794" s="1"/>
      <c r="Z794" s="1"/>
      <c r="AA794" s="1"/>
      <c r="AB794" s="655"/>
      <c r="AC794" s="1"/>
      <c r="AD794" s="116"/>
      <c r="AL794" s="655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5"/>
      <c r="BZ794" s="656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5"/>
      <c r="DJ794" s="116"/>
    </row>
    <row r="795" spans="2:114" ht="15.75" customHeight="1" x14ac:dyDescent="0.25">
      <c r="B795" s="116"/>
      <c r="I795" s="655"/>
      <c r="K795" s="116"/>
      <c r="X795" s="1"/>
      <c r="Y795" s="1"/>
      <c r="Z795" s="1"/>
      <c r="AA795" s="1"/>
      <c r="AB795" s="655"/>
      <c r="AC795" s="1"/>
      <c r="AD795" s="116"/>
      <c r="AL795" s="655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5"/>
      <c r="BZ795" s="656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5"/>
      <c r="DJ795" s="116"/>
    </row>
    <row r="796" spans="2:114" ht="15.75" customHeight="1" x14ac:dyDescent="0.25">
      <c r="B796" s="116"/>
      <c r="I796" s="655"/>
      <c r="K796" s="116"/>
      <c r="X796" s="1"/>
      <c r="Y796" s="1"/>
      <c r="Z796" s="1"/>
      <c r="AA796" s="1"/>
      <c r="AB796" s="655"/>
      <c r="AC796" s="1"/>
      <c r="AD796" s="116"/>
      <c r="AL796" s="655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5"/>
      <c r="BZ796" s="656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5"/>
      <c r="DJ796" s="116"/>
    </row>
    <row r="797" spans="2:114" ht="15.75" customHeight="1" x14ac:dyDescent="0.25">
      <c r="B797" s="116"/>
      <c r="I797" s="655"/>
      <c r="K797" s="116"/>
      <c r="X797" s="1"/>
      <c r="Y797" s="1"/>
      <c r="Z797" s="1"/>
      <c r="AA797" s="1"/>
      <c r="AB797" s="655"/>
      <c r="AC797" s="1"/>
      <c r="AD797" s="116"/>
      <c r="AL797" s="655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5"/>
      <c r="BZ797" s="656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5"/>
      <c r="DJ797" s="116"/>
    </row>
    <row r="798" spans="2:114" ht="15.75" customHeight="1" x14ac:dyDescent="0.25">
      <c r="B798" s="116"/>
      <c r="I798" s="655"/>
      <c r="K798" s="116"/>
      <c r="X798" s="1"/>
      <c r="Y798" s="1"/>
      <c r="Z798" s="1"/>
      <c r="AA798" s="1"/>
      <c r="AB798" s="655"/>
      <c r="AC798" s="1"/>
      <c r="AD798" s="116"/>
      <c r="AL798" s="655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5"/>
      <c r="BZ798" s="656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5"/>
      <c r="DJ798" s="116"/>
    </row>
    <row r="799" spans="2:114" ht="15.75" customHeight="1" x14ac:dyDescent="0.25">
      <c r="B799" s="116"/>
      <c r="I799" s="655"/>
      <c r="K799" s="116"/>
      <c r="X799" s="1"/>
      <c r="Y799" s="1"/>
      <c r="Z799" s="1"/>
      <c r="AA799" s="1"/>
      <c r="AB799" s="655"/>
      <c r="AC799" s="1"/>
      <c r="AD799" s="116"/>
      <c r="AL799" s="655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5"/>
      <c r="BZ799" s="656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5"/>
      <c r="DJ799" s="116"/>
    </row>
    <row r="800" spans="2:114" ht="15.75" customHeight="1" x14ac:dyDescent="0.25">
      <c r="B800" s="116"/>
      <c r="I800" s="655"/>
      <c r="K800" s="116"/>
      <c r="X800" s="1"/>
      <c r="Y800" s="1"/>
      <c r="Z800" s="1"/>
      <c r="AA800" s="1"/>
      <c r="AB800" s="655"/>
      <c r="AC800" s="1"/>
      <c r="AD800" s="116"/>
      <c r="AL800" s="655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5"/>
      <c r="BZ800" s="656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5"/>
      <c r="DJ800" s="116"/>
    </row>
    <row r="801" spans="2:114" ht="15.75" customHeight="1" x14ac:dyDescent="0.25">
      <c r="B801" s="116"/>
      <c r="I801" s="655"/>
      <c r="K801" s="116"/>
      <c r="X801" s="1"/>
      <c r="Y801" s="1"/>
      <c r="Z801" s="1"/>
      <c r="AA801" s="1"/>
      <c r="AB801" s="655"/>
      <c r="AC801" s="1"/>
      <c r="AD801" s="116"/>
      <c r="AL801" s="655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5"/>
      <c r="BZ801" s="656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5"/>
      <c r="DJ801" s="116"/>
    </row>
    <row r="802" spans="2:114" ht="15.75" customHeight="1" x14ac:dyDescent="0.25">
      <c r="B802" s="116"/>
      <c r="I802" s="655"/>
      <c r="K802" s="116"/>
      <c r="X802" s="1"/>
      <c r="Y802" s="1"/>
      <c r="Z802" s="1"/>
      <c r="AA802" s="1"/>
      <c r="AB802" s="655"/>
      <c r="AC802" s="1"/>
      <c r="AD802" s="116"/>
      <c r="AL802" s="655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5"/>
      <c r="BZ802" s="656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5"/>
      <c r="DJ802" s="116"/>
    </row>
    <row r="803" spans="2:114" ht="15.75" customHeight="1" x14ac:dyDescent="0.25">
      <c r="B803" s="116"/>
      <c r="I803" s="655"/>
      <c r="K803" s="116"/>
      <c r="X803" s="1"/>
      <c r="Y803" s="1"/>
      <c r="Z803" s="1"/>
      <c r="AA803" s="1"/>
      <c r="AB803" s="655"/>
      <c r="AC803" s="1"/>
      <c r="AD803" s="116"/>
      <c r="AL803" s="655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5"/>
      <c r="BZ803" s="656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5"/>
      <c r="DJ803" s="116"/>
    </row>
    <row r="804" spans="2:114" ht="15.75" customHeight="1" x14ac:dyDescent="0.25">
      <c r="B804" s="116"/>
      <c r="I804" s="655"/>
      <c r="K804" s="116"/>
      <c r="X804" s="1"/>
      <c r="Y804" s="1"/>
      <c r="Z804" s="1"/>
      <c r="AA804" s="1"/>
      <c r="AB804" s="655"/>
      <c r="AC804" s="1"/>
      <c r="AD804" s="116"/>
      <c r="AL804" s="655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5"/>
      <c r="BZ804" s="656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5"/>
      <c r="DJ804" s="116"/>
    </row>
    <row r="805" spans="2:114" ht="15.75" customHeight="1" x14ac:dyDescent="0.25">
      <c r="B805" s="116"/>
      <c r="I805" s="655"/>
      <c r="K805" s="116"/>
      <c r="X805" s="1"/>
      <c r="Y805" s="1"/>
      <c r="Z805" s="1"/>
      <c r="AA805" s="1"/>
      <c r="AB805" s="655"/>
      <c r="AC805" s="1"/>
      <c r="AD805" s="116"/>
      <c r="AL805" s="655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5"/>
      <c r="BZ805" s="656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5"/>
      <c r="DJ805" s="116"/>
    </row>
    <row r="806" spans="2:114" ht="15.75" customHeight="1" x14ac:dyDescent="0.25">
      <c r="B806" s="116"/>
      <c r="I806" s="655"/>
      <c r="K806" s="116"/>
      <c r="X806" s="1"/>
      <c r="Y806" s="1"/>
      <c r="Z806" s="1"/>
      <c r="AA806" s="1"/>
      <c r="AB806" s="655"/>
      <c r="AC806" s="1"/>
      <c r="AD806" s="116"/>
      <c r="AL806" s="655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5"/>
      <c r="BZ806" s="656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5"/>
      <c r="DJ806" s="116"/>
    </row>
    <row r="807" spans="2:114" ht="15.75" customHeight="1" x14ac:dyDescent="0.25">
      <c r="B807" s="116"/>
      <c r="I807" s="655"/>
      <c r="K807" s="116"/>
      <c r="X807" s="1"/>
      <c r="Y807" s="1"/>
      <c r="Z807" s="1"/>
      <c r="AA807" s="1"/>
      <c r="AB807" s="655"/>
      <c r="AC807" s="1"/>
      <c r="AD807" s="116"/>
      <c r="AL807" s="655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5"/>
      <c r="BZ807" s="656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5"/>
      <c r="DJ807" s="116"/>
    </row>
    <row r="808" spans="2:114" ht="15.75" customHeight="1" x14ac:dyDescent="0.25">
      <c r="B808" s="116"/>
      <c r="I808" s="655"/>
      <c r="K808" s="116"/>
      <c r="X808" s="1"/>
      <c r="Y808" s="1"/>
      <c r="Z808" s="1"/>
      <c r="AA808" s="1"/>
      <c r="AB808" s="655"/>
      <c r="AC808" s="1"/>
      <c r="AD808" s="116"/>
      <c r="AL808" s="655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5"/>
      <c r="BZ808" s="656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5"/>
      <c r="DJ808" s="116"/>
    </row>
    <row r="809" spans="2:114" ht="15.75" customHeight="1" x14ac:dyDescent="0.25">
      <c r="B809" s="116"/>
      <c r="I809" s="655"/>
      <c r="K809" s="116"/>
      <c r="X809" s="1"/>
      <c r="Y809" s="1"/>
      <c r="Z809" s="1"/>
      <c r="AA809" s="1"/>
      <c r="AB809" s="655"/>
      <c r="AC809" s="1"/>
      <c r="AD809" s="116"/>
      <c r="AL809" s="655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5"/>
      <c r="BZ809" s="656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5"/>
      <c r="DJ809" s="116"/>
    </row>
    <row r="810" spans="2:114" ht="15.75" customHeight="1" x14ac:dyDescent="0.25">
      <c r="B810" s="116"/>
      <c r="I810" s="655"/>
      <c r="K810" s="116"/>
      <c r="X810" s="1"/>
      <c r="Y810" s="1"/>
      <c r="Z810" s="1"/>
      <c r="AA810" s="1"/>
      <c r="AB810" s="655"/>
      <c r="AC810" s="1"/>
      <c r="AD810" s="116"/>
      <c r="AL810" s="655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5"/>
      <c r="BZ810" s="656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5"/>
      <c r="DJ810" s="116"/>
    </row>
    <row r="811" spans="2:114" ht="15.75" customHeight="1" x14ac:dyDescent="0.25">
      <c r="B811" s="116"/>
      <c r="I811" s="655"/>
      <c r="K811" s="116"/>
      <c r="X811" s="1"/>
      <c r="Y811" s="1"/>
      <c r="Z811" s="1"/>
      <c r="AA811" s="1"/>
      <c r="AB811" s="655"/>
      <c r="AC811" s="1"/>
      <c r="AD811" s="116"/>
      <c r="AL811" s="655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5"/>
      <c r="BZ811" s="656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5"/>
      <c r="DJ811" s="116"/>
    </row>
    <row r="812" spans="2:114" ht="15.75" customHeight="1" x14ac:dyDescent="0.25">
      <c r="B812" s="116"/>
      <c r="I812" s="655"/>
      <c r="K812" s="116"/>
      <c r="X812" s="1"/>
      <c r="Y812" s="1"/>
      <c r="Z812" s="1"/>
      <c r="AA812" s="1"/>
      <c r="AB812" s="655"/>
      <c r="AC812" s="1"/>
      <c r="AD812" s="116"/>
      <c r="AL812" s="655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5"/>
      <c r="BZ812" s="656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5"/>
      <c r="DJ812" s="116"/>
    </row>
    <row r="813" spans="2:114" ht="15.75" customHeight="1" x14ac:dyDescent="0.25">
      <c r="B813" s="116"/>
      <c r="I813" s="655"/>
      <c r="K813" s="116"/>
      <c r="X813" s="1"/>
      <c r="Y813" s="1"/>
      <c r="Z813" s="1"/>
      <c r="AA813" s="1"/>
      <c r="AB813" s="655"/>
      <c r="AC813" s="1"/>
      <c r="AD813" s="116"/>
      <c r="AL813" s="655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5"/>
      <c r="BZ813" s="656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5"/>
      <c r="DJ813" s="116"/>
    </row>
    <row r="814" spans="2:114" ht="15.75" customHeight="1" x14ac:dyDescent="0.25">
      <c r="B814" s="116"/>
      <c r="I814" s="655"/>
      <c r="K814" s="116"/>
      <c r="X814" s="1"/>
      <c r="Y814" s="1"/>
      <c r="Z814" s="1"/>
      <c r="AA814" s="1"/>
      <c r="AB814" s="655"/>
      <c r="AC814" s="1"/>
      <c r="AD814" s="116"/>
      <c r="AL814" s="655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5"/>
      <c r="BZ814" s="656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5"/>
      <c r="DJ814" s="116"/>
    </row>
    <row r="815" spans="2:114" ht="15.75" customHeight="1" x14ac:dyDescent="0.25">
      <c r="B815" s="116"/>
      <c r="I815" s="655"/>
      <c r="K815" s="116"/>
      <c r="X815" s="1"/>
      <c r="Y815" s="1"/>
      <c r="Z815" s="1"/>
      <c r="AA815" s="1"/>
      <c r="AB815" s="655"/>
      <c r="AC815" s="1"/>
      <c r="AD815" s="116"/>
      <c r="AL815" s="655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5"/>
      <c r="BZ815" s="656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5"/>
      <c r="DJ815" s="116"/>
    </row>
    <row r="816" spans="2:114" ht="15.75" customHeight="1" x14ac:dyDescent="0.25">
      <c r="B816" s="116"/>
      <c r="I816" s="655"/>
      <c r="K816" s="116"/>
      <c r="X816" s="1"/>
      <c r="Y816" s="1"/>
      <c r="Z816" s="1"/>
      <c r="AA816" s="1"/>
      <c r="AB816" s="655"/>
      <c r="AC816" s="1"/>
      <c r="AD816" s="116"/>
      <c r="AL816" s="655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5"/>
      <c r="BZ816" s="656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5"/>
      <c r="DJ816" s="116"/>
    </row>
    <row r="817" spans="2:114" ht="15.75" customHeight="1" x14ac:dyDescent="0.25">
      <c r="B817" s="116"/>
      <c r="I817" s="655"/>
      <c r="K817" s="116"/>
      <c r="X817" s="1"/>
      <c r="Y817" s="1"/>
      <c r="Z817" s="1"/>
      <c r="AA817" s="1"/>
      <c r="AB817" s="655"/>
      <c r="AC817" s="1"/>
      <c r="AD817" s="116"/>
      <c r="AL817" s="655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5"/>
      <c r="BZ817" s="656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5"/>
      <c r="DJ817" s="116"/>
    </row>
    <row r="818" spans="2:114" ht="15.75" customHeight="1" x14ac:dyDescent="0.25">
      <c r="B818" s="116"/>
      <c r="I818" s="655"/>
      <c r="K818" s="116"/>
      <c r="X818" s="1"/>
      <c r="Y818" s="1"/>
      <c r="Z818" s="1"/>
      <c r="AA818" s="1"/>
      <c r="AB818" s="655"/>
      <c r="AC818" s="1"/>
      <c r="AD818" s="116"/>
      <c r="AL818" s="655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5"/>
      <c r="BZ818" s="656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5"/>
      <c r="DJ818" s="116"/>
    </row>
    <row r="819" spans="2:114" ht="15.75" customHeight="1" x14ac:dyDescent="0.25">
      <c r="B819" s="116"/>
      <c r="I819" s="655"/>
      <c r="K819" s="116"/>
      <c r="X819" s="1"/>
      <c r="Y819" s="1"/>
      <c r="Z819" s="1"/>
      <c r="AA819" s="1"/>
      <c r="AB819" s="655"/>
      <c r="AC819" s="1"/>
      <c r="AD819" s="116"/>
      <c r="AL819" s="655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5"/>
      <c r="BZ819" s="656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5"/>
      <c r="DJ819" s="116"/>
    </row>
    <row r="820" spans="2:114" ht="15.75" customHeight="1" x14ac:dyDescent="0.25">
      <c r="B820" s="116"/>
      <c r="I820" s="655"/>
      <c r="K820" s="116"/>
      <c r="X820" s="1"/>
      <c r="Y820" s="1"/>
      <c r="Z820" s="1"/>
      <c r="AA820" s="1"/>
      <c r="AB820" s="655"/>
      <c r="AC820" s="1"/>
      <c r="AD820" s="116"/>
      <c r="AL820" s="655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5"/>
      <c r="BZ820" s="656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5"/>
      <c r="DJ820" s="116"/>
    </row>
    <row r="821" spans="2:114" ht="15.75" customHeight="1" x14ac:dyDescent="0.25">
      <c r="B821" s="116"/>
      <c r="I821" s="655"/>
      <c r="K821" s="116"/>
      <c r="X821" s="1"/>
      <c r="Y821" s="1"/>
      <c r="Z821" s="1"/>
      <c r="AA821" s="1"/>
      <c r="AB821" s="655"/>
      <c r="AC821" s="1"/>
      <c r="AD821" s="116"/>
      <c r="AL821" s="655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5"/>
      <c r="BZ821" s="656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5"/>
      <c r="DJ821" s="116"/>
    </row>
    <row r="822" spans="2:114" ht="15.75" customHeight="1" x14ac:dyDescent="0.25">
      <c r="B822" s="116"/>
      <c r="I822" s="655"/>
      <c r="K822" s="116"/>
      <c r="X822" s="1"/>
      <c r="Y822" s="1"/>
      <c r="Z822" s="1"/>
      <c r="AA822" s="1"/>
      <c r="AB822" s="655"/>
      <c r="AC822" s="1"/>
      <c r="AD822" s="116"/>
      <c r="AL822" s="655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5"/>
      <c r="BZ822" s="656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5"/>
      <c r="DJ822" s="116"/>
    </row>
    <row r="823" spans="2:114" ht="15.75" customHeight="1" x14ac:dyDescent="0.25">
      <c r="B823" s="116"/>
      <c r="I823" s="655"/>
      <c r="K823" s="116"/>
      <c r="X823" s="1"/>
      <c r="Y823" s="1"/>
      <c r="Z823" s="1"/>
      <c r="AA823" s="1"/>
      <c r="AB823" s="655"/>
      <c r="AC823" s="1"/>
      <c r="AD823" s="116"/>
      <c r="AL823" s="655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5"/>
      <c r="BZ823" s="656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5"/>
      <c r="DJ823" s="116"/>
    </row>
    <row r="824" spans="2:114" ht="15.75" customHeight="1" x14ac:dyDescent="0.25">
      <c r="B824" s="116"/>
      <c r="I824" s="655"/>
      <c r="K824" s="116"/>
      <c r="X824" s="1"/>
      <c r="Y824" s="1"/>
      <c r="Z824" s="1"/>
      <c r="AA824" s="1"/>
      <c r="AB824" s="655"/>
      <c r="AC824" s="1"/>
      <c r="AD824" s="116"/>
      <c r="AL824" s="655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5"/>
      <c r="BZ824" s="656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5"/>
      <c r="DJ824" s="116"/>
    </row>
    <row r="825" spans="2:114" ht="15.75" customHeight="1" x14ac:dyDescent="0.25">
      <c r="B825" s="116"/>
      <c r="I825" s="655"/>
      <c r="K825" s="116"/>
      <c r="X825" s="1"/>
      <c r="Y825" s="1"/>
      <c r="Z825" s="1"/>
      <c r="AA825" s="1"/>
      <c r="AB825" s="655"/>
      <c r="AC825" s="1"/>
      <c r="AD825" s="116"/>
      <c r="AL825" s="655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5"/>
      <c r="BZ825" s="656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5"/>
      <c r="DJ825" s="116"/>
    </row>
    <row r="826" spans="2:114" ht="15.75" customHeight="1" x14ac:dyDescent="0.25">
      <c r="B826" s="116"/>
      <c r="I826" s="655"/>
      <c r="K826" s="116"/>
      <c r="X826" s="1"/>
      <c r="Y826" s="1"/>
      <c r="Z826" s="1"/>
      <c r="AA826" s="1"/>
      <c r="AB826" s="655"/>
      <c r="AC826" s="1"/>
      <c r="AD826" s="116"/>
      <c r="AL826" s="655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5"/>
      <c r="BZ826" s="656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5"/>
      <c r="DJ826" s="116"/>
    </row>
    <row r="827" spans="2:114" ht="15.75" customHeight="1" x14ac:dyDescent="0.25">
      <c r="B827" s="116"/>
      <c r="I827" s="655"/>
      <c r="K827" s="116"/>
      <c r="X827" s="1"/>
      <c r="Y827" s="1"/>
      <c r="Z827" s="1"/>
      <c r="AA827" s="1"/>
      <c r="AB827" s="655"/>
      <c r="AC827" s="1"/>
      <c r="AD827" s="116"/>
      <c r="AL827" s="655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5"/>
      <c r="BZ827" s="656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5"/>
      <c r="DJ827" s="116"/>
    </row>
    <row r="828" spans="2:114" ht="15.75" customHeight="1" x14ac:dyDescent="0.25">
      <c r="B828" s="116"/>
      <c r="I828" s="655"/>
      <c r="K828" s="116"/>
      <c r="X828" s="1"/>
      <c r="Y828" s="1"/>
      <c r="Z828" s="1"/>
      <c r="AA828" s="1"/>
      <c r="AB828" s="655"/>
      <c r="AC828" s="1"/>
      <c r="AD828" s="116"/>
      <c r="AL828" s="655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5"/>
      <c r="BZ828" s="656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5"/>
      <c r="DJ828" s="116"/>
    </row>
    <row r="829" spans="2:114" ht="15.75" customHeight="1" x14ac:dyDescent="0.25">
      <c r="B829" s="116"/>
      <c r="I829" s="655"/>
      <c r="K829" s="116"/>
      <c r="X829" s="1"/>
      <c r="Y829" s="1"/>
      <c r="Z829" s="1"/>
      <c r="AA829" s="1"/>
      <c r="AB829" s="655"/>
      <c r="AC829" s="1"/>
      <c r="AD829" s="116"/>
      <c r="AL829" s="655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5"/>
      <c r="BZ829" s="656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5"/>
      <c r="DJ829" s="116"/>
    </row>
    <row r="830" spans="2:114" ht="15.75" customHeight="1" x14ac:dyDescent="0.25">
      <c r="B830" s="116"/>
      <c r="I830" s="655"/>
      <c r="K830" s="116"/>
      <c r="X830" s="1"/>
      <c r="Y830" s="1"/>
      <c r="Z830" s="1"/>
      <c r="AA830" s="1"/>
      <c r="AB830" s="655"/>
      <c r="AC830" s="1"/>
      <c r="AD830" s="116"/>
      <c r="AL830" s="655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5"/>
      <c r="BZ830" s="656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5"/>
      <c r="DJ830" s="116"/>
    </row>
    <row r="831" spans="2:114" ht="15.75" customHeight="1" x14ac:dyDescent="0.25">
      <c r="B831" s="116"/>
      <c r="I831" s="655"/>
      <c r="K831" s="116"/>
      <c r="X831" s="1"/>
      <c r="Y831" s="1"/>
      <c r="Z831" s="1"/>
      <c r="AA831" s="1"/>
      <c r="AB831" s="655"/>
      <c r="AC831" s="1"/>
      <c r="AD831" s="116"/>
      <c r="AL831" s="655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5"/>
      <c r="BZ831" s="656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5"/>
      <c r="DJ831" s="116"/>
    </row>
    <row r="832" spans="2:114" ht="15.75" customHeight="1" x14ac:dyDescent="0.25">
      <c r="B832" s="116"/>
      <c r="I832" s="655"/>
      <c r="K832" s="116"/>
      <c r="X832" s="1"/>
      <c r="Y832" s="1"/>
      <c r="Z832" s="1"/>
      <c r="AA832" s="1"/>
      <c r="AB832" s="655"/>
      <c r="AC832" s="1"/>
      <c r="AD832" s="116"/>
      <c r="AL832" s="655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5"/>
      <c r="BZ832" s="656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5"/>
      <c r="DJ832" s="116"/>
    </row>
    <row r="833" spans="2:114" ht="15.75" customHeight="1" x14ac:dyDescent="0.25">
      <c r="B833" s="116"/>
      <c r="I833" s="655"/>
      <c r="K833" s="116"/>
      <c r="X833" s="1"/>
      <c r="Y833" s="1"/>
      <c r="Z833" s="1"/>
      <c r="AA833" s="1"/>
      <c r="AB833" s="655"/>
      <c r="AC833" s="1"/>
      <c r="AD833" s="116"/>
      <c r="AL833" s="655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5"/>
      <c r="BZ833" s="656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5"/>
      <c r="DJ833" s="116"/>
    </row>
    <row r="834" spans="2:114" ht="15.75" customHeight="1" x14ac:dyDescent="0.25">
      <c r="B834" s="116"/>
      <c r="I834" s="655"/>
      <c r="K834" s="116"/>
      <c r="X834" s="1"/>
      <c r="Y834" s="1"/>
      <c r="Z834" s="1"/>
      <c r="AA834" s="1"/>
      <c r="AB834" s="655"/>
      <c r="AC834" s="1"/>
      <c r="AD834" s="116"/>
      <c r="AL834" s="655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5"/>
      <c r="BZ834" s="656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5"/>
      <c r="DJ834" s="116"/>
    </row>
    <row r="835" spans="2:114" ht="15.75" customHeight="1" x14ac:dyDescent="0.25">
      <c r="B835" s="116"/>
      <c r="I835" s="655"/>
      <c r="K835" s="116"/>
      <c r="X835" s="1"/>
      <c r="Y835" s="1"/>
      <c r="Z835" s="1"/>
      <c r="AA835" s="1"/>
      <c r="AB835" s="655"/>
      <c r="AC835" s="1"/>
      <c r="AD835" s="116"/>
      <c r="AL835" s="655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5"/>
      <c r="BZ835" s="656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5"/>
      <c r="DJ835" s="116"/>
    </row>
    <row r="836" spans="2:114" ht="15.75" customHeight="1" x14ac:dyDescent="0.25">
      <c r="B836" s="116"/>
      <c r="I836" s="655"/>
      <c r="K836" s="116"/>
      <c r="X836" s="1"/>
      <c r="Y836" s="1"/>
      <c r="Z836" s="1"/>
      <c r="AA836" s="1"/>
      <c r="AB836" s="655"/>
      <c r="AC836" s="1"/>
      <c r="AD836" s="116"/>
      <c r="AL836" s="655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5"/>
      <c r="BZ836" s="656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5"/>
      <c r="DJ836" s="116"/>
    </row>
    <row r="837" spans="2:114" ht="15.75" customHeight="1" x14ac:dyDescent="0.25">
      <c r="B837" s="116"/>
      <c r="I837" s="655"/>
      <c r="K837" s="116"/>
      <c r="X837" s="1"/>
      <c r="Y837" s="1"/>
      <c r="Z837" s="1"/>
      <c r="AA837" s="1"/>
      <c r="AB837" s="655"/>
      <c r="AC837" s="1"/>
      <c r="AD837" s="116"/>
      <c r="AL837" s="655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5"/>
      <c r="BZ837" s="656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5"/>
      <c r="DJ837" s="116"/>
    </row>
    <row r="838" spans="2:114" ht="15.75" customHeight="1" x14ac:dyDescent="0.25">
      <c r="B838" s="116"/>
      <c r="I838" s="655"/>
      <c r="K838" s="116"/>
      <c r="X838" s="1"/>
      <c r="Y838" s="1"/>
      <c r="Z838" s="1"/>
      <c r="AA838" s="1"/>
      <c r="AB838" s="655"/>
      <c r="AC838" s="1"/>
      <c r="AD838" s="116"/>
      <c r="AL838" s="655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5"/>
      <c r="BZ838" s="656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5"/>
      <c r="DJ838" s="116"/>
    </row>
    <row r="839" spans="2:114" ht="15.75" customHeight="1" x14ac:dyDescent="0.25">
      <c r="B839" s="116"/>
      <c r="I839" s="655"/>
      <c r="K839" s="116"/>
      <c r="X839" s="1"/>
      <c r="Y839" s="1"/>
      <c r="Z839" s="1"/>
      <c r="AA839" s="1"/>
      <c r="AB839" s="655"/>
      <c r="AC839" s="1"/>
      <c r="AD839" s="116"/>
      <c r="AL839" s="655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5"/>
      <c r="BZ839" s="656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5"/>
      <c r="DJ839" s="116"/>
    </row>
    <row r="840" spans="2:114" ht="15.75" customHeight="1" x14ac:dyDescent="0.25">
      <c r="B840" s="116"/>
      <c r="I840" s="655"/>
      <c r="K840" s="116"/>
      <c r="X840" s="1"/>
      <c r="Y840" s="1"/>
      <c r="Z840" s="1"/>
      <c r="AA840" s="1"/>
      <c r="AB840" s="655"/>
      <c r="AC840" s="1"/>
      <c r="AD840" s="116"/>
      <c r="AL840" s="655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5"/>
      <c r="BZ840" s="656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5"/>
      <c r="DJ840" s="116"/>
    </row>
    <row r="841" spans="2:114" ht="15.75" customHeight="1" x14ac:dyDescent="0.25">
      <c r="B841" s="116"/>
      <c r="I841" s="655"/>
      <c r="K841" s="116"/>
      <c r="X841" s="1"/>
      <c r="Y841" s="1"/>
      <c r="Z841" s="1"/>
      <c r="AA841" s="1"/>
      <c r="AB841" s="655"/>
      <c r="AC841" s="1"/>
      <c r="AD841" s="116"/>
      <c r="AL841" s="655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5"/>
      <c r="BZ841" s="656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5"/>
      <c r="DJ841" s="116"/>
    </row>
    <row r="842" spans="2:114" ht="15.75" customHeight="1" x14ac:dyDescent="0.25">
      <c r="B842" s="116"/>
      <c r="I842" s="655"/>
      <c r="K842" s="116"/>
      <c r="X842" s="1"/>
      <c r="Y842" s="1"/>
      <c r="Z842" s="1"/>
      <c r="AA842" s="1"/>
      <c r="AB842" s="655"/>
      <c r="AC842" s="1"/>
      <c r="AD842" s="116"/>
      <c r="AL842" s="655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5"/>
      <c r="BZ842" s="656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5"/>
      <c r="DJ842" s="116"/>
    </row>
    <row r="843" spans="2:114" ht="15.75" customHeight="1" x14ac:dyDescent="0.25">
      <c r="B843" s="116"/>
      <c r="I843" s="655"/>
      <c r="K843" s="116"/>
      <c r="X843" s="1"/>
      <c r="Y843" s="1"/>
      <c r="Z843" s="1"/>
      <c r="AA843" s="1"/>
      <c r="AB843" s="655"/>
      <c r="AC843" s="1"/>
      <c r="AD843" s="116"/>
      <c r="AL843" s="655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5"/>
      <c r="BZ843" s="656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5"/>
      <c r="DJ843" s="116"/>
    </row>
    <row r="844" spans="2:114" ht="15.75" customHeight="1" x14ac:dyDescent="0.25">
      <c r="B844" s="116"/>
      <c r="I844" s="655"/>
      <c r="K844" s="116"/>
      <c r="X844" s="1"/>
      <c r="Y844" s="1"/>
      <c r="Z844" s="1"/>
      <c r="AA844" s="1"/>
      <c r="AB844" s="655"/>
      <c r="AC844" s="1"/>
      <c r="AD844" s="116"/>
      <c r="AL844" s="655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5"/>
      <c r="BZ844" s="656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5"/>
      <c r="DJ844" s="116"/>
    </row>
    <row r="845" spans="2:114" ht="15.75" customHeight="1" x14ac:dyDescent="0.25">
      <c r="B845" s="116"/>
      <c r="I845" s="655"/>
      <c r="K845" s="116"/>
      <c r="X845" s="1"/>
      <c r="Y845" s="1"/>
      <c r="Z845" s="1"/>
      <c r="AA845" s="1"/>
      <c r="AB845" s="655"/>
      <c r="AC845" s="1"/>
      <c r="AD845" s="116"/>
      <c r="AL845" s="655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5"/>
      <c r="BZ845" s="656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5"/>
      <c r="DJ845" s="116"/>
    </row>
    <row r="846" spans="2:114" ht="15.75" customHeight="1" x14ac:dyDescent="0.25">
      <c r="B846" s="116"/>
      <c r="I846" s="655"/>
      <c r="K846" s="116"/>
      <c r="X846" s="1"/>
      <c r="Y846" s="1"/>
      <c r="Z846" s="1"/>
      <c r="AA846" s="1"/>
      <c r="AB846" s="655"/>
      <c r="AC846" s="1"/>
      <c r="AD846" s="116"/>
      <c r="AL846" s="655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5"/>
      <c r="BZ846" s="656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5"/>
      <c r="DJ846" s="116"/>
    </row>
    <row r="847" spans="2:114" ht="15.75" customHeight="1" x14ac:dyDescent="0.25">
      <c r="B847" s="116"/>
      <c r="I847" s="655"/>
      <c r="K847" s="116"/>
      <c r="X847" s="1"/>
      <c r="Y847" s="1"/>
      <c r="Z847" s="1"/>
      <c r="AA847" s="1"/>
      <c r="AB847" s="655"/>
      <c r="AC847" s="1"/>
      <c r="AD847" s="116"/>
      <c r="AL847" s="655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5"/>
      <c r="BZ847" s="656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5"/>
      <c r="DJ847" s="116"/>
    </row>
    <row r="848" spans="2:114" ht="15.75" customHeight="1" x14ac:dyDescent="0.25">
      <c r="B848" s="116"/>
      <c r="I848" s="655"/>
      <c r="K848" s="116"/>
      <c r="X848" s="1"/>
      <c r="Y848" s="1"/>
      <c r="Z848" s="1"/>
      <c r="AA848" s="1"/>
      <c r="AB848" s="655"/>
      <c r="AC848" s="1"/>
      <c r="AD848" s="116"/>
      <c r="AL848" s="655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5"/>
      <c r="BZ848" s="656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5"/>
      <c r="DJ848" s="116"/>
    </row>
    <row r="849" spans="2:114" ht="15.75" customHeight="1" x14ac:dyDescent="0.25">
      <c r="B849" s="116"/>
      <c r="I849" s="655"/>
      <c r="K849" s="116"/>
      <c r="X849" s="1"/>
      <c r="Y849" s="1"/>
      <c r="Z849" s="1"/>
      <c r="AA849" s="1"/>
      <c r="AB849" s="655"/>
      <c r="AC849" s="1"/>
      <c r="AD849" s="116"/>
      <c r="AL849" s="655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5"/>
      <c r="BZ849" s="656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5"/>
      <c r="DJ849" s="116"/>
    </row>
    <row r="850" spans="2:114" ht="15.75" customHeight="1" x14ac:dyDescent="0.25">
      <c r="B850" s="116"/>
      <c r="I850" s="655"/>
      <c r="K850" s="116"/>
      <c r="X850" s="1"/>
      <c r="Y850" s="1"/>
      <c r="Z850" s="1"/>
      <c r="AA850" s="1"/>
      <c r="AB850" s="655"/>
      <c r="AC850" s="1"/>
      <c r="AD850" s="116"/>
      <c r="AL850" s="655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5"/>
      <c r="BZ850" s="656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5"/>
      <c r="DJ850" s="116"/>
    </row>
    <row r="851" spans="2:114" ht="15.75" customHeight="1" x14ac:dyDescent="0.25">
      <c r="B851" s="116"/>
      <c r="I851" s="655"/>
      <c r="K851" s="116"/>
      <c r="X851" s="1"/>
      <c r="Y851" s="1"/>
      <c r="Z851" s="1"/>
      <c r="AA851" s="1"/>
      <c r="AB851" s="655"/>
      <c r="AC851" s="1"/>
      <c r="AD851" s="116"/>
      <c r="AL851" s="655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5"/>
      <c r="BZ851" s="656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5"/>
      <c r="DJ851" s="116"/>
    </row>
    <row r="852" spans="2:114" ht="15.75" customHeight="1" x14ac:dyDescent="0.25">
      <c r="B852" s="116"/>
      <c r="I852" s="655"/>
      <c r="K852" s="116"/>
      <c r="X852" s="1"/>
      <c r="Y852" s="1"/>
      <c r="Z852" s="1"/>
      <c r="AA852" s="1"/>
      <c r="AB852" s="655"/>
      <c r="AC852" s="1"/>
      <c r="AD852" s="116"/>
      <c r="AL852" s="655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5"/>
      <c r="BZ852" s="656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5"/>
      <c r="DJ852" s="116"/>
    </row>
    <row r="853" spans="2:114" ht="15.75" customHeight="1" x14ac:dyDescent="0.25">
      <c r="B853" s="116"/>
      <c r="I853" s="655"/>
      <c r="K853" s="116"/>
      <c r="X853" s="1"/>
      <c r="Y853" s="1"/>
      <c r="Z853" s="1"/>
      <c r="AA853" s="1"/>
      <c r="AB853" s="655"/>
      <c r="AC853" s="1"/>
      <c r="AD853" s="116"/>
      <c r="AL853" s="655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5"/>
      <c r="BZ853" s="656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5"/>
      <c r="DJ853" s="116"/>
    </row>
    <row r="854" spans="2:114" ht="15.75" customHeight="1" x14ac:dyDescent="0.25">
      <c r="B854" s="116"/>
      <c r="I854" s="655"/>
      <c r="K854" s="116"/>
      <c r="X854" s="1"/>
      <c r="Y854" s="1"/>
      <c r="Z854" s="1"/>
      <c r="AA854" s="1"/>
      <c r="AB854" s="655"/>
      <c r="AC854" s="1"/>
      <c r="AD854" s="116"/>
      <c r="AL854" s="655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5"/>
      <c r="BZ854" s="656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5"/>
      <c r="DJ854" s="116"/>
    </row>
    <row r="855" spans="2:114" ht="15.75" customHeight="1" x14ac:dyDescent="0.25">
      <c r="B855" s="116"/>
      <c r="I855" s="655"/>
      <c r="K855" s="116"/>
      <c r="X855" s="1"/>
      <c r="Y855" s="1"/>
      <c r="Z855" s="1"/>
      <c r="AA855" s="1"/>
      <c r="AB855" s="655"/>
      <c r="AC855" s="1"/>
      <c r="AD855" s="116"/>
      <c r="AL855" s="655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5"/>
      <c r="BZ855" s="656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5"/>
      <c r="DJ855" s="116"/>
    </row>
    <row r="856" spans="2:114" ht="15.75" customHeight="1" x14ac:dyDescent="0.25">
      <c r="B856" s="116"/>
      <c r="I856" s="655"/>
      <c r="K856" s="116"/>
      <c r="X856" s="1"/>
      <c r="Y856" s="1"/>
      <c r="Z856" s="1"/>
      <c r="AA856" s="1"/>
      <c r="AB856" s="655"/>
      <c r="AC856" s="1"/>
      <c r="AD856" s="116"/>
      <c r="AL856" s="655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5"/>
      <c r="BZ856" s="656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5"/>
      <c r="DJ856" s="116"/>
    </row>
    <row r="857" spans="2:114" ht="15.75" customHeight="1" x14ac:dyDescent="0.25">
      <c r="B857" s="116"/>
      <c r="I857" s="655"/>
      <c r="K857" s="116"/>
      <c r="X857" s="1"/>
      <c r="Y857" s="1"/>
      <c r="Z857" s="1"/>
      <c r="AA857" s="1"/>
      <c r="AB857" s="655"/>
      <c r="AC857" s="1"/>
      <c r="AD857" s="116"/>
      <c r="AL857" s="655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5"/>
      <c r="BZ857" s="656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5"/>
      <c r="DJ857" s="116"/>
    </row>
    <row r="858" spans="2:114" ht="15.75" customHeight="1" x14ac:dyDescent="0.25">
      <c r="B858" s="116"/>
      <c r="I858" s="655"/>
      <c r="K858" s="116"/>
      <c r="X858" s="1"/>
      <c r="Y858" s="1"/>
      <c r="Z858" s="1"/>
      <c r="AA858" s="1"/>
      <c r="AB858" s="655"/>
      <c r="AC858" s="1"/>
      <c r="AD858" s="116"/>
      <c r="AL858" s="655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5"/>
      <c r="BZ858" s="656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5"/>
      <c r="DJ858" s="116"/>
    </row>
    <row r="859" spans="2:114" ht="15.75" customHeight="1" x14ac:dyDescent="0.25">
      <c r="B859" s="116"/>
      <c r="I859" s="655"/>
      <c r="K859" s="116"/>
      <c r="X859" s="1"/>
      <c r="Y859" s="1"/>
      <c r="Z859" s="1"/>
      <c r="AA859" s="1"/>
      <c r="AB859" s="655"/>
      <c r="AC859" s="1"/>
      <c r="AD859" s="116"/>
      <c r="AL859" s="655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5"/>
      <c r="BZ859" s="656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5"/>
      <c r="DJ859" s="116"/>
    </row>
    <row r="860" spans="2:114" ht="15.75" customHeight="1" x14ac:dyDescent="0.25">
      <c r="B860" s="116"/>
      <c r="I860" s="655"/>
      <c r="K860" s="116"/>
      <c r="X860" s="1"/>
      <c r="Y860" s="1"/>
      <c r="Z860" s="1"/>
      <c r="AA860" s="1"/>
      <c r="AB860" s="655"/>
      <c r="AC860" s="1"/>
      <c r="AD860" s="116"/>
      <c r="AL860" s="655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5"/>
      <c r="BZ860" s="656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5"/>
      <c r="DJ860" s="116"/>
    </row>
    <row r="861" spans="2:114" ht="15.75" customHeight="1" x14ac:dyDescent="0.25">
      <c r="B861" s="116"/>
      <c r="I861" s="655"/>
      <c r="K861" s="116"/>
      <c r="X861" s="1"/>
      <c r="Y861" s="1"/>
      <c r="Z861" s="1"/>
      <c r="AA861" s="1"/>
      <c r="AB861" s="655"/>
      <c r="AC861" s="1"/>
      <c r="AD861" s="116"/>
      <c r="AL861" s="655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5"/>
      <c r="BZ861" s="656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5"/>
      <c r="DJ861" s="116"/>
    </row>
    <row r="862" spans="2:114" ht="15.75" customHeight="1" x14ac:dyDescent="0.25">
      <c r="B862" s="116"/>
      <c r="I862" s="655"/>
      <c r="K862" s="116"/>
      <c r="X862" s="1"/>
      <c r="Y862" s="1"/>
      <c r="Z862" s="1"/>
      <c r="AA862" s="1"/>
      <c r="AB862" s="655"/>
      <c r="AC862" s="1"/>
      <c r="AD862" s="116"/>
      <c r="AL862" s="655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5"/>
      <c r="BZ862" s="656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5"/>
      <c r="DJ862" s="116"/>
    </row>
    <row r="863" spans="2:114" ht="15.75" customHeight="1" x14ac:dyDescent="0.25">
      <c r="B863" s="116"/>
      <c r="I863" s="655"/>
      <c r="K863" s="116"/>
      <c r="X863" s="1"/>
      <c r="Y863" s="1"/>
      <c r="Z863" s="1"/>
      <c r="AA863" s="1"/>
      <c r="AB863" s="655"/>
      <c r="AC863" s="1"/>
      <c r="AD863" s="116"/>
      <c r="AL863" s="655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5"/>
      <c r="BZ863" s="656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5"/>
      <c r="DJ863" s="116"/>
    </row>
    <row r="864" spans="2:114" ht="15.75" customHeight="1" x14ac:dyDescent="0.25">
      <c r="B864" s="116"/>
      <c r="I864" s="655"/>
      <c r="K864" s="116"/>
      <c r="X864" s="1"/>
      <c r="Y864" s="1"/>
      <c r="Z864" s="1"/>
      <c r="AA864" s="1"/>
      <c r="AB864" s="655"/>
      <c r="AC864" s="1"/>
      <c r="AD864" s="116"/>
      <c r="AL864" s="655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5"/>
      <c r="BZ864" s="656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5"/>
      <c r="DJ864" s="116"/>
    </row>
    <row r="865" spans="2:114" ht="15.75" customHeight="1" x14ac:dyDescent="0.25">
      <c r="B865" s="116"/>
      <c r="I865" s="655"/>
      <c r="K865" s="116"/>
      <c r="X865" s="1"/>
      <c r="Y865" s="1"/>
      <c r="Z865" s="1"/>
      <c r="AA865" s="1"/>
      <c r="AB865" s="655"/>
      <c r="AC865" s="1"/>
      <c r="AD865" s="116"/>
      <c r="AL865" s="655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5"/>
      <c r="BZ865" s="656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5"/>
      <c r="DJ865" s="116"/>
    </row>
    <row r="866" spans="2:114" ht="15.75" customHeight="1" x14ac:dyDescent="0.25">
      <c r="B866" s="116"/>
      <c r="I866" s="655"/>
      <c r="K866" s="116"/>
      <c r="X866" s="1"/>
      <c r="Y866" s="1"/>
      <c r="Z866" s="1"/>
      <c r="AA866" s="1"/>
      <c r="AB866" s="655"/>
      <c r="AC866" s="1"/>
      <c r="AD866" s="116"/>
      <c r="AL866" s="655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5"/>
      <c r="BZ866" s="656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5"/>
      <c r="DJ866" s="116"/>
    </row>
    <row r="867" spans="2:114" ht="15.75" customHeight="1" x14ac:dyDescent="0.25">
      <c r="B867" s="116"/>
      <c r="I867" s="655"/>
      <c r="K867" s="116"/>
      <c r="X867" s="1"/>
      <c r="Y867" s="1"/>
      <c r="Z867" s="1"/>
      <c r="AA867" s="1"/>
      <c r="AB867" s="655"/>
      <c r="AC867" s="1"/>
      <c r="AD867" s="116"/>
      <c r="AL867" s="655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5"/>
      <c r="BZ867" s="656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5"/>
      <c r="DJ867" s="116"/>
    </row>
    <row r="868" spans="2:114" ht="15.75" customHeight="1" x14ac:dyDescent="0.25">
      <c r="B868" s="116"/>
      <c r="I868" s="655"/>
      <c r="K868" s="116"/>
      <c r="X868" s="1"/>
      <c r="Y868" s="1"/>
      <c r="Z868" s="1"/>
      <c r="AA868" s="1"/>
      <c r="AB868" s="655"/>
      <c r="AC868" s="1"/>
      <c r="AD868" s="116"/>
      <c r="AL868" s="655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5"/>
      <c r="BZ868" s="656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5"/>
      <c r="DJ868" s="116"/>
    </row>
    <row r="869" spans="2:114" ht="15.75" customHeight="1" x14ac:dyDescent="0.25">
      <c r="B869" s="116"/>
      <c r="I869" s="655"/>
      <c r="K869" s="116"/>
      <c r="X869" s="1"/>
      <c r="Y869" s="1"/>
      <c r="Z869" s="1"/>
      <c r="AA869" s="1"/>
      <c r="AB869" s="655"/>
      <c r="AC869" s="1"/>
      <c r="AD869" s="116"/>
      <c r="AL869" s="655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5"/>
      <c r="BZ869" s="656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5"/>
      <c r="DJ869" s="116"/>
    </row>
    <row r="870" spans="2:114" ht="15.75" customHeight="1" x14ac:dyDescent="0.25">
      <c r="B870" s="116"/>
      <c r="I870" s="655"/>
      <c r="K870" s="116"/>
      <c r="X870" s="1"/>
      <c r="Y870" s="1"/>
      <c r="Z870" s="1"/>
      <c r="AA870" s="1"/>
      <c r="AB870" s="655"/>
      <c r="AC870" s="1"/>
      <c r="AD870" s="116"/>
      <c r="AL870" s="655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5"/>
      <c r="BZ870" s="656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5"/>
      <c r="DJ870" s="116"/>
    </row>
    <row r="871" spans="2:114" ht="15.75" customHeight="1" x14ac:dyDescent="0.25">
      <c r="B871" s="116"/>
      <c r="I871" s="655"/>
      <c r="K871" s="116"/>
      <c r="X871" s="1"/>
      <c r="Y871" s="1"/>
      <c r="Z871" s="1"/>
      <c r="AA871" s="1"/>
      <c r="AB871" s="655"/>
      <c r="AC871" s="1"/>
      <c r="AD871" s="116"/>
      <c r="AL871" s="655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5"/>
      <c r="BZ871" s="656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5"/>
      <c r="DJ871" s="116"/>
    </row>
    <row r="872" spans="2:114" ht="15.75" customHeight="1" x14ac:dyDescent="0.25">
      <c r="B872" s="116"/>
      <c r="I872" s="655"/>
      <c r="K872" s="116"/>
      <c r="X872" s="1"/>
      <c r="Y872" s="1"/>
      <c r="Z872" s="1"/>
      <c r="AA872" s="1"/>
      <c r="AB872" s="655"/>
      <c r="AC872" s="1"/>
      <c r="AD872" s="116"/>
      <c r="AL872" s="655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5"/>
      <c r="BZ872" s="656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5"/>
      <c r="DJ872" s="116"/>
    </row>
    <row r="873" spans="2:114" ht="15.75" customHeight="1" x14ac:dyDescent="0.25">
      <c r="B873" s="116"/>
      <c r="I873" s="655"/>
      <c r="K873" s="116"/>
      <c r="X873" s="1"/>
      <c r="Y873" s="1"/>
      <c r="Z873" s="1"/>
      <c r="AA873" s="1"/>
      <c r="AB873" s="655"/>
      <c r="AC873" s="1"/>
      <c r="AD873" s="116"/>
      <c r="AL873" s="655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5"/>
      <c r="BZ873" s="656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5"/>
      <c r="DJ873" s="116"/>
    </row>
    <row r="874" spans="2:114" ht="15.75" customHeight="1" x14ac:dyDescent="0.25">
      <c r="B874" s="116"/>
      <c r="I874" s="655"/>
      <c r="K874" s="116"/>
      <c r="X874" s="1"/>
      <c r="Y874" s="1"/>
      <c r="Z874" s="1"/>
      <c r="AA874" s="1"/>
      <c r="AB874" s="655"/>
      <c r="AC874" s="1"/>
      <c r="AD874" s="116"/>
      <c r="AL874" s="655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5"/>
      <c r="BZ874" s="656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5"/>
      <c r="DJ874" s="116"/>
    </row>
    <row r="875" spans="2:114" ht="15.75" customHeight="1" x14ac:dyDescent="0.25">
      <c r="B875" s="116"/>
      <c r="I875" s="655"/>
      <c r="K875" s="116"/>
      <c r="X875" s="1"/>
      <c r="Y875" s="1"/>
      <c r="Z875" s="1"/>
      <c r="AA875" s="1"/>
      <c r="AB875" s="655"/>
      <c r="AC875" s="1"/>
      <c r="AD875" s="116"/>
      <c r="AL875" s="655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5"/>
      <c r="BZ875" s="656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5"/>
      <c r="DJ875" s="116"/>
    </row>
    <row r="876" spans="2:114" ht="15.75" customHeight="1" x14ac:dyDescent="0.25">
      <c r="B876" s="116"/>
      <c r="I876" s="655"/>
      <c r="K876" s="116"/>
      <c r="X876" s="1"/>
      <c r="Y876" s="1"/>
      <c r="Z876" s="1"/>
      <c r="AA876" s="1"/>
      <c r="AB876" s="655"/>
      <c r="AC876" s="1"/>
      <c r="AD876" s="116"/>
      <c r="AL876" s="655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5"/>
      <c r="BZ876" s="656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5"/>
      <c r="DJ876" s="116"/>
    </row>
    <row r="877" spans="2:114" ht="15.75" customHeight="1" x14ac:dyDescent="0.25">
      <c r="B877" s="116"/>
      <c r="I877" s="655"/>
      <c r="K877" s="116"/>
      <c r="X877" s="1"/>
      <c r="Y877" s="1"/>
      <c r="Z877" s="1"/>
      <c r="AA877" s="1"/>
      <c r="AB877" s="655"/>
      <c r="AC877" s="1"/>
      <c r="AD877" s="116"/>
      <c r="AL877" s="655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5"/>
      <c r="BZ877" s="656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5"/>
      <c r="DJ877" s="116"/>
    </row>
    <row r="878" spans="2:114" ht="15.75" customHeight="1" x14ac:dyDescent="0.25">
      <c r="B878" s="116"/>
      <c r="I878" s="655"/>
      <c r="K878" s="116"/>
      <c r="X878" s="1"/>
      <c r="Y878" s="1"/>
      <c r="Z878" s="1"/>
      <c r="AA878" s="1"/>
      <c r="AB878" s="655"/>
      <c r="AC878" s="1"/>
      <c r="AD878" s="116"/>
      <c r="AL878" s="655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5"/>
      <c r="BZ878" s="656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5"/>
      <c r="DJ878" s="116"/>
    </row>
    <row r="879" spans="2:114" ht="15.75" customHeight="1" x14ac:dyDescent="0.25">
      <c r="B879" s="116"/>
      <c r="I879" s="655"/>
      <c r="K879" s="116"/>
      <c r="X879" s="1"/>
      <c r="Y879" s="1"/>
      <c r="Z879" s="1"/>
      <c r="AA879" s="1"/>
      <c r="AB879" s="655"/>
      <c r="AC879" s="1"/>
      <c r="AD879" s="116"/>
      <c r="AL879" s="655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5"/>
      <c r="BZ879" s="656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5"/>
      <c r="DJ879" s="116"/>
    </row>
    <row r="880" spans="2:114" ht="15.75" customHeight="1" x14ac:dyDescent="0.25">
      <c r="B880" s="116"/>
      <c r="I880" s="655"/>
      <c r="K880" s="116"/>
      <c r="X880" s="1"/>
      <c r="Y880" s="1"/>
      <c r="Z880" s="1"/>
      <c r="AA880" s="1"/>
      <c r="AB880" s="655"/>
      <c r="AC880" s="1"/>
      <c r="AD880" s="116"/>
      <c r="AL880" s="655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5"/>
      <c r="BZ880" s="656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5"/>
      <c r="DJ880" s="116"/>
    </row>
    <row r="881" spans="2:114" ht="15.75" customHeight="1" x14ac:dyDescent="0.25">
      <c r="B881" s="116"/>
      <c r="I881" s="655"/>
      <c r="K881" s="116"/>
      <c r="X881" s="1"/>
      <c r="Y881" s="1"/>
      <c r="Z881" s="1"/>
      <c r="AA881" s="1"/>
      <c r="AB881" s="655"/>
      <c r="AC881" s="1"/>
      <c r="AD881" s="116"/>
      <c r="AL881" s="655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5"/>
      <c r="BZ881" s="656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5"/>
      <c r="DJ881" s="116"/>
    </row>
    <row r="882" spans="2:114" ht="15.75" customHeight="1" x14ac:dyDescent="0.25">
      <c r="B882" s="116"/>
      <c r="I882" s="655"/>
      <c r="K882" s="116"/>
      <c r="X882" s="1"/>
      <c r="Y882" s="1"/>
      <c r="Z882" s="1"/>
      <c r="AA882" s="1"/>
      <c r="AB882" s="655"/>
      <c r="AC882" s="1"/>
      <c r="AD882" s="116"/>
      <c r="AL882" s="655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5"/>
      <c r="BZ882" s="656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5"/>
      <c r="DJ882" s="116"/>
    </row>
    <row r="883" spans="2:114" ht="15.75" customHeight="1" x14ac:dyDescent="0.25">
      <c r="B883" s="116"/>
      <c r="I883" s="655"/>
      <c r="K883" s="116"/>
      <c r="X883" s="1"/>
      <c r="Y883" s="1"/>
      <c r="Z883" s="1"/>
      <c r="AA883" s="1"/>
      <c r="AB883" s="655"/>
      <c r="AC883" s="1"/>
      <c r="AD883" s="116"/>
      <c r="AL883" s="655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5"/>
      <c r="BZ883" s="656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5"/>
      <c r="DJ883" s="116"/>
    </row>
    <row r="884" spans="2:114" ht="15.75" customHeight="1" x14ac:dyDescent="0.25">
      <c r="B884" s="116"/>
      <c r="I884" s="655"/>
      <c r="K884" s="116"/>
      <c r="X884" s="1"/>
      <c r="Y884" s="1"/>
      <c r="Z884" s="1"/>
      <c r="AA884" s="1"/>
      <c r="AB884" s="655"/>
      <c r="AC884" s="1"/>
      <c r="AD884" s="116"/>
      <c r="AL884" s="655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5"/>
      <c r="BZ884" s="656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5"/>
      <c r="DJ884" s="116"/>
    </row>
    <row r="885" spans="2:114" ht="15.75" customHeight="1" x14ac:dyDescent="0.25">
      <c r="B885" s="116"/>
      <c r="I885" s="655"/>
      <c r="K885" s="116"/>
      <c r="X885" s="1"/>
      <c r="Y885" s="1"/>
      <c r="Z885" s="1"/>
      <c r="AA885" s="1"/>
      <c r="AB885" s="655"/>
      <c r="AC885" s="1"/>
      <c r="AD885" s="116"/>
      <c r="AL885" s="655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5"/>
      <c r="BZ885" s="656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5"/>
      <c r="DJ885" s="116"/>
    </row>
    <row r="886" spans="2:114" ht="15.75" customHeight="1" x14ac:dyDescent="0.25">
      <c r="B886" s="116"/>
      <c r="I886" s="655"/>
      <c r="K886" s="116"/>
      <c r="X886" s="1"/>
      <c r="Y886" s="1"/>
      <c r="Z886" s="1"/>
      <c r="AA886" s="1"/>
      <c r="AB886" s="655"/>
      <c r="AC886" s="1"/>
      <c r="AD886" s="116"/>
      <c r="AL886" s="655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5"/>
      <c r="BZ886" s="656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5"/>
      <c r="DJ886" s="116"/>
    </row>
    <row r="887" spans="2:114" ht="15.75" customHeight="1" x14ac:dyDescent="0.25">
      <c r="B887" s="116"/>
      <c r="I887" s="655"/>
      <c r="K887" s="116"/>
      <c r="X887" s="1"/>
      <c r="Y887" s="1"/>
      <c r="Z887" s="1"/>
      <c r="AA887" s="1"/>
      <c r="AB887" s="655"/>
      <c r="AC887" s="1"/>
      <c r="AD887" s="116"/>
      <c r="AL887" s="655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5"/>
      <c r="BZ887" s="656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5"/>
      <c r="DJ887" s="116"/>
    </row>
    <row r="888" spans="2:114" ht="15.75" customHeight="1" x14ac:dyDescent="0.25">
      <c r="B888" s="116"/>
      <c r="I888" s="655"/>
      <c r="K888" s="116"/>
      <c r="X888" s="1"/>
      <c r="Y888" s="1"/>
      <c r="Z888" s="1"/>
      <c r="AA888" s="1"/>
      <c r="AB888" s="655"/>
      <c r="AC888" s="1"/>
      <c r="AD888" s="116"/>
      <c r="AL888" s="655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5"/>
      <c r="BZ888" s="656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5"/>
      <c r="DJ888" s="116"/>
    </row>
    <row r="889" spans="2:114" ht="15.75" customHeight="1" x14ac:dyDescent="0.25">
      <c r="B889" s="116"/>
      <c r="I889" s="655"/>
      <c r="K889" s="116"/>
      <c r="X889" s="1"/>
      <c r="Y889" s="1"/>
      <c r="Z889" s="1"/>
      <c r="AA889" s="1"/>
      <c r="AB889" s="655"/>
      <c r="AC889" s="1"/>
      <c r="AD889" s="116"/>
      <c r="AL889" s="655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5"/>
      <c r="BZ889" s="656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5"/>
      <c r="DJ889" s="116"/>
    </row>
    <row r="890" spans="2:114" ht="15.75" customHeight="1" x14ac:dyDescent="0.25">
      <c r="B890" s="116"/>
      <c r="I890" s="655"/>
      <c r="K890" s="116"/>
      <c r="X890" s="1"/>
      <c r="Y890" s="1"/>
      <c r="Z890" s="1"/>
      <c r="AA890" s="1"/>
      <c r="AB890" s="655"/>
      <c r="AC890" s="1"/>
      <c r="AD890" s="116"/>
      <c r="AL890" s="655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5"/>
      <c r="BZ890" s="656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5"/>
      <c r="DJ890" s="116"/>
    </row>
    <row r="891" spans="2:114" ht="15.75" customHeight="1" x14ac:dyDescent="0.25">
      <c r="B891" s="116"/>
      <c r="I891" s="655"/>
      <c r="K891" s="116"/>
      <c r="X891" s="1"/>
      <c r="Y891" s="1"/>
      <c r="Z891" s="1"/>
      <c r="AA891" s="1"/>
      <c r="AB891" s="655"/>
      <c r="AC891" s="1"/>
      <c r="AD891" s="116"/>
      <c r="AL891" s="655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5"/>
      <c r="BZ891" s="656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5"/>
      <c r="DJ891" s="116"/>
    </row>
    <row r="892" spans="2:114" ht="15.75" customHeight="1" x14ac:dyDescent="0.25">
      <c r="B892" s="116"/>
      <c r="I892" s="655"/>
      <c r="K892" s="116"/>
      <c r="X892" s="1"/>
      <c r="Y892" s="1"/>
      <c r="Z892" s="1"/>
      <c r="AA892" s="1"/>
      <c r="AB892" s="655"/>
      <c r="AC892" s="1"/>
      <c r="AD892" s="116"/>
      <c r="AL892" s="655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5"/>
      <c r="BZ892" s="656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5"/>
      <c r="DJ892" s="116"/>
    </row>
    <row r="893" spans="2:114" ht="15.75" customHeight="1" x14ac:dyDescent="0.25">
      <c r="B893" s="116"/>
      <c r="I893" s="655"/>
      <c r="K893" s="116"/>
      <c r="X893" s="1"/>
      <c r="Y893" s="1"/>
      <c r="Z893" s="1"/>
      <c r="AA893" s="1"/>
      <c r="AB893" s="655"/>
      <c r="AC893" s="1"/>
      <c r="AD893" s="116"/>
      <c r="AL893" s="655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5"/>
      <c r="BZ893" s="656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5"/>
      <c r="DJ893" s="116"/>
    </row>
    <row r="894" spans="2:114" ht="15.75" customHeight="1" x14ac:dyDescent="0.25">
      <c r="B894" s="116"/>
      <c r="I894" s="655"/>
      <c r="K894" s="116"/>
      <c r="X894" s="1"/>
      <c r="Y894" s="1"/>
      <c r="Z894" s="1"/>
      <c r="AA894" s="1"/>
      <c r="AB894" s="655"/>
      <c r="AC894" s="1"/>
      <c r="AD894" s="116"/>
      <c r="AL894" s="655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5"/>
      <c r="BZ894" s="656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5"/>
      <c r="DJ894" s="116"/>
    </row>
    <row r="895" spans="2:114" ht="15.75" customHeight="1" x14ac:dyDescent="0.25">
      <c r="B895" s="116"/>
      <c r="I895" s="655"/>
      <c r="K895" s="116"/>
      <c r="X895" s="1"/>
      <c r="Y895" s="1"/>
      <c r="Z895" s="1"/>
      <c r="AA895" s="1"/>
      <c r="AB895" s="655"/>
      <c r="AC895" s="1"/>
      <c r="AD895" s="116"/>
      <c r="AL895" s="655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5"/>
      <c r="BZ895" s="656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5"/>
      <c r="DJ895" s="116"/>
    </row>
    <row r="896" spans="2:114" ht="15.75" customHeight="1" x14ac:dyDescent="0.25">
      <c r="B896" s="116"/>
      <c r="I896" s="655"/>
      <c r="K896" s="116"/>
      <c r="X896" s="1"/>
      <c r="Y896" s="1"/>
      <c r="Z896" s="1"/>
      <c r="AA896" s="1"/>
      <c r="AB896" s="655"/>
      <c r="AC896" s="1"/>
      <c r="AD896" s="116"/>
      <c r="AL896" s="655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5"/>
      <c r="BZ896" s="656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5"/>
      <c r="DJ896" s="116"/>
    </row>
    <row r="897" spans="2:114" ht="15.75" customHeight="1" x14ac:dyDescent="0.25">
      <c r="B897" s="116"/>
      <c r="I897" s="655"/>
      <c r="K897" s="116"/>
      <c r="X897" s="1"/>
      <c r="Y897" s="1"/>
      <c r="Z897" s="1"/>
      <c r="AA897" s="1"/>
      <c r="AB897" s="655"/>
      <c r="AC897" s="1"/>
      <c r="AD897" s="116"/>
      <c r="AL897" s="655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5"/>
      <c r="BZ897" s="656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5"/>
      <c r="DJ897" s="116"/>
    </row>
    <row r="898" spans="2:114" ht="15.75" customHeight="1" x14ac:dyDescent="0.25">
      <c r="B898" s="116"/>
      <c r="I898" s="655"/>
      <c r="K898" s="116"/>
      <c r="X898" s="1"/>
      <c r="Y898" s="1"/>
      <c r="Z898" s="1"/>
      <c r="AA898" s="1"/>
      <c r="AB898" s="655"/>
      <c r="AC898" s="1"/>
      <c r="AD898" s="116"/>
      <c r="AL898" s="655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5"/>
      <c r="BZ898" s="656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5"/>
      <c r="DJ898" s="116"/>
    </row>
    <row r="899" spans="2:114" ht="15.75" customHeight="1" x14ac:dyDescent="0.25">
      <c r="B899" s="116"/>
      <c r="I899" s="655"/>
      <c r="K899" s="116"/>
      <c r="X899" s="1"/>
      <c r="Y899" s="1"/>
      <c r="Z899" s="1"/>
      <c r="AA899" s="1"/>
      <c r="AB899" s="655"/>
      <c r="AC899" s="1"/>
      <c r="AD899" s="116"/>
      <c r="AL899" s="655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5"/>
      <c r="BZ899" s="656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5"/>
      <c r="DJ899" s="116"/>
    </row>
    <row r="900" spans="2:114" ht="15.75" customHeight="1" x14ac:dyDescent="0.25">
      <c r="B900" s="116"/>
      <c r="I900" s="655"/>
      <c r="K900" s="116"/>
      <c r="X900" s="1"/>
      <c r="Y900" s="1"/>
      <c r="Z900" s="1"/>
      <c r="AA900" s="1"/>
      <c r="AB900" s="655"/>
      <c r="AC900" s="1"/>
      <c r="AD900" s="116"/>
      <c r="AL900" s="655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5"/>
      <c r="BZ900" s="656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5"/>
      <c r="DJ900" s="116"/>
    </row>
    <row r="901" spans="2:114" ht="15.75" customHeight="1" x14ac:dyDescent="0.25">
      <c r="B901" s="116"/>
      <c r="I901" s="655"/>
      <c r="K901" s="116"/>
      <c r="X901" s="1"/>
      <c r="Y901" s="1"/>
      <c r="Z901" s="1"/>
      <c r="AA901" s="1"/>
      <c r="AB901" s="655"/>
      <c r="AC901" s="1"/>
      <c r="AD901" s="116"/>
      <c r="AL901" s="655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5"/>
      <c r="BZ901" s="656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5"/>
      <c r="DJ901" s="116"/>
    </row>
    <row r="902" spans="2:114" ht="15.75" customHeight="1" x14ac:dyDescent="0.25">
      <c r="B902" s="116"/>
      <c r="I902" s="655"/>
      <c r="K902" s="116"/>
      <c r="X902" s="1"/>
      <c r="Y902" s="1"/>
      <c r="Z902" s="1"/>
      <c r="AA902" s="1"/>
      <c r="AB902" s="655"/>
      <c r="AC902" s="1"/>
      <c r="AD902" s="116"/>
      <c r="AL902" s="655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5"/>
      <c r="BZ902" s="656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5"/>
      <c r="DJ902" s="116"/>
    </row>
    <row r="903" spans="2:114" ht="15.75" customHeight="1" x14ac:dyDescent="0.25">
      <c r="B903" s="116"/>
      <c r="I903" s="655"/>
      <c r="K903" s="116"/>
      <c r="X903" s="1"/>
      <c r="Y903" s="1"/>
      <c r="Z903" s="1"/>
      <c r="AA903" s="1"/>
      <c r="AB903" s="655"/>
      <c r="AC903" s="1"/>
      <c r="AD903" s="116"/>
      <c r="AL903" s="655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5"/>
      <c r="BZ903" s="656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5"/>
      <c r="DJ903" s="116"/>
    </row>
    <row r="904" spans="2:114" ht="15.75" customHeight="1" x14ac:dyDescent="0.25">
      <c r="B904" s="116"/>
      <c r="I904" s="655"/>
      <c r="K904" s="116"/>
      <c r="X904" s="1"/>
      <c r="Y904" s="1"/>
      <c r="Z904" s="1"/>
      <c r="AA904" s="1"/>
      <c r="AB904" s="655"/>
      <c r="AC904" s="1"/>
      <c r="AD904" s="116"/>
      <c r="AL904" s="655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5"/>
      <c r="BZ904" s="656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5"/>
      <c r="DJ904" s="116"/>
    </row>
    <row r="905" spans="2:114" ht="15.75" customHeight="1" x14ac:dyDescent="0.25">
      <c r="B905" s="116"/>
      <c r="I905" s="655"/>
      <c r="K905" s="116"/>
      <c r="X905" s="1"/>
      <c r="Y905" s="1"/>
      <c r="Z905" s="1"/>
      <c r="AA905" s="1"/>
      <c r="AB905" s="655"/>
      <c r="AC905" s="1"/>
      <c r="AD905" s="116"/>
      <c r="AL905" s="655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5"/>
      <c r="BZ905" s="656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5"/>
      <c r="DJ905" s="116"/>
    </row>
    <row r="906" spans="2:114" ht="15.75" customHeight="1" x14ac:dyDescent="0.25">
      <c r="B906" s="116"/>
      <c r="I906" s="655"/>
      <c r="K906" s="116"/>
      <c r="X906" s="1"/>
      <c r="Y906" s="1"/>
      <c r="Z906" s="1"/>
      <c r="AA906" s="1"/>
      <c r="AB906" s="655"/>
      <c r="AC906" s="1"/>
      <c r="AD906" s="116"/>
      <c r="AL906" s="655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5"/>
      <c r="BZ906" s="656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5"/>
      <c r="DJ906" s="116"/>
    </row>
    <row r="907" spans="2:114" ht="15.75" customHeight="1" x14ac:dyDescent="0.25">
      <c r="B907" s="116"/>
      <c r="I907" s="655"/>
      <c r="K907" s="116"/>
      <c r="X907" s="1"/>
      <c r="Y907" s="1"/>
      <c r="Z907" s="1"/>
      <c r="AA907" s="1"/>
      <c r="AB907" s="655"/>
      <c r="AC907" s="1"/>
      <c r="AD907" s="116"/>
      <c r="AL907" s="655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5"/>
      <c r="BZ907" s="656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5"/>
      <c r="DJ907" s="116"/>
    </row>
    <row r="908" spans="2:114" ht="15.75" customHeight="1" x14ac:dyDescent="0.25">
      <c r="B908" s="116"/>
      <c r="I908" s="655"/>
      <c r="K908" s="116"/>
      <c r="X908" s="1"/>
      <c r="Y908" s="1"/>
      <c r="Z908" s="1"/>
      <c r="AA908" s="1"/>
      <c r="AB908" s="655"/>
      <c r="AC908" s="1"/>
      <c r="AD908" s="116"/>
      <c r="AL908" s="655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5"/>
      <c r="BZ908" s="656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5"/>
      <c r="DJ908" s="116"/>
    </row>
    <row r="909" spans="2:114" ht="15.75" customHeight="1" x14ac:dyDescent="0.25">
      <c r="B909" s="116"/>
      <c r="I909" s="655"/>
      <c r="K909" s="116"/>
      <c r="X909" s="1"/>
      <c r="Y909" s="1"/>
      <c r="Z909" s="1"/>
      <c r="AA909" s="1"/>
      <c r="AB909" s="655"/>
      <c r="AC909" s="1"/>
      <c r="AD909" s="116"/>
      <c r="AL909" s="655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5"/>
      <c r="BZ909" s="656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5"/>
      <c r="DJ909" s="116"/>
    </row>
    <row r="910" spans="2:114" ht="15.75" customHeight="1" x14ac:dyDescent="0.25">
      <c r="B910" s="116"/>
      <c r="I910" s="655"/>
      <c r="K910" s="116"/>
      <c r="X910" s="1"/>
      <c r="Y910" s="1"/>
      <c r="Z910" s="1"/>
      <c r="AA910" s="1"/>
      <c r="AB910" s="655"/>
      <c r="AC910" s="1"/>
      <c r="AD910" s="116"/>
      <c r="AL910" s="655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5"/>
      <c r="BZ910" s="656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5"/>
      <c r="DJ910" s="116"/>
    </row>
    <row r="911" spans="2:114" ht="15.75" customHeight="1" x14ac:dyDescent="0.25">
      <c r="B911" s="116"/>
      <c r="I911" s="655"/>
      <c r="K911" s="116"/>
      <c r="X911" s="1"/>
      <c r="Y911" s="1"/>
      <c r="Z911" s="1"/>
      <c r="AA911" s="1"/>
      <c r="AB911" s="655"/>
      <c r="AC911" s="1"/>
      <c r="AD911" s="116"/>
      <c r="AL911" s="655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5"/>
      <c r="BZ911" s="656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5"/>
      <c r="DJ911" s="116"/>
    </row>
    <row r="912" spans="2:114" ht="15.75" customHeight="1" x14ac:dyDescent="0.25">
      <c r="B912" s="116"/>
      <c r="I912" s="655"/>
      <c r="K912" s="116"/>
      <c r="X912" s="1"/>
      <c r="Y912" s="1"/>
      <c r="Z912" s="1"/>
      <c r="AA912" s="1"/>
      <c r="AB912" s="655"/>
      <c r="AC912" s="1"/>
      <c r="AD912" s="116"/>
      <c r="AL912" s="655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5"/>
      <c r="BZ912" s="656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5"/>
      <c r="DJ912" s="116"/>
    </row>
    <row r="913" spans="2:114" ht="15.75" customHeight="1" x14ac:dyDescent="0.25">
      <c r="B913" s="116"/>
      <c r="I913" s="655"/>
      <c r="K913" s="116"/>
      <c r="X913" s="1"/>
      <c r="Y913" s="1"/>
      <c r="Z913" s="1"/>
      <c r="AA913" s="1"/>
      <c r="AB913" s="655"/>
      <c r="AC913" s="1"/>
      <c r="AD913" s="116"/>
      <c r="AL913" s="655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5"/>
      <c r="BZ913" s="656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5"/>
      <c r="DJ913" s="116"/>
    </row>
    <row r="914" spans="2:114" ht="15.75" customHeight="1" x14ac:dyDescent="0.25">
      <c r="B914" s="116"/>
      <c r="I914" s="655"/>
      <c r="K914" s="116"/>
      <c r="X914" s="1"/>
      <c r="Y914" s="1"/>
      <c r="Z914" s="1"/>
      <c r="AA914" s="1"/>
      <c r="AB914" s="655"/>
      <c r="AC914" s="1"/>
      <c r="AD914" s="116"/>
      <c r="AL914" s="655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5"/>
      <c r="BZ914" s="656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5"/>
      <c r="DJ914" s="116"/>
    </row>
    <row r="915" spans="2:114" ht="15.75" customHeight="1" x14ac:dyDescent="0.25">
      <c r="B915" s="116"/>
      <c r="I915" s="655"/>
      <c r="K915" s="116"/>
      <c r="X915" s="1"/>
      <c r="Y915" s="1"/>
      <c r="Z915" s="1"/>
      <c r="AA915" s="1"/>
      <c r="AB915" s="655"/>
      <c r="AC915" s="1"/>
      <c r="AD915" s="116"/>
      <c r="AL915" s="655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5"/>
      <c r="BZ915" s="656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5"/>
      <c r="DJ915" s="116"/>
    </row>
    <row r="916" spans="2:114" ht="15.75" customHeight="1" x14ac:dyDescent="0.25">
      <c r="B916" s="116"/>
      <c r="I916" s="655"/>
      <c r="K916" s="116"/>
      <c r="X916" s="1"/>
      <c r="Y916" s="1"/>
      <c r="Z916" s="1"/>
      <c r="AA916" s="1"/>
      <c r="AB916" s="655"/>
      <c r="AC916" s="1"/>
      <c r="AD916" s="116"/>
      <c r="AL916" s="655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5"/>
      <c r="BZ916" s="656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5"/>
      <c r="DJ916" s="116"/>
    </row>
    <row r="917" spans="2:114" ht="15.75" customHeight="1" x14ac:dyDescent="0.25">
      <c r="B917" s="116"/>
      <c r="I917" s="655"/>
      <c r="K917" s="116"/>
      <c r="X917" s="1"/>
      <c r="Y917" s="1"/>
      <c r="Z917" s="1"/>
      <c r="AA917" s="1"/>
      <c r="AB917" s="655"/>
      <c r="AC917" s="1"/>
      <c r="AD917" s="116"/>
      <c r="AL917" s="655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5"/>
      <c r="BZ917" s="656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5"/>
      <c r="DJ917" s="116"/>
    </row>
    <row r="918" spans="2:114" ht="15.75" customHeight="1" x14ac:dyDescent="0.25">
      <c r="B918" s="116"/>
      <c r="I918" s="655"/>
      <c r="K918" s="116"/>
      <c r="X918" s="1"/>
      <c r="Y918" s="1"/>
      <c r="Z918" s="1"/>
      <c r="AA918" s="1"/>
      <c r="AB918" s="655"/>
      <c r="AC918" s="1"/>
      <c r="AD918" s="116"/>
      <c r="AL918" s="655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5"/>
      <c r="BZ918" s="656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5"/>
      <c r="DJ918" s="116"/>
    </row>
    <row r="919" spans="2:114" ht="15.75" customHeight="1" x14ac:dyDescent="0.25">
      <c r="B919" s="116"/>
      <c r="I919" s="655"/>
      <c r="K919" s="116"/>
      <c r="X919" s="1"/>
      <c r="Y919" s="1"/>
      <c r="Z919" s="1"/>
      <c r="AA919" s="1"/>
      <c r="AB919" s="655"/>
      <c r="AC919" s="1"/>
      <c r="AD919" s="116"/>
      <c r="AL919" s="655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5"/>
      <c r="BZ919" s="656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5"/>
      <c r="DJ919" s="116"/>
    </row>
    <row r="920" spans="2:114" ht="15.75" customHeight="1" x14ac:dyDescent="0.25">
      <c r="B920" s="116"/>
      <c r="I920" s="655"/>
      <c r="K920" s="116"/>
      <c r="X920" s="1"/>
      <c r="Y920" s="1"/>
      <c r="Z920" s="1"/>
      <c r="AA920" s="1"/>
      <c r="AB920" s="655"/>
      <c r="AC920" s="1"/>
      <c r="AD920" s="116"/>
      <c r="AL920" s="655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5"/>
      <c r="BZ920" s="656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5"/>
      <c r="DJ920" s="116"/>
    </row>
    <row r="921" spans="2:114" ht="15.75" customHeight="1" x14ac:dyDescent="0.25">
      <c r="B921" s="116"/>
      <c r="I921" s="655"/>
      <c r="K921" s="116"/>
      <c r="X921" s="1"/>
      <c r="Y921" s="1"/>
      <c r="Z921" s="1"/>
      <c r="AA921" s="1"/>
      <c r="AB921" s="655"/>
      <c r="AC921" s="1"/>
      <c r="AD921" s="116"/>
      <c r="AL921" s="655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5"/>
      <c r="BZ921" s="656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5"/>
      <c r="DJ921" s="116"/>
    </row>
    <row r="922" spans="2:114" ht="15.75" customHeight="1" x14ac:dyDescent="0.25">
      <c r="B922" s="116"/>
      <c r="I922" s="655"/>
      <c r="K922" s="116"/>
      <c r="X922" s="1"/>
      <c r="Y922" s="1"/>
      <c r="Z922" s="1"/>
      <c r="AA922" s="1"/>
      <c r="AB922" s="655"/>
      <c r="AC922" s="1"/>
      <c r="AD922" s="116"/>
      <c r="AL922" s="655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5"/>
      <c r="BZ922" s="656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5"/>
      <c r="DJ922" s="116"/>
    </row>
    <row r="923" spans="2:114" ht="15.75" customHeight="1" x14ac:dyDescent="0.25">
      <c r="B923" s="116"/>
      <c r="I923" s="655"/>
      <c r="K923" s="116"/>
      <c r="X923" s="1"/>
      <c r="Y923" s="1"/>
      <c r="Z923" s="1"/>
      <c r="AA923" s="1"/>
      <c r="AB923" s="655"/>
      <c r="AC923" s="1"/>
      <c r="AD923" s="116"/>
      <c r="AL923" s="655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5"/>
      <c r="BZ923" s="656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5"/>
      <c r="DJ923" s="116"/>
    </row>
    <row r="924" spans="2:114" ht="15.75" customHeight="1" x14ac:dyDescent="0.25">
      <c r="B924" s="116"/>
      <c r="I924" s="655"/>
      <c r="K924" s="116"/>
      <c r="X924" s="1"/>
      <c r="Y924" s="1"/>
      <c r="Z924" s="1"/>
      <c r="AA924" s="1"/>
      <c r="AB924" s="655"/>
      <c r="AC924" s="1"/>
      <c r="AD924" s="116"/>
      <c r="AL924" s="655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5"/>
      <c r="BZ924" s="656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5"/>
      <c r="DJ924" s="116"/>
    </row>
    <row r="925" spans="2:114" ht="15.75" customHeight="1" x14ac:dyDescent="0.25">
      <c r="B925" s="116"/>
      <c r="I925" s="655"/>
      <c r="K925" s="116"/>
      <c r="X925" s="1"/>
      <c r="Y925" s="1"/>
      <c r="Z925" s="1"/>
      <c r="AA925" s="1"/>
      <c r="AB925" s="655"/>
      <c r="AC925" s="1"/>
      <c r="AD925" s="116"/>
      <c r="AL925" s="655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5"/>
      <c r="BZ925" s="656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5"/>
      <c r="DJ925" s="116"/>
    </row>
    <row r="926" spans="2:114" ht="15.75" customHeight="1" x14ac:dyDescent="0.25">
      <c r="B926" s="116"/>
      <c r="I926" s="655"/>
      <c r="K926" s="116"/>
      <c r="X926" s="1"/>
      <c r="Y926" s="1"/>
      <c r="Z926" s="1"/>
      <c r="AA926" s="1"/>
      <c r="AB926" s="655"/>
      <c r="AC926" s="1"/>
      <c r="AD926" s="116"/>
      <c r="AL926" s="655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5"/>
      <c r="BZ926" s="656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5"/>
      <c r="DJ926" s="116"/>
    </row>
    <row r="927" spans="2:114" ht="15.75" customHeight="1" x14ac:dyDescent="0.25">
      <c r="B927" s="116"/>
      <c r="I927" s="655"/>
      <c r="K927" s="116"/>
      <c r="X927" s="1"/>
      <c r="Y927" s="1"/>
      <c r="Z927" s="1"/>
      <c r="AA927" s="1"/>
      <c r="AB927" s="655"/>
      <c r="AC927" s="1"/>
      <c r="AD927" s="116"/>
      <c r="AL927" s="655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5"/>
      <c r="BZ927" s="656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5"/>
      <c r="DJ927" s="116"/>
    </row>
    <row r="928" spans="2:114" ht="15.75" customHeight="1" x14ac:dyDescent="0.25">
      <c r="B928" s="116"/>
      <c r="I928" s="655"/>
      <c r="K928" s="116"/>
      <c r="X928" s="1"/>
      <c r="Y928" s="1"/>
      <c r="Z928" s="1"/>
      <c r="AA928" s="1"/>
      <c r="AB928" s="655"/>
      <c r="AC928" s="1"/>
      <c r="AD928" s="116"/>
      <c r="AL928" s="655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5"/>
      <c r="BZ928" s="656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5"/>
      <c r="DJ928" s="116"/>
    </row>
    <row r="929" spans="2:114" ht="15.75" customHeight="1" x14ac:dyDescent="0.25">
      <c r="B929" s="116"/>
      <c r="I929" s="655"/>
      <c r="K929" s="116"/>
      <c r="X929" s="1"/>
      <c r="Y929" s="1"/>
      <c r="Z929" s="1"/>
      <c r="AA929" s="1"/>
      <c r="AB929" s="655"/>
      <c r="AC929" s="1"/>
      <c r="AD929" s="116"/>
      <c r="AL929" s="655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5"/>
      <c r="BZ929" s="656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5"/>
      <c r="DJ929" s="116"/>
    </row>
    <row r="930" spans="2:114" ht="15.75" customHeight="1" x14ac:dyDescent="0.25">
      <c r="B930" s="116"/>
      <c r="I930" s="655"/>
      <c r="K930" s="116"/>
      <c r="X930" s="1"/>
      <c r="Y930" s="1"/>
      <c r="Z930" s="1"/>
      <c r="AA930" s="1"/>
      <c r="AB930" s="655"/>
      <c r="AC930" s="1"/>
      <c r="AD930" s="116"/>
      <c r="AL930" s="655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5"/>
      <c r="BZ930" s="656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5"/>
      <c r="DJ930" s="116"/>
    </row>
    <row r="931" spans="2:114" ht="15.75" customHeight="1" x14ac:dyDescent="0.25">
      <c r="B931" s="116"/>
      <c r="I931" s="655"/>
      <c r="K931" s="116"/>
      <c r="X931" s="1"/>
      <c r="Y931" s="1"/>
      <c r="Z931" s="1"/>
      <c r="AA931" s="1"/>
      <c r="AB931" s="655"/>
      <c r="AC931" s="1"/>
      <c r="AD931" s="116"/>
      <c r="AL931" s="655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5"/>
      <c r="BZ931" s="656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5"/>
      <c r="DJ931" s="116"/>
    </row>
    <row r="932" spans="2:114" ht="15.75" customHeight="1" x14ac:dyDescent="0.25">
      <c r="B932" s="116"/>
      <c r="I932" s="655"/>
      <c r="K932" s="116"/>
      <c r="X932" s="1"/>
      <c r="Y932" s="1"/>
      <c r="Z932" s="1"/>
      <c r="AA932" s="1"/>
      <c r="AB932" s="655"/>
      <c r="AC932" s="1"/>
      <c r="AD932" s="116"/>
      <c r="AL932" s="655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5"/>
      <c r="BZ932" s="656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5"/>
      <c r="DJ932" s="116"/>
    </row>
    <row r="933" spans="2:114" ht="15.75" customHeight="1" x14ac:dyDescent="0.25">
      <c r="B933" s="116"/>
      <c r="I933" s="655"/>
      <c r="K933" s="116"/>
      <c r="X933" s="1"/>
      <c r="Y933" s="1"/>
      <c r="Z933" s="1"/>
      <c r="AA933" s="1"/>
      <c r="AB933" s="655"/>
      <c r="AC933" s="1"/>
      <c r="AD933" s="116"/>
      <c r="AL933" s="655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5"/>
      <c r="BZ933" s="656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5"/>
      <c r="DJ933" s="116"/>
    </row>
    <row r="934" spans="2:114" ht="15.75" customHeight="1" x14ac:dyDescent="0.25">
      <c r="B934" s="116"/>
      <c r="I934" s="655"/>
      <c r="K934" s="116"/>
      <c r="X934" s="1"/>
      <c r="Y934" s="1"/>
      <c r="Z934" s="1"/>
      <c r="AA934" s="1"/>
      <c r="AB934" s="655"/>
      <c r="AC934" s="1"/>
      <c r="AD934" s="116"/>
      <c r="AL934" s="655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5"/>
      <c r="BZ934" s="656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5"/>
      <c r="DJ934" s="116"/>
    </row>
    <row r="935" spans="2:114" ht="15.75" customHeight="1" x14ac:dyDescent="0.25">
      <c r="B935" s="116"/>
      <c r="I935" s="655"/>
      <c r="K935" s="116"/>
      <c r="X935" s="1"/>
      <c r="Y935" s="1"/>
      <c r="Z935" s="1"/>
      <c r="AA935" s="1"/>
      <c r="AB935" s="655"/>
      <c r="AC935" s="1"/>
      <c r="AD935" s="116"/>
      <c r="AL935" s="655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5"/>
      <c r="BZ935" s="656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5"/>
      <c r="DJ935" s="116"/>
    </row>
    <row r="936" spans="2:114" ht="15.75" customHeight="1" x14ac:dyDescent="0.25">
      <c r="B936" s="116"/>
      <c r="I936" s="655"/>
      <c r="K936" s="116"/>
      <c r="X936" s="1"/>
      <c r="Y936" s="1"/>
      <c r="Z936" s="1"/>
      <c r="AA936" s="1"/>
      <c r="AB936" s="655"/>
      <c r="AC936" s="1"/>
      <c r="AD936" s="116"/>
      <c r="AL936" s="655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5"/>
      <c r="BZ936" s="656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5"/>
      <c r="DJ936" s="116"/>
    </row>
    <row r="937" spans="2:114" ht="15.75" customHeight="1" x14ac:dyDescent="0.25">
      <c r="B937" s="116"/>
      <c r="I937" s="655"/>
      <c r="K937" s="116"/>
      <c r="X937" s="1"/>
      <c r="Y937" s="1"/>
      <c r="Z937" s="1"/>
      <c r="AA937" s="1"/>
      <c r="AB937" s="655"/>
      <c r="AC937" s="1"/>
      <c r="AD937" s="116"/>
      <c r="AL937" s="655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5"/>
      <c r="BZ937" s="656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5"/>
      <c r="DJ937" s="116"/>
    </row>
    <row r="938" spans="2:114" ht="15.75" customHeight="1" x14ac:dyDescent="0.25">
      <c r="B938" s="116"/>
      <c r="I938" s="655"/>
      <c r="K938" s="116"/>
      <c r="X938" s="1"/>
      <c r="Y938" s="1"/>
      <c r="Z938" s="1"/>
      <c r="AA938" s="1"/>
      <c r="AB938" s="655"/>
      <c r="AC938" s="1"/>
      <c r="AD938" s="116"/>
      <c r="AL938" s="655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5"/>
      <c r="BZ938" s="656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5"/>
      <c r="DJ938" s="116"/>
    </row>
    <row r="939" spans="2:114" ht="15.75" customHeight="1" x14ac:dyDescent="0.25">
      <c r="B939" s="116"/>
      <c r="I939" s="655"/>
      <c r="K939" s="116"/>
      <c r="X939" s="1"/>
      <c r="Y939" s="1"/>
      <c r="Z939" s="1"/>
      <c r="AA939" s="1"/>
      <c r="AB939" s="655"/>
      <c r="AC939" s="1"/>
      <c r="AD939" s="116"/>
      <c r="AL939" s="655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5"/>
      <c r="BZ939" s="656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5"/>
      <c r="DJ939" s="116"/>
    </row>
    <row r="940" spans="2:114" ht="15.75" customHeight="1" x14ac:dyDescent="0.25">
      <c r="B940" s="116"/>
      <c r="I940" s="655"/>
      <c r="K940" s="116"/>
      <c r="X940" s="1"/>
      <c r="Y940" s="1"/>
      <c r="Z940" s="1"/>
      <c r="AA940" s="1"/>
      <c r="AB940" s="655"/>
      <c r="AC940" s="1"/>
      <c r="AD940" s="116"/>
      <c r="AL940" s="655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5"/>
      <c r="BZ940" s="656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5"/>
      <c r="DJ940" s="116"/>
    </row>
    <row r="941" spans="2:114" ht="15.75" customHeight="1" x14ac:dyDescent="0.25">
      <c r="B941" s="116"/>
      <c r="I941" s="655"/>
      <c r="K941" s="116"/>
      <c r="X941" s="1"/>
      <c r="Y941" s="1"/>
      <c r="Z941" s="1"/>
      <c r="AA941" s="1"/>
      <c r="AB941" s="655"/>
      <c r="AC941" s="1"/>
      <c r="AD941" s="116"/>
      <c r="AL941" s="655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5"/>
      <c r="BZ941" s="656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5"/>
      <c r="DJ941" s="116"/>
    </row>
    <row r="942" spans="2:114" ht="15.75" customHeight="1" x14ac:dyDescent="0.25">
      <c r="B942" s="116"/>
      <c r="I942" s="655"/>
      <c r="K942" s="116"/>
      <c r="X942" s="1"/>
      <c r="Y942" s="1"/>
      <c r="Z942" s="1"/>
      <c r="AA942" s="1"/>
      <c r="AB942" s="655"/>
      <c r="AC942" s="1"/>
      <c r="AD942" s="116"/>
      <c r="AL942" s="655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5"/>
      <c r="BZ942" s="656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5"/>
      <c r="DJ942" s="116"/>
    </row>
    <row r="943" spans="2:114" ht="15.75" customHeight="1" x14ac:dyDescent="0.25">
      <c r="B943" s="116"/>
      <c r="I943" s="655"/>
      <c r="K943" s="116"/>
      <c r="X943" s="1"/>
      <c r="Y943" s="1"/>
      <c r="Z943" s="1"/>
      <c r="AA943" s="1"/>
      <c r="AB943" s="655"/>
      <c r="AC943" s="1"/>
      <c r="AD943" s="116"/>
      <c r="AL943" s="655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5"/>
      <c r="BZ943" s="656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5"/>
      <c r="DJ943" s="116"/>
    </row>
    <row r="944" spans="2:114" ht="15.75" customHeight="1" x14ac:dyDescent="0.25">
      <c r="B944" s="116"/>
      <c r="I944" s="655"/>
      <c r="K944" s="116"/>
      <c r="X944" s="1"/>
      <c r="Y944" s="1"/>
      <c r="Z944" s="1"/>
      <c r="AA944" s="1"/>
      <c r="AB944" s="655"/>
      <c r="AC944" s="1"/>
      <c r="AD944" s="116"/>
      <c r="AL944" s="655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5"/>
      <c r="BZ944" s="656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5"/>
      <c r="DJ944" s="116"/>
    </row>
    <row r="945" spans="2:114" ht="15.75" customHeight="1" x14ac:dyDescent="0.25">
      <c r="B945" s="116"/>
      <c r="I945" s="655"/>
      <c r="K945" s="116"/>
      <c r="X945" s="1"/>
      <c r="Y945" s="1"/>
      <c r="Z945" s="1"/>
      <c r="AA945" s="1"/>
      <c r="AB945" s="655"/>
      <c r="AC945" s="1"/>
      <c r="AD945" s="116"/>
      <c r="AL945" s="655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5"/>
      <c r="BZ945" s="656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5"/>
      <c r="DJ945" s="116"/>
    </row>
    <row r="946" spans="2:114" ht="15.75" customHeight="1" x14ac:dyDescent="0.25">
      <c r="B946" s="116"/>
      <c r="I946" s="655"/>
      <c r="K946" s="116"/>
      <c r="X946" s="1"/>
      <c r="Y946" s="1"/>
      <c r="Z946" s="1"/>
      <c r="AA946" s="1"/>
      <c r="AB946" s="655"/>
      <c r="AC946" s="1"/>
      <c r="AD946" s="116"/>
      <c r="AL946" s="655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5"/>
      <c r="BZ946" s="656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5"/>
      <c r="DJ946" s="116"/>
    </row>
    <row r="947" spans="2:114" ht="15.75" customHeight="1" x14ac:dyDescent="0.25">
      <c r="B947" s="116"/>
      <c r="I947" s="655"/>
      <c r="K947" s="116"/>
      <c r="X947" s="1"/>
      <c r="Y947" s="1"/>
      <c r="Z947" s="1"/>
      <c r="AA947" s="1"/>
      <c r="AB947" s="655"/>
      <c r="AC947" s="1"/>
      <c r="AD947" s="116"/>
      <c r="AL947" s="655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5"/>
      <c r="BZ947" s="656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5"/>
      <c r="DJ947" s="116"/>
    </row>
    <row r="948" spans="2:114" ht="15.75" customHeight="1" x14ac:dyDescent="0.25">
      <c r="B948" s="116"/>
      <c r="I948" s="655"/>
      <c r="K948" s="116"/>
      <c r="X948" s="1"/>
      <c r="Y948" s="1"/>
      <c r="Z948" s="1"/>
      <c r="AA948" s="1"/>
      <c r="AB948" s="655"/>
      <c r="AC948" s="1"/>
      <c r="AD948" s="116"/>
      <c r="AL948" s="655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5"/>
      <c r="BZ948" s="656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5"/>
      <c r="DJ948" s="116"/>
    </row>
    <row r="949" spans="2:114" ht="15.75" customHeight="1" x14ac:dyDescent="0.25">
      <c r="B949" s="116"/>
      <c r="I949" s="655"/>
      <c r="K949" s="116"/>
      <c r="X949" s="1"/>
      <c r="Y949" s="1"/>
      <c r="Z949" s="1"/>
      <c r="AA949" s="1"/>
      <c r="AB949" s="655"/>
      <c r="AC949" s="1"/>
      <c r="AD949" s="116"/>
      <c r="AL949" s="655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5"/>
      <c r="BZ949" s="656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5"/>
      <c r="DJ949" s="116"/>
    </row>
    <row r="950" spans="2:114" ht="15.75" customHeight="1" x14ac:dyDescent="0.25">
      <c r="B950" s="116"/>
      <c r="I950" s="655"/>
      <c r="K950" s="116"/>
      <c r="X950" s="1"/>
      <c r="Y950" s="1"/>
      <c r="Z950" s="1"/>
      <c r="AA950" s="1"/>
      <c r="AB950" s="655"/>
      <c r="AC950" s="1"/>
      <c r="AD950" s="116"/>
      <c r="AL950" s="655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5"/>
      <c r="BZ950" s="656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5"/>
      <c r="DJ950" s="116"/>
    </row>
    <row r="951" spans="2:114" ht="15.75" customHeight="1" x14ac:dyDescent="0.25">
      <c r="B951" s="116"/>
      <c r="I951" s="655"/>
      <c r="K951" s="116"/>
      <c r="X951" s="1"/>
      <c r="Y951" s="1"/>
      <c r="Z951" s="1"/>
      <c r="AA951" s="1"/>
      <c r="AB951" s="655"/>
      <c r="AC951" s="1"/>
      <c r="AD951" s="116"/>
      <c r="AL951" s="655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5"/>
      <c r="BZ951" s="656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5"/>
      <c r="DJ951" s="116"/>
    </row>
    <row r="952" spans="2:114" ht="15.75" customHeight="1" x14ac:dyDescent="0.25">
      <c r="B952" s="116"/>
      <c r="I952" s="655"/>
      <c r="K952" s="116"/>
      <c r="X952" s="1"/>
      <c r="Y952" s="1"/>
      <c r="Z952" s="1"/>
      <c r="AA952" s="1"/>
      <c r="AB952" s="655"/>
      <c r="AC952" s="1"/>
      <c r="AD952" s="116"/>
      <c r="AL952" s="655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5"/>
      <c r="BZ952" s="656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5"/>
      <c r="DJ952" s="116"/>
    </row>
    <row r="953" spans="2:114" ht="15.75" customHeight="1" x14ac:dyDescent="0.25">
      <c r="B953" s="116"/>
      <c r="I953" s="655"/>
      <c r="K953" s="116"/>
      <c r="X953" s="1"/>
      <c r="Y953" s="1"/>
      <c r="Z953" s="1"/>
      <c r="AA953" s="1"/>
      <c r="AB953" s="655"/>
      <c r="AC953" s="1"/>
      <c r="AD953" s="116"/>
      <c r="AL953" s="655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5"/>
      <c r="BZ953" s="656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5"/>
      <c r="DJ953" s="116"/>
    </row>
    <row r="954" spans="2:114" ht="15.75" customHeight="1" x14ac:dyDescent="0.25">
      <c r="B954" s="116"/>
      <c r="I954" s="655"/>
      <c r="K954" s="116"/>
      <c r="X954" s="1"/>
      <c r="Y954" s="1"/>
      <c r="Z954" s="1"/>
      <c r="AA954" s="1"/>
      <c r="AB954" s="655"/>
      <c r="AC954" s="1"/>
      <c r="AD954" s="116"/>
      <c r="AL954" s="655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5"/>
      <c r="BZ954" s="656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5"/>
      <c r="DJ954" s="116"/>
    </row>
    <row r="955" spans="2:114" ht="15.75" customHeight="1" x14ac:dyDescent="0.25">
      <c r="B955" s="116"/>
      <c r="I955" s="655"/>
      <c r="K955" s="116"/>
      <c r="X955" s="1"/>
      <c r="Y955" s="1"/>
      <c r="Z955" s="1"/>
      <c r="AA955" s="1"/>
      <c r="AB955" s="655"/>
      <c r="AC955" s="1"/>
      <c r="AD955" s="116"/>
      <c r="AL955" s="655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5"/>
      <c r="BZ955" s="656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5"/>
      <c r="DJ955" s="116"/>
    </row>
    <row r="956" spans="2:114" ht="15.75" customHeight="1" x14ac:dyDescent="0.25">
      <c r="B956" s="116"/>
      <c r="I956" s="655"/>
      <c r="K956" s="116"/>
      <c r="X956" s="1"/>
      <c r="Y956" s="1"/>
      <c r="Z956" s="1"/>
      <c r="AA956" s="1"/>
      <c r="AB956" s="655"/>
      <c r="AC956" s="1"/>
      <c r="AD956" s="116"/>
      <c r="AL956" s="655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5"/>
      <c r="BZ956" s="656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5"/>
      <c r="DJ956" s="116"/>
    </row>
    <row r="957" spans="2:114" ht="15.75" customHeight="1" x14ac:dyDescent="0.25">
      <c r="B957" s="116"/>
      <c r="I957" s="655"/>
      <c r="K957" s="116"/>
      <c r="X957" s="1"/>
      <c r="Y957" s="1"/>
      <c r="Z957" s="1"/>
      <c r="AA957" s="1"/>
      <c r="AB957" s="655"/>
      <c r="AC957" s="1"/>
      <c r="AD957" s="116"/>
      <c r="AL957" s="655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5"/>
      <c r="BZ957" s="656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5"/>
      <c r="DJ957" s="116"/>
    </row>
    <row r="958" spans="2:114" ht="15.75" customHeight="1" x14ac:dyDescent="0.25">
      <c r="B958" s="116"/>
      <c r="I958" s="655"/>
      <c r="K958" s="116"/>
      <c r="X958" s="1"/>
      <c r="Y958" s="1"/>
      <c r="Z958" s="1"/>
      <c r="AA958" s="1"/>
      <c r="AB958" s="655"/>
      <c r="AC958" s="1"/>
      <c r="AD958" s="116"/>
      <c r="AL958" s="655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5"/>
      <c r="BZ958" s="656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5"/>
      <c r="DJ958" s="116"/>
    </row>
    <row r="959" spans="2:114" ht="15.75" customHeight="1" x14ac:dyDescent="0.25">
      <c r="B959" s="116"/>
      <c r="I959" s="655"/>
      <c r="K959" s="116"/>
      <c r="X959" s="1"/>
      <c r="Y959" s="1"/>
      <c r="Z959" s="1"/>
      <c r="AA959" s="1"/>
      <c r="AB959" s="655"/>
      <c r="AC959" s="1"/>
      <c r="AD959" s="116"/>
      <c r="AL959" s="655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5"/>
      <c r="BZ959" s="656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5"/>
      <c r="DJ959" s="116"/>
    </row>
    <row r="960" spans="2:114" ht="15.75" customHeight="1" x14ac:dyDescent="0.25">
      <c r="B960" s="116"/>
      <c r="I960" s="655"/>
      <c r="K960" s="116"/>
      <c r="X960" s="1"/>
      <c r="Y960" s="1"/>
      <c r="Z960" s="1"/>
      <c r="AA960" s="1"/>
      <c r="AB960" s="655"/>
      <c r="AC960" s="1"/>
      <c r="AD960" s="116"/>
      <c r="AL960" s="655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5"/>
      <c r="BZ960" s="656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5"/>
      <c r="DJ960" s="116"/>
    </row>
    <row r="961" spans="2:114" ht="15.75" customHeight="1" x14ac:dyDescent="0.25">
      <c r="B961" s="116"/>
      <c r="I961" s="655"/>
      <c r="K961" s="116"/>
      <c r="X961" s="1"/>
      <c r="Y961" s="1"/>
      <c r="Z961" s="1"/>
      <c r="AA961" s="1"/>
      <c r="AB961" s="655"/>
      <c r="AC961" s="1"/>
      <c r="AD961" s="116"/>
      <c r="AL961" s="655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5"/>
      <c r="BZ961" s="656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5"/>
      <c r="DJ961" s="116"/>
    </row>
    <row r="962" spans="2:114" ht="15.75" customHeight="1" x14ac:dyDescent="0.25">
      <c r="B962" s="116"/>
      <c r="I962" s="655"/>
      <c r="K962" s="116"/>
      <c r="X962" s="1"/>
      <c r="Y962" s="1"/>
      <c r="Z962" s="1"/>
      <c r="AA962" s="1"/>
      <c r="AB962" s="655"/>
      <c r="AC962" s="1"/>
      <c r="AD962" s="116"/>
      <c r="AL962" s="655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5"/>
      <c r="BZ962" s="656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5"/>
      <c r="DJ962" s="116"/>
    </row>
    <row r="963" spans="2:114" ht="15.75" customHeight="1" x14ac:dyDescent="0.25">
      <c r="B963" s="116"/>
      <c r="I963" s="655"/>
      <c r="K963" s="116"/>
      <c r="X963" s="1"/>
      <c r="Y963" s="1"/>
      <c r="Z963" s="1"/>
      <c r="AA963" s="1"/>
      <c r="AB963" s="655"/>
      <c r="AC963" s="1"/>
      <c r="AD963" s="116"/>
      <c r="AL963" s="655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5"/>
      <c r="BZ963" s="656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5"/>
      <c r="DJ963" s="116"/>
    </row>
    <row r="964" spans="2:114" ht="15.75" customHeight="1" x14ac:dyDescent="0.25">
      <c r="B964" s="116"/>
      <c r="I964" s="655"/>
      <c r="K964" s="116"/>
      <c r="X964" s="1"/>
      <c r="Y964" s="1"/>
      <c r="Z964" s="1"/>
      <c r="AA964" s="1"/>
      <c r="AB964" s="655"/>
      <c r="AC964" s="1"/>
      <c r="AD964" s="116"/>
      <c r="AL964" s="655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5"/>
      <c r="BZ964" s="656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5"/>
      <c r="DJ964" s="116"/>
    </row>
    <row r="965" spans="2:114" ht="15.75" customHeight="1" x14ac:dyDescent="0.25">
      <c r="B965" s="116"/>
      <c r="I965" s="655"/>
      <c r="K965" s="116"/>
      <c r="X965" s="1"/>
      <c r="Y965" s="1"/>
      <c r="Z965" s="1"/>
      <c r="AA965" s="1"/>
      <c r="AB965" s="655"/>
      <c r="AC965" s="1"/>
      <c r="AD965" s="116"/>
      <c r="AL965" s="655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5"/>
      <c r="BZ965" s="656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5"/>
      <c r="DJ965" s="116"/>
    </row>
    <row r="966" spans="2:114" ht="15.75" customHeight="1" x14ac:dyDescent="0.25">
      <c r="B966" s="116"/>
      <c r="I966" s="655"/>
      <c r="K966" s="116"/>
      <c r="X966" s="1"/>
      <c r="Y966" s="1"/>
      <c r="Z966" s="1"/>
      <c r="AA966" s="1"/>
      <c r="AB966" s="655"/>
      <c r="AC966" s="1"/>
      <c r="AD966" s="116"/>
      <c r="AL966" s="655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5"/>
      <c r="BZ966" s="656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5"/>
      <c r="DJ966" s="116"/>
    </row>
    <row r="967" spans="2:114" ht="15.75" customHeight="1" x14ac:dyDescent="0.25">
      <c r="B967" s="116"/>
      <c r="I967" s="655"/>
      <c r="K967" s="116"/>
      <c r="X967" s="1"/>
      <c r="Y967" s="1"/>
      <c r="Z967" s="1"/>
      <c r="AA967" s="1"/>
      <c r="AB967" s="655"/>
      <c r="AC967" s="1"/>
      <c r="AD967" s="116"/>
      <c r="AL967" s="655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5"/>
      <c r="BZ967" s="656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5"/>
      <c r="DJ967" s="116"/>
    </row>
    <row r="968" spans="2:114" ht="15.75" customHeight="1" x14ac:dyDescent="0.25">
      <c r="B968" s="116"/>
      <c r="I968" s="655"/>
      <c r="K968" s="116"/>
      <c r="X968" s="1"/>
      <c r="Y968" s="1"/>
      <c r="Z968" s="1"/>
      <c r="AA968" s="1"/>
      <c r="AB968" s="655"/>
      <c r="AC968" s="1"/>
      <c r="AD968" s="116"/>
      <c r="AL968" s="655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5"/>
      <c r="BZ968" s="656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5"/>
      <c r="DJ968" s="116"/>
    </row>
    <row r="969" spans="2:114" ht="15.75" customHeight="1" x14ac:dyDescent="0.25">
      <c r="B969" s="116"/>
      <c r="I969" s="655"/>
      <c r="K969" s="116"/>
      <c r="X969" s="1"/>
      <c r="Y969" s="1"/>
      <c r="Z969" s="1"/>
      <c r="AA969" s="1"/>
      <c r="AB969" s="655"/>
      <c r="AC969" s="1"/>
      <c r="AD969" s="116"/>
      <c r="AL969" s="655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5"/>
      <c r="BZ969" s="656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5"/>
      <c r="DJ969" s="116"/>
    </row>
    <row r="970" spans="2:114" ht="15.75" customHeight="1" x14ac:dyDescent="0.25">
      <c r="B970" s="116"/>
      <c r="I970" s="655"/>
      <c r="K970" s="116"/>
      <c r="X970" s="1"/>
      <c r="Y970" s="1"/>
      <c r="Z970" s="1"/>
      <c r="AA970" s="1"/>
      <c r="AB970" s="655"/>
      <c r="AC970" s="1"/>
      <c r="AD970" s="116"/>
      <c r="AL970" s="655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5"/>
      <c r="BZ970" s="656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5"/>
      <c r="DJ970" s="116"/>
    </row>
    <row r="971" spans="2:114" ht="15.75" customHeight="1" x14ac:dyDescent="0.25">
      <c r="B971" s="116"/>
      <c r="I971" s="655"/>
      <c r="K971" s="116"/>
      <c r="X971" s="1"/>
      <c r="Y971" s="1"/>
      <c r="Z971" s="1"/>
      <c r="AA971" s="1"/>
      <c r="AB971" s="655"/>
      <c r="AC971" s="1"/>
      <c r="AD971" s="116"/>
      <c r="AL971" s="655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5"/>
      <c r="BZ971" s="656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5"/>
      <c r="DJ971" s="116"/>
    </row>
    <row r="972" spans="2:114" ht="15.75" customHeight="1" x14ac:dyDescent="0.25">
      <c r="B972" s="116"/>
      <c r="I972" s="655"/>
      <c r="K972" s="116"/>
      <c r="X972" s="1"/>
      <c r="Y972" s="1"/>
      <c r="Z972" s="1"/>
      <c r="AA972" s="1"/>
      <c r="AB972" s="655"/>
      <c r="AC972" s="1"/>
      <c r="AD972" s="116"/>
      <c r="AL972" s="655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5"/>
      <c r="BZ972" s="656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5"/>
      <c r="DJ972" s="116"/>
    </row>
    <row r="973" spans="2:114" ht="15.75" customHeight="1" x14ac:dyDescent="0.25">
      <c r="B973" s="116"/>
      <c r="I973" s="655"/>
      <c r="K973" s="116"/>
      <c r="X973" s="1"/>
      <c r="Y973" s="1"/>
      <c r="Z973" s="1"/>
      <c r="AA973" s="1"/>
      <c r="AB973" s="655"/>
      <c r="AC973" s="1"/>
      <c r="AD973" s="116"/>
      <c r="AL973" s="655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5"/>
      <c r="BZ973" s="656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5"/>
      <c r="DJ973" s="116"/>
    </row>
    <row r="974" spans="2:114" ht="15.75" customHeight="1" x14ac:dyDescent="0.25">
      <c r="B974" s="116"/>
      <c r="I974" s="655"/>
      <c r="K974" s="116"/>
      <c r="X974" s="1"/>
      <c r="Y974" s="1"/>
      <c r="Z974" s="1"/>
      <c r="AA974" s="1"/>
      <c r="AB974" s="655"/>
      <c r="AC974" s="1"/>
      <c r="AD974" s="116"/>
      <c r="AL974" s="655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5"/>
      <c r="BZ974" s="656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5"/>
      <c r="DJ974" s="116"/>
    </row>
    <row r="975" spans="2:114" ht="15.75" customHeight="1" x14ac:dyDescent="0.25">
      <c r="B975" s="116"/>
      <c r="I975" s="655"/>
      <c r="K975" s="116"/>
      <c r="X975" s="1"/>
      <c r="Y975" s="1"/>
      <c r="Z975" s="1"/>
      <c r="AA975" s="1"/>
      <c r="AB975" s="655"/>
      <c r="AC975" s="1"/>
      <c r="AD975" s="116"/>
      <c r="AL975" s="655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5"/>
      <c r="BZ975" s="656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5"/>
      <c r="DJ975" s="116"/>
    </row>
    <row r="976" spans="2:114" ht="15.75" customHeight="1" x14ac:dyDescent="0.25">
      <c r="B976" s="116"/>
      <c r="I976" s="655"/>
      <c r="K976" s="116"/>
      <c r="X976" s="1"/>
      <c r="Y976" s="1"/>
      <c r="Z976" s="1"/>
      <c r="AA976" s="1"/>
      <c r="AB976" s="655"/>
      <c r="AC976" s="1"/>
      <c r="AD976" s="116"/>
      <c r="AL976" s="655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5"/>
      <c r="BZ976" s="656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5"/>
      <c r="DJ976" s="116"/>
    </row>
    <row r="977" spans="2:114" ht="15.75" customHeight="1" x14ac:dyDescent="0.25">
      <c r="B977" s="116"/>
      <c r="I977" s="655"/>
      <c r="K977" s="116"/>
      <c r="X977" s="1"/>
      <c r="Y977" s="1"/>
      <c r="Z977" s="1"/>
      <c r="AA977" s="1"/>
      <c r="AB977" s="655"/>
      <c r="AC977" s="1"/>
      <c r="AD977" s="116"/>
      <c r="AL977" s="655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5"/>
      <c r="BZ977" s="656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5"/>
      <c r="DJ977" s="116"/>
    </row>
    <row r="978" spans="2:114" ht="15.75" customHeight="1" x14ac:dyDescent="0.25">
      <c r="B978" s="116"/>
      <c r="I978" s="655"/>
      <c r="K978" s="116"/>
      <c r="X978" s="1"/>
      <c r="Y978" s="1"/>
      <c r="Z978" s="1"/>
      <c r="AA978" s="1"/>
      <c r="AB978" s="655"/>
      <c r="AC978" s="1"/>
      <c r="AD978" s="116"/>
      <c r="AL978" s="655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5"/>
      <c r="BZ978" s="656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5"/>
      <c r="DJ978" s="116"/>
    </row>
    <row r="979" spans="2:114" ht="15.75" customHeight="1" x14ac:dyDescent="0.25">
      <c r="B979" s="116"/>
      <c r="I979" s="655"/>
      <c r="K979" s="116"/>
      <c r="X979" s="1"/>
      <c r="Y979" s="1"/>
      <c r="Z979" s="1"/>
      <c r="AA979" s="1"/>
      <c r="AB979" s="655"/>
      <c r="AC979" s="1"/>
      <c r="AD979" s="116"/>
      <c r="AL979" s="655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5"/>
      <c r="BZ979" s="656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5"/>
      <c r="DJ979" s="116"/>
    </row>
    <row r="980" spans="2:114" ht="15.75" customHeight="1" x14ac:dyDescent="0.25">
      <c r="B980" s="116"/>
      <c r="I980" s="655"/>
      <c r="K980" s="116"/>
      <c r="X980" s="1"/>
      <c r="Y980" s="1"/>
      <c r="Z980" s="1"/>
      <c r="AA980" s="1"/>
      <c r="AB980" s="655"/>
      <c r="AC980" s="1"/>
      <c r="AD980" s="116"/>
      <c r="AL980" s="655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5"/>
      <c r="BZ980" s="656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5"/>
      <c r="DJ980" s="116"/>
    </row>
    <row r="981" spans="2:114" ht="15.75" customHeight="1" x14ac:dyDescent="0.25">
      <c r="B981" s="116"/>
      <c r="I981" s="655"/>
      <c r="K981" s="116"/>
      <c r="X981" s="1"/>
      <c r="Y981" s="1"/>
      <c r="Z981" s="1"/>
      <c r="AA981" s="1"/>
      <c r="AB981" s="655"/>
      <c r="AC981" s="1"/>
      <c r="AD981" s="116"/>
      <c r="AL981" s="655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5"/>
      <c r="BZ981" s="656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5"/>
      <c r="DJ981" s="116"/>
    </row>
    <row r="982" spans="2:114" ht="15.75" customHeight="1" x14ac:dyDescent="0.25">
      <c r="B982" s="116"/>
      <c r="I982" s="655"/>
      <c r="K982" s="116"/>
      <c r="X982" s="1"/>
      <c r="Y982" s="1"/>
      <c r="Z982" s="1"/>
      <c r="AA982" s="1"/>
      <c r="AB982" s="655"/>
      <c r="AC982" s="1"/>
      <c r="AD982" s="116"/>
      <c r="AL982" s="655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5"/>
      <c r="BZ982" s="656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5"/>
      <c r="DJ982" s="116"/>
    </row>
    <row r="983" spans="2:114" ht="15.75" customHeight="1" x14ac:dyDescent="0.25">
      <c r="B983" s="116"/>
      <c r="I983" s="655"/>
      <c r="K983" s="116"/>
      <c r="X983" s="1"/>
      <c r="Y983" s="1"/>
      <c r="Z983" s="1"/>
      <c r="AA983" s="1"/>
      <c r="AB983" s="655"/>
      <c r="AC983" s="1"/>
      <c r="AD983" s="116"/>
      <c r="AL983" s="655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5"/>
      <c r="BZ983" s="656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5"/>
      <c r="DJ983" s="116"/>
    </row>
    <row r="984" spans="2:114" ht="15.75" customHeight="1" x14ac:dyDescent="0.25">
      <c r="B984" s="116"/>
      <c r="I984" s="655"/>
      <c r="K984" s="116"/>
      <c r="X984" s="1"/>
      <c r="Y984" s="1"/>
      <c r="Z984" s="1"/>
      <c r="AA984" s="1"/>
      <c r="AB984" s="655"/>
      <c r="AC984" s="1"/>
      <c r="AD984" s="116"/>
      <c r="AL984" s="655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5"/>
      <c r="BZ984" s="656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5"/>
      <c r="DJ984" s="116"/>
    </row>
    <row r="985" spans="2:114" ht="15.75" customHeight="1" x14ac:dyDescent="0.25">
      <c r="B985" s="116"/>
      <c r="I985" s="655"/>
      <c r="K985" s="116"/>
      <c r="X985" s="1"/>
      <c r="Y985" s="1"/>
      <c r="Z985" s="1"/>
      <c r="AA985" s="1"/>
      <c r="AB985" s="655"/>
      <c r="AC985" s="1"/>
      <c r="AD985" s="116"/>
      <c r="AL985" s="655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5"/>
      <c r="BZ985" s="656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5"/>
      <c r="DJ985" s="116"/>
    </row>
    <row r="986" spans="2:114" ht="15.75" customHeight="1" x14ac:dyDescent="0.25">
      <c r="B986" s="116"/>
      <c r="I986" s="655"/>
      <c r="K986" s="116"/>
      <c r="X986" s="1"/>
      <c r="Y986" s="1"/>
      <c r="Z986" s="1"/>
      <c r="AA986" s="1"/>
      <c r="AB986" s="655"/>
      <c r="AC986" s="1"/>
      <c r="AD986" s="116"/>
      <c r="AL986" s="655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5"/>
      <c r="BZ986" s="656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5"/>
      <c r="DJ986" s="116"/>
    </row>
    <row r="987" spans="2:114" ht="15.75" customHeight="1" x14ac:dyDescent="0.25">
      <c r="B987" s="116"/>
      <c r="I987" s="655"/>
      <c r="K987" s="116"/>
      <c r="X987" s="1"/>
      <c r="Y987" s="1"/>
      <c r="Z987" s="1"/>
      <c r="AA987" s="1"/>
      <c r="AB987" s="655"/>
      <c r="AC987" s="1"/>
      <c r="AD987" s="116"/>
      <c r="AL987" s="655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5"/>
      <c r="BZ987" s="656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5"/>
      <c r="DJ987" s="116"/>
    </row>
    <row r="988" spans="2:114" ht="15.75" customHeight="1" x14ac:dyDescent="0.25">
      <c r="B988" s="116"/>
      <c r="I988" s="655"/>
      <c r="K988" s="116"/>
      <c r="X988" s="1"/>
      <c r="Y988" s="1"/>
      <c r="Z988" s="1"/>
      <c r="AA988" s="1"/>
      <c r="AB988" s="655"/>
      <c r="AC988" s="1"/>
      <c r="AD988" s="116"/>
      <c r="AL988" s="655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5"/>
      <c r="BZ988" s="656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5"/>
      <c r="DJ988" s="116"/>
    </row>
    <row r="989" spans="2:114" ht="15.75" customHeight="1" x14ac:dyDescent="0.25">
      <c r="B989" s="116"/>
      <c r="I989" s="655"/>
      <c r="K989" s="116"/>
      <c r="X989" s="1"/>
      <c r="Y989" s="1"/>
      <c r="Z989" s="1"/>
      <c r="AA989" s="1"/>
      <c r="AB989" s="655"/>
      <c r="AC989" s="1"/>
      <c r="AD989" s="116"/>
      <c r="AL989" s="655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5"/>
      <c r="BZ989" s="656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5"/>
      <c r="DJ989" s="116"/>
    </row>
    <row r="990" spans="2:114" ht="15.75" customHeight="1" x14ac:dyDescent="0.25">
      <c r="B990" s="116"/>
      <c r="I990" s="655"/>
      <c r="K990" s="116"/>
      <c r="X990" s="1"/>
      <c r="Y990" s="1"/>
      <c r="Z990" s="1"/>
      <c r="AA990" s="1"/>
      <c r="AB990" s="655"/>
      <c r="AC990" s="1"/>
      <c r="AD990" s="116"/>
      <c r="AL990" s="655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5"/>
      <c r="BZ990" s="656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5"/>
      <c r="DJ990" s="116"/>
    </row>
    <row r="991" spans="2:114" ht="15.75" customHeight="1" x14ac:dyDescent="0.25">
      <c r="B991" s="116"/>
      <c r="I991" s="655"/>
      <c r="K991" s="116"/>
      <c r="X991" s="1"/>
      <c r="Y991" s="1"/>
      <c r="Z991" s="1"/>
      <c r="AA991" s="1"/>
      <c r="AB991" s="655"/>
      <c r="AC991" s="1"/>
      <c r="AD991" s="116"/>
      <c r="AL991" s="655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5"/>
      <c r="BZ991" s="656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5"/>
      <c r="DJ991" s="116"/>
    </row>
    <row r="992" spans="2:114" ht="15.75" customHeight="1" x14ac:dyDescent="0.25">
      <c r="B992" s="116"/>
      <c r="I992" s="655"/>
      <c r="K992" s="116"/>
      <c r="X992" s="1"/>
      <c r="Y992" s="1"/>
      <c r="Z992" s="1"/>
      <c r="AA992" s="1"/>
      <c r="AB992" s="655"/>
      <c r="AC992" s="1"/>
      <c r="AD992" s="116"/>
      <c r="AL992" s="655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5"/>
      <c r="BZ992" s="656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5"/>
      <c r="DJ992" s="116"/>
    </row>
    <row r="993" spans="2:114" ht="15.75" customHeight="1" x14ac:dyDescent="0.25">
      <c r="B993" s="116"/>
      <c r="I993" s="655"/>
      <c r="K993" s="116"/>
      <c r="X993" s="1"/>
      <c r="Y993" s="1"/>
      <c r="Z993" s="1"/>
      <c r="AA993" s="1"/>
      <c r="AB993" s="655"/>
      <c r="AC993" s="1"/>
      <c r="AD993" s="116"/>
      <c r="AL993" s="655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5"/>
      <c r="BZ993" s="656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5"/>
      <c r="DJ993" s="116"/>
    </row>
    <row r="994" spans="2:114" ht="15.75" customHeight="1" x14ac:dyDescent="0.25">
      <c r="B994" s="116"/>
      <c r="I994" s="655"/>
      <c r="K994" s="116"/>
      <c r="X994" s="1"/>
      <c r="Y994" s="1"/>
      <c r="Z994" s="1"/>
      <c r="AA994" s="1"/>
      <c r="AB994" s="655"/>
      <c r="AC994" s="1"/>
      <c r="AD994" s="116"/>
      <c r="AL994" s="655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5"/>
      <c r="BZ994" s="656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5"/>
      <c r="DJ994" s="116"/>
    </row>
    <row r="995" spans="2:114" ht="15.75" customHeight="1" x14ac:dyDescent="0.25">
      <c r="B995" s="116"/>
      <c r="I995" s="655"/>
      <c r="K995" s="116"/>
      <c r="X995" s="1"/>
      <c r="Y995" s="1"/>
      <c r="Z995" s="1"/>
      <c r="AA995" s="1"/>
      <c r="AB995" s="655"/>
      <c r="AC995" s="1"/>
      <c r="AD995" s="116"/>
      <c r="AL995" s="655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5"/>
      <c r="BZ995" s="656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5"/>
      <c r="DJ995" s="116"/>
    </row>
    <row r="996" spans="2:114" ht="15.75" customHeight="1" x14ac:dyDescent="0.25">
      <c r="B996" s="116"/>
      <c r="I996" s="655"/>
      <c r="K996" s="116"/>
      <c r="X996" s="1"/>
      <c r="Y996" s="1"/>
      <c r="Z996" s="1"/>
      <c r="AA996" s="1"/>
      <c r="AB996" s="655"/>
      <c r="AC996" s="1"/>
      <c r="AD996" s="116"/>
      <c r="AL996" s="655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5"/>
      <c r="BZ996" s="656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5"/>
      <c r="DJ996" s="116"/>
    </row>
    <row r="997" spans="2:114" ht="15.75" customHeight="1" x14ac:dyDescent="0.25">
      <c r="B997" s="116"/>
      <c r="I997" s="655"/>
      <c r="K997" s="116"/>
      <c r="X997" s="1"/>
      <c r="Y997" s="1"/>
      <c r="Z997" s="1"/>
      <c r="AA997" s="1"/>
      <c r="AB997" s="655"/>
      <c r="AC997" s="1"/>
      <c r="AD997" s="116"/>
      <c r="AL997" s="655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5"/>
      <c r="BZ997" s="656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5"/>
      <c r="DJ997" s="116"/>
    </row>
    <row r="998" spans="2:114" ht="15.75" customHeight="1" x14ac:dyDescent="0.25">
      <c r="B998" s="116"/>
      <c r="I998" s="655"/>
      <c r="K998" s="116"/>
      <c r="X998" s="1"/>
      <c r="Y998" s="1"/>
      <c r="Z998" s="1"/>
      <c r="AA998" s="1"/>
      <c r="AB998" s="655"/>
      <c r="AC998" s="1"/>
      <c r="AD998" s="116"/>
      <c r="AL998" s="655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5"/>
      <c r="BZ998" s="656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5"/>
      <c r="DJ998" s="116"/>
    </row>
    <row r="999" spans="2:114" ht="15.75" customHeight="1" x14ac:dyDescent="0.25">
      <c r="B999" s="116"/>
      <c r="I999" s="655"/>
      <c r="K999" s="116"/>
      <c r="X999" s="1"/>
      <c r="Y999" s="1"/>
      <c r="Z999" s="1"/>
      <c r="AA999" s="1"/>
      <c r="AB999" s="655"/>
      <c r="AC999" s="1"/>
      <c r="AD999" s="116"/>
      <c r="AL999" s="655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5"/>
      <c r="BZ999" s="656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5"/>
      <c r="DJ999" s="116"/>
    </row>
    <row r="1000" spans="2:114" ht="15.75" customHeight="1" x14ac:dyDescent="0.25">
      <c r="B1000" s="116"/>
      <c r="I1000" s="655"/>
      <c r="K1000" s="116"/>
      <c r="X1000" s="1"/>
      <c r="Y1000" s="1"/>
      <c r="Z1000" s="1"/>
      <c r="AA1000" s="1"/>
      <c r="AB1000" s="655"/>
      <c r="AC1000" s="1"/>
      <c r="AD1000" s="116"/>
      <c r="AL1000" s="655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5"/>
      <c r="BZ1000" s="656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5"/>
      <c r="DJ1000" s="116"/>
    </row>
  </sheetData>
  <mergeCells count="20">
    <mergeCell ref="C3:H3"/>
    <mergeCell ref="L3:W3"/>
    <mergeCell ref="AE3:AK3"/>
    <mergeCell ref="AN3:BJ3"/>
    <mergeCell ref="BM3:BT3"/>
    <mergeCell ref="CA3:CN3"/>
    <mergeCell ref="CS3:CY3"/>
    <mergeCell ref="AS5:AZ5"/>
    <mergeCell ref="BM5:BO5"/>
    <mergeCell ref="CA5:CG5"/>
    <mergeCell ref="CI5:CO5"/>
    <mergeCell ref="CS5:CZ5"/>
    <mergeCell ref="DD5:DG5"/>
    <mergeCell ref="L5:O5"/>
    <mergeCell ref="Q5:S5"/>
    <mergeCell ref="U5:V5"/>
    <mergeCell ref="Y5:AA5"/>
    <mergeCell ref="AE5:AG5"/>
    <mergeCell ref="AI5:AK5"/>
    <mergeCell ref="AN5:AQ5"/>
  </mergeCells>
  <pageMargins left="0.7" right="0.7" top="0.75" bottom="0.75" header="0" footer="0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topLeftCell="A7" workbookViewId="0">
      <selection activeCell="G11" sqref="G11"/>
    </sheetView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486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480</v>
      </c>
      <c r="G4" s="1"/>
      <c r="H4" s="725"/>
      <c r="I4" s="726"/>
      <c r="J4" s="726"/>
      <c r="K4" s="726"/>
      <c r="L4" s="726"/>
      <c r="M4" s="726"/>
      <c r="N4" s="727"/>
      <c r="O4" s="1"/>
      <c r="P4" s="725"/>
      <c r="Q4" s="726"/>
      <c r="R4" s="726"/>
      <c r="S4" s="726"/>
      <c r="T4" s="726"/>
      <c r="U4" s="726"/>
      <c r="V4" s="727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8"/>
      <c r="I5" s="1"/>
      <c r="J5" s="1"/>
      <c r="K5" s="1"/>
      <c r="L5" s="1"/>
      <c r="M5" s="1"/>
      <c r="N5" s="729"/>
      <c r="O5" s="1"/>
      <c r="P5" s="728"/>
      <c r="Q5" s="1"/>
      <c r="R5" s="1"/>
      <c r="S5" s="1"/>
      <c r="T5" s="1"/>
      <c r="U5" s="1"/>
      <c r="V5" s="729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8"/>
      <c r="I6" s="1"/>
      <c r="J6" s="956" t="s">
        <v>1499</v>
      </c>
      <c r="K6" s="955"/>
      <c r="L6" s="945"/>
      <c r="M6" s="730" t="s">
        <v>1500</v>
      </c>
      <c r="N6" s="729"/>
      <c r="O6" s="1"/>
      <c r="P6" s="728"/>
      <c r="Q6" s="1"/>
      <c r="R6" s="956" t="s">
        <v>1501</v>
      </c>
      <c r="S6" s="955"/>
      <c r="T6" s="945"/>
      <c r="U6" s="730" t="s">
        <v>1502</v>
      </c>
      <c r="V6" s="729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1" t="s">
        <v>1503</v>
      </c>
      <c r="E7" s="732" t="s">
        <v>1504</v>
      </c>
      <c r="F7" s="733" t="s">
        <v>1500</v>
      </c>
      <c r="G7" s="1"/>
      <c r="H7" s="728"/>
      <c r="I7" s="538"/>
      <c r="J7" s="734" t="s">
        <v>1414</v>
      </c>
      <c r="K7" s="735" t="s">
        <v>1505</v>
      </c>
      <c r="L7" s="736" t="s">
        <v>920</v>
      </c>
      <c r="M7" s="737" t="s">
        <v>920</v>
      </c>
      <c r="N7" s="729"/>
      <c r="O7" s="1"/>
      <c r="P7" s="728"/>
      <c r="Q7" s="538"/>
      <c r="R7" s="734" t="s">
        <v>1414</v>
      </c>
      <c r="S7" s="735" t="s">
        <v>1505</v>
      </c>
      <c r="T7" s="736" t="s">
        <v>920</v>
      </c>
      <c r="U7" s="737" t="s">
        <v>920</v>
      </c>
      <c r="V7" s="729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8" t="s">
        <v>1506</v>
      </c>
      <c r="D8" s="739">
        <f>+D9+D10+D11</f>
        <v>38.799999999999997</v>
      </c>
      <c r="E8" s="740"/>
      <c r="F8" s="741"/>
      <c r="G8" s="1"/>
      <c r="H8" s="728"/>
      <c r="I8" s="742" t="s">
        <v>1415</v>
      </c>
      <c r="J8" s="743">
        <f t="shared" ref="J8:L8" si="0">+SUM(J9:J11)</f>
        <v>16.216999999999999</v>
      </c>
      <c r="K8" s="744">
        <f t="shared" si="0"/>
        <v>22.582999999999998</v>
      </c>
      <c r="L8" s="745">
        <f t="shared" si="0"/>
        <v>38.799999999999997</v>
      </c>
      <c r="M8" s="746">
        <f>+SUM(M9:M12)</f>
        <v>1.9</v>
      </c>
      <c r="N8" s="729"/>
      <c r="O8" s="1"/>
      <c r="P8" s="728"/>
      <c r="Q8" s="742" t="s">
        <v>1415</v>
      </c>
      <c r="R8" s="743">
        <f t="shared" ref="R8:T8" si="1">+J8/1000</f>
        <v>1.6216999999999999E-2</v>
      </c>
      <c r="S8" s="744">
        <f t="shared" si="1"/>
        <v>2.2582999999999999E-2</v>
      </c>
      <c r="T8" s="744">
        <f t="shared" si="1"/>
        <v>3.8799999999999994E-2</v>
      </c>
      <c r="U8" s="746">
        <f t="shared" ref="U8:U12" si="2">+M8*(1/1000)*1000</f>
        <v>1.9</v>
      </c>
      <c r="V8" s="729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7" t="s">
        <v>1407</v>
      </c>
      <c r="D9" s="656">
        <v>14.3</v>
      </c>
      <c r="E9" s="655">
        <v>0.74</v>
      </c>
      <c r="F9" s="748">
        <v>0.3</v>
      </c>
      <c r="G9" s="1"/>
      <c r="H9" s="728"/>
      <c r="I9" s="749" t="s">
        <v>1407</v>
      </c>
      <c r="J9" s="750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1">
        <v>0.3</v>
      </c>
      <c r="N9" s="729"/>
      <c r="O9" s="1"/>
      <c r="P9" s="728"/>
      <c r="Q9" s="749" t="s">
        <v>1407</v>
      </c>
      <c r="R9" s="750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1">
        <f t="shared" si="2"/>
        <v>0.3</v>
      </c>
      <c r="V9" s="729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7" t="s">
        <v>1408</v>
      </c>
      <c r="D10" s="656">
        <v>5.3</v>
      </c>
      <c r="E10" s="655">
        <v>0.23</v>
      </c>
      <c r="F10" s="748">
        <v>0.4</v>
      </c>
      <c r="G10" s="1"/>
      <c r="H10" s="728"/>
      <c r="I10" s="749" t="s">
        <v>1416</v>
      </c>
      <c r="J10" s="750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1">
        <v>0.4</v>
      </c>
      <c r="N10" s="729"/>
      <c r="O10" s="1"/>
      <c r="P10" s="728"/>
      <c r="Q10" s="749" t="s">
        <v>1416</v>
      </c>
      <c r="R10" s="750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1">
        <f t="shared" si="2"/>
        <v>0.4</v>
      </c>
      <c r="V10" s="729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7" t="s">
        <v>1409</v>
      </c>
      <c r="D11" s="656">
        <v>19.2</v>
      </c>
      <c r="E11" s="655">
        <v>0.23</v>
      </c>
      <c r="F11" s="748">
        <v>0.5</v>
      </c>
      <c r="G11" s="1"/>
      <c r="H11" s="728"/>
      <c r="I11" s="752" t="s">
        <v>1409</v>
      </c>
      <c r="J11" s="750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1">
        <v>0.5</v>
      </c>
      <c r="N11" s="729"/>
      <c r="O11" s="1"/>
      <c r="P11" s="728"/>
      <c r="Q11" s="752" t="s">
        <v>1409</v>
      </c>
      <c r="R11" s="750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1">
        <f t="shared" si="2"/>
        <v>0.5</v>
      </c>
      <c r="V11" s="729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3" t="s">
        <v>1507</v>
      </c>
      <c r="D12" s="754">
        <v>16.100000000000001</v>
      </c>
      <c r="E12" s="755">
        <f>+SUMPRODUCT(D9:D11,E9:E11)</f>
        <v>16.216999999999999</v>
      </c>
      <c r="F12" s="756">
        <v>0.7</v>
      </c>
      <c r="G12" s="1"/>
      <c r="H12" s="728"/>
      <c r="I12" s="757" t="s">
        <v>1417</v>
      </c>
      <c r="J12" s="758">
        <f>+J8</f>
        <v>16.216999999999999</v>
      </c>
      <c r="K12" s="411"/>
      <c r="L12" s="759"/>
      <c r="M12" s="760">
        <v>0.7</v>
      </c>
      <c r="N12" s="729"/>
      <c r="O12" s="1"/>
      <c r="P12" s="728"/>
      <c r="Q12" s="757" t="s">
        <v>1417</v>
      </c>
      <c r="R12" s="758">
        <f>+R8</f>
        <v>1.6216999999999999E-2</v>
      </c>
      <c r="S12" s="411"/>
      <c r="T12" s="759"/>
      <c r="U12" s="760">
        <f t="shared" si="2"/>
        <v>0.7</v>
      </c>
      <c r="V12" s="729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1" t="s">
        <v>1503</v>
      </c>
      <c r="E13" s="762" t="s">
        <v>1504</v>
      </c>
      <c r="F13" s="763" t="s">
        <v>1500</v>
      </c>
      <c r="G13" s="1"/>
      <c r="H13" s="728"/>
      <c r="I13" s="1"/>
      <c r="J13" s="1"/>
      <c r="K13" s="1"/>
      <c r="L13" s="1"/>
      <c r="M13" s="1"/>
      <c r="N13" s="729"/>
      <c r="O13" s="1"/>
      <c r="P13" s="728"/>
      <c r="Q13" s="1"/>
      <c r="R13" s="1"/>
      <c r="S13" s="1"/>
      <c r="T13" s="1"/>
      <c r="U13" s="1"/>
      <c r="V13" s="729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3" t="s">
        <v>1508</v>
      </c>
      <c r="D14" s="764">
        <v>4</v>
      </c>
      <c r="E14" s="1"/>
      <c r="F14" s="765">
        <v>0.3</v>
      </c>
      <c r="G14" s="1"/>
      <c r="H14" s="728"/>
      <c r="I14" s="1"/>
      <c r="J14" s="1"/>
      <c r="K14" s="1"/>
      <c r="L14" s="1"/>
      <c r="M14" s="1"/>
      <c r="N14" s="729"/>
      <c r="O14" s="1"/>
      <c r="P14" s="728"/>
      <c r="Q14" s="1"/>
      <c r="R14" s="1"/>
      <c r="S14" s="1"/>
      <c r="T14" s="1"/>
      <c r="U14" s="1"/>
      <c r="V14" s="729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1" t="s">
        <v>1437</v>
      </c>
      <c r="D15" s="656">
        <v>4.5999999999999996</v>
      </c>
      <c r="E15" s="655">
        <v>1</v>
      </c>
      <c r="F15" s="748">
        <v>0.3</v>
      </c>
      <c r="G15" s="1"/>
      <c r="H15" s="728"/>
      <c r="I15" s="1"/>
      <c r="J15" s="1"/>
      <c r="K15" s="1"/>
      <c r="L15" s="1"/>
      <c r="M15" s="1"/>
      <c r="N15" s="729"/>
      <c r="O15" s="216"/>
      <c r="P15" s="728"/>
      <c r="Q15" s="1"/>
      <c r="R15" s="1"/>
      <c r="S15" s="1"/>
      <c r="T15" s="1"/>
      <c r="U15" s="1"/>
      <c r="V15" s="729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1" t="s">
        <v>1439</v>
      </c>
      <c r="D16" s="656">
        <v>3.9</v>
      </c>
      <c r="E16" s="655">
        <v>1</v>
      </c>
      <c r="F16" s="748">
        <v>0.3</v>
      </c>
      <c r="G16" s="1"/>
      <c r="H16" s="728"/>
      <c r="I16" s="1"/>
      <c r="J16" s="766" t="s">
        <v>1499</v>
      </c>
      <c r="K16" s="730" t="s">
        <v>1500</v>
      </c>
      <c r="L16" s="1"/>
      <c r="M16" s="1"/>
      <c r="N16" s="729"/>
      <c r="O16" s="1"/>
      <c r="P16" s="728"/>
      <c r="Q16" s="1"/>
      <c r="R16" s="766" t="s">
        <v>1501</v>
      </c>
      <c r="S16" s="730" t="s">
        <v>1500</v>
      </c>
      <c r="T16" s="1"/>
      <c r="U16" s="1"/>
      <c r="V16" s="729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0" t="s">
        <v>1509</v>
      </c>
      <c r="D17" s="656">
        <v>1.1000000000000001</v>
      </c>
      <c r="E17" s="655">
        <v>1</v>
      </c>
      <c r="F17" s="756">
        <v>0.3</v>
      </c>
      <c r="G17" s="1"/>
      <c r="H17" s="728"/>
      <c r="I17" s="754" t="s">
        <v>1510</v>
      </c>
      <c r="J17" s="767">
        <v>4</v>
      </c>
      <c r="K17" s="768">
        <v>0.3</v>
      </c>
      <c r="L17" s="1"/>
      <c r="M17" s="1"/>
      <c r="N17" s="729"/>
      <c r="O17" s="1"/>
      <c r="P17" s="728"/>
      <c r="Q17" s="754" t="s">
        <v>1510</v>
      </c>
      <c r="R17" s="767">
        <f t="shared" ref="R17:R20" si="9">+J17/1000</f>
        <v>4.0000000000000001E-3</v>
      </c>
      <c r="S17" s="768">
        <f t="shared" ref="S17:S20" si="10">+K17*1000/1000</f>
        <v>0.3</v>
      </c>
      <c r="T17" s="1"/>
      <c r="U17" s="1"/>
      <c r="V17" s="729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1" t="s">
        <v>1503</v>
      </c>
      <c r="E18" s="762" t="s">
        <v>1504</v>
      </c>
      <c r="F18" s="763" t="s">
        <v>1500</v>
      </c>
      <c r="G18" s="1"/>
      <c r="H18" s="728"/>
      <c r="I18" s="749" t="s">
        <v>1511</v>
      </c>
      <c r="J18" s="769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29"/>
      <c r="O18" s="1"/>
      <c r="P18" s="728"/>
      <c r="Q18" s="749" t="s">
        <v>1511</v>
      </c>
      <c r="R18" s="769">
        <f t="shared" si="9"/>
        <v>4.5999999999999999E-3</v>
      </c>
      <c r="S18" s="321">
        <f t="shared" si="10"/>
        <v>0.3</v>
      </c>
      <c r="T18" s="1"/>
      <c r="U18" s="1"/>
      <c r="V18" s="729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8" t="s">
        <v>1512</v>
      </c>
      <c r="D19" s="770">
        <f>+SUM(D20:D26)</f>
        <v>84.449999999999989</v>
      </c>
      <c r="E19" s="732"/>
      <c r="F19" s="765">
        <f>+SUM(F20:F27)</f>
        <v>5.6703000000000001</v>
      </c>
      <c r="G19" s="1"/>
      <c r="H19" s="728"/>
      <c r="I19" s="749" t="s">
        <v>1513</v>
      </c>
      <c r="J19" s="769">
        <f t="shared" si="11"/>
        <v>3.9</v>
      </c>
      <c r="K19" s="321">
        <f t="shared" si="12"/>
        <v>0.3</v>
      </c>
      <c r="L19" s="1"/>
      <c r="M19" s="1"/>
      <c r="N19" s="729"/>
      <c r="O19" s="1"/>
      <c r="P19" s="728"/>
      <c r="Q19" s="749" t="s">
        <v>1513</v>
      </c>
      <c r="R19" s="769">
        <f t="shared" si="9"/>
        <v>3.8999999999999998E-3</v>
      </c>
      <c r="S19" s="321">
        <f t="shared" si="10"/>
        <v>0.3</v>
      </c>
      <c r="T19" s="1"/>
      <c r="U19" s="1"/>
      <c r="V19" s="729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7" t="s">
        <v>1473</v>
      </c>
      <c r="D20" s="656">
        <v>0.5</v>
      </c>
      <c r="E20" s="655"/>
      <c r="F20" s="748">
        <v>0.03</v>
      </c>
      <c r="G20" s="1"/>
      <c r="H20" s="728"/>
      <c r="I20" s="752" t="s">
        <v>1514</v>
      </c>
      <c r="J20" s="771">
        <f t="shared" si="11"/>
        <v>1.1000000000000001</v>
      </c>
      <c r="K20" s="325">
        <f t="shared" si="12"/>
        <v>0.3</v>
      </c>
      <c r="L20" s="1"/>
      <c r="M20" s="1"/>
      <c r="N20" s="729"/>
      <c r="O20" s="1"/>
      <c r="P20" s="728"/>
      <c r="Q20" s="752" t="s">
        <v>1514</v>
      </c>
      <c r="R20" s="771">
        <f t="shared" si="9"/>
        <v>1.1000000000000001E-3</v>
      </c>
      <c r="S20" s="325">
        <f t="shared" si="10"/>
        <v>0.3</v>
      </c>
      <c r="T20" s="1"/>
      <c r="U20" s="1"/>
      <c r="V20" s="729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7" t="s">
        <v>1515</v>
      </c>
      <c r="D21" s="656">
        <v>0.02</v>
      </c>
      <c r="E21" s="655"/>
      <c r="F21" s="748">
        <v>2.0000000000000001E-4</v>
      </c>
      <c r="G21" s="1"/>
      <c r="H21" s="728"/>
      <c r="I21" s="1"/>
      <c r="J21" s="1"/>
      <c r="K21" s="1"/>
      <c r="L21" s="1"/>
      <c r="M21" s="1"/>
      <c r="N21" s="729"/>
      <c r="O21" s="1"/>
      <c r="P21" s="728"/>
      <c r="Q21" s="1"/>
      <c r="R21" s="1"/>
      <c r="S21" s="1"/>
      <c r="T21" s="1"/>
      <c r="U21" s="1"/>
      <c r="V21" s="729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7" t="s">
        <v>1516</v>
      </c>
      <c r="D22" s="656">
        <v>0.6</v>
      </c>
      <c r="E22" s="655"/>
      <c r="F22" s="748">
        <v>1E-4</v>
      </c>
      <c r="G22" s="1"/>
      <c r="H22" s="728"/>
      <c r="I22" s="1"/>
      <c r="J22" s="1"/>
      <c r="K22" s="1"/>
      <c r="L22" s="1"/>
      <c r="M22" s="1"/>
      <c r="N22" s="729"/>
      <c r="O22" s="1"/>
      <c r="P22" s="728"/>
      <c r="Q22" s="1"/>
      <c r="R22" s="1"/>
      <c r="S22" s="1"/>
      <c r="T22" s="1"/>
      <c r="U22" s="1"/>
      <c r="V22" s="729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7" t="s">
        <v>1517</v>
      </c>
      <c r="D23" s="656">
        <v>11.8</v>
      </c>
      <c r="E23" s="655"/>
      <c r="F23" s="748">
        <v>0.25</v>
      </c>
      <c r="G23" s="1"/>
      <c r="H23" s="728"/>
      <c r="I23" s="1"/>
      <c r="J23" s="1"/>
      <c r="K23" s="1"/>
      <c r="L23" s="1"/>
      <c r="M23" s="1"/>
      <c r="N23" s="729"/>
      <c r="O23" s="1"/>
      <c r="P23" s="728"/>
      <c r="Q23" s="1"/>
      <c r="R23" s="1"/>
      <c r="S23" s="1"/>
      <c r="T23" s="1"/>
      <c r="U23" s="1"/>
      <c r="V23" s="729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7" t="s">
        <v>1518</v>
      </c>
      <c r="D24" s="656">
        <v>11.83</v>
      </c>
      <c r="E24" s="655"/>
      <c r="F24" s="748">
        <v>0.17</v>
      </c>
      <c r="G24" s="1"/>
      <c r="H24" s="728"/>
      <c r="I24" s="1"/>
      <c r="J24" s="62" t="s">
        <v>1499</v>
      </c>
      <c r="K24" s="62" t="s">
        <v>1500</v>
      </c>
      <c r="L24" s="1"/>
      <c r="M24" s="1"/>
      <c r="N24" s="729"/>
      <c r="O24" s="1"/>
      <c r="P24" s="728"/>
      <c r="Q24" s="1"/>
      <c r="R24" s="62" t="s">
        <v>1501</v>
      </c>
      <c r="S24" s="62" t="s">
        <v>1500</v>
      </c>
      <c r="T24" s="1"/>
      <c r="U24" s="1"/>
      <c r="V24" s="729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7" t="s">
        <v>1519</v>
      </c>
      <c r="D25" s="656">
        <v>32.799999999999997</v>
      </c>
      <c r="E25" s="655">
        <v>0.99</v>
      </c>
      <c r="F25" s="748">
        <v>1.75</v>
      </c>
      <c r="G25" s="1"/>
      <c r="H25" s="728"/>
      <c r="I25" s="761" t="s">
        <v>1512</v>
      </c>
      <c r="J25" s="766">
        <v>84.45</v>
      </c>
      <c r="K25" s="763">
        <f>+SUM(F20:F27)</f>
        <v>5.6703000000000001</v>
      </c>
      <c r="L25" s="1"/>
      <c r="M25" s="1"/>
      <c r="N25" s="729"/>
      <c r="O25" s="1"/>
      <c r="P25" s="728"/>
      <c r="Q25" s="761" t="s">
        <v>1512</v>
      </c>
      <c r="R25" s="766">
        <f t="shared" ref="R25:R27" si="13">+J25/1000</f>
        <v>8.4449999999999997E-2</v>
      </c>
      <c r="S25" s="763">
        <f t="shared" ref="S25:S27" si="14">+K25*1000/1000</f>
        <v>5.6703000000000001</v>
      </c>
      <c r="T25" s="1"/>
      <c r="U25" s="1"/>
      <c r="V25" s="729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7" t="s">
        <v>1520</v>
      </c>
      <c r="D26" s="656">
        <v>26.9</v>
      </c>
      <c r="E26" s="655">
        <v>0.54</v>
      </c>
      <c r="F26" s="748">
        <v>0.56000000000000005</v>
      </c>
      <c r="G26" s="1"/>
      <c r="H26" s="728"/>
      <c r="I26" s="750" t="s">
        <v>1521</v>
      </c>
      <c r="J26" s="751">
        <f>+SUM(D20:D26)</f>
        <v>84.449999999999989</v>
      </c>
      <c r="K26" s="748">
        <f>+SUM(F20:F26)</f>
        <v>2.7603</v>
      </c>
      <c r="L26" s="1"/>
      <c r="M26" s="1"/>
      <c r="N26" s="729"/>
      <c r="O26" s="1"/>
      <c r="P26" s="728"/>
      <c r="Q26" s="750" t="s">
        <v>1521</v>
      </c>
      <c r="R26" s="751">
        <f t="shared" si="13"/>
        <v>8.4449999999999983E-2</v>
      </c>
      <c r="S26" s="748">
        <f t="shared" si="14"/>
        <v>2.7603</v>
      </c>
      <c r="T26" s="1"/>
      <c r="U26" s="1"/>
      <c r="V26" s="729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3" t="s">
        <v>1522</v>
      </c>
      <c r="D27" s="754">
        <v>64.400000000000006</v>
      </c>
      <c r="E27" s="772">
        <f>+SUMPRODUCT(D25:D26,E25:E26)</f>
        <v>46.99799999999999</v>
      </c>
      <c r="F27" s="756">
        <v>2.91</v>
      </c>
      <c r="G27" s="1"/>
      <c r="H27" s="728"/>
      <c r="I27" s="773" t="s">
        <v>1523</v>
      </c>
      <c r="J27" s="774">
        <f>+D27</f>
        <v>64.400000000000006</v>
      </c>
      <c r="K27" s="756">
        <f>+F27</f>
        <v>2.91</v>
      </c>
      <c r="L27" s="1"/>
      <c r="M27" s="1"/>
      <c r="N27" s="729"/>
      <c r="O27" s="1"/>
      <c r="P27" s="728"/>
      <c r="Q27" s="773" t="s">
        <v>1523</v>
      </c>
      <c r="R27" s="774">
        <f t="shared" si="13"/>
        <v>6.4399999999999999E-2</v>
      </c>
      <c r="S27" s="756">
        <f t="shared" si="14"/>
        <v>2.91</v>
      </c>
      <c r="T27" s="1"/>
      <c r="U27" s="1"/>
      <c r="V27" s="729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8"/>
      <c r="I28" s="1"/>
      <c r="J28" s="1"/>
      <c r="K28" s="1"/>
      <c r="L28" s="1"/>
      <c r="M28" s="1"/>
      <c r="N28" s="729"/>
      <c r="O28" s="1"/>
      <c r="P28" s="728"/>
      <c r="Q28" s="1"/>
      <c r="R28" s="1"/>
      <c r="S28" s="1"/>
      <c r="T28" s="1"/>
      <c r="U28" s="1"/>
      <c r="V28" s="729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5"/>
      <c r="I29" s="776"/>
      <c r="J29" s="776"/>
      <c r="K29" s="776"/>
      <c r="L29" s="776"/>
      <c r="M29" s="776"/>
      <c r="N29" s="777"/>
      <c r="O29" s="1"/>
      <c r="P29" s="775"/>
      <c r="Q29" s="776"/>
      <c r="R29" s="776"/>
      <c r="S29" s="776"/>
      <c r="T29" s="776"/>
      <c r="U29" s="776"/>
      <c r="V29" s="777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>
        <f>+F20+F21+F22+F23+F24+F25+F26</f>
        <v>2.7603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1524</v>
      </c>
      <c r="E50" s="1"/>
      <c r="F50" s="2" t="s">
        <v>480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8" t="s">
        <v>1506</v>
      </c>
      <c r="D51" s="779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7" t="s">
        <v>1407</v>
      </c>
      <c r="D52" s="780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7" t="s">
        <v>1408</v>
      </c>
      <c r="D53" s="780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7" t="s">
        <v>1409</v>
      </c>
      <c r="D54" s="780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3" t="s">
        <v>1507</v>
      </c>
      <c r="D55" s="759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987" t="s">
        <v>1525</v>
      </c>
      <c r="J5" s="942"/>
      <c r="K5" s="942"/>
      <c r="L5" s="942"/>
      <c r="M5" s="942"/>
      <c r="N5" s="942"/>
      <c r="O5" s="942"/>
      <c r="P5" s="942"/>
      <c r="Q5" s="942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1"/>
      <c r="J6" s="781">
        <v>2014</v>
      </c>
      <c r="K6" s="781">
        <v>2015</v>
      </c>
      <c r="L6" s="781">
        <v>2016</v>
      </c>
      <c r="M6" s="781">
        <v>2017</v>
      </c>
      <c r="N6" s="781">
        <v>2018</v>
      </c>
      <c r="O6" s="781">
        <v>2019</v>
      </c>
      <c r="P6" s="781">
        <v>2020</v>
      </c>
      <c r="Q6" s="781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2" t="s">
        <v>1526</v>
      </c>
      <c r="J7" s="103">
        <v>1972</v>
      </c>
      <c r="K7" s="103">
        <v>2084</v>
      </c>
      <c r="L7" s="103">
        <v>1849</v>
      </c>
      <c r="M7" s="782">
        <v>1598</v>
      </c>
      <c r="N7" s="782">
        <v>1659</v>
      </c>
      <c r="O7" s="782">
        <v>1727</v>
      </c>
      <c r="P7" s="782">
        <v>1893</v>
      </c>
      <c r="Q7" s="782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1527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1528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1529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1530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3" t="s">
        <v>936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1531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1532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4" t="s">
        <v>1533</v>
      </c>
      <c r="J16" s="40" t="s">
        <v>1023</v>
      </c>
      <c r="K16" s="785">
        <v>0.29699999999999999</v>
      </c>
      <c r="L16" s="40" t="s">
        <v>1023</v>
      </c>
      <c r="M16" s="40" t="s">
        <v>1023</v>
      </c>
      <c r="N16" s="786">
        <v>0.3</v>
      </c>
      <c r="O16" s="786">
        <v>0.27</v>
      </c>
      <c r="P16" s="786">
        <v>0.28999999999999998</v>
      </c>
      <c r="Q16" s="786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1534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7" t="s">
        <v>1535</v>
      </c>
      <c r="J18" s="49" t="str">
        <f t="shared" ref="J18:Q18" si="2">+IF(J16="-","-",J16*J13)</f>
        <v>-</v>
      </c>
      <c r="K18" s="788">
        <f t="shared" si="2"/>
        <v>548.85599999999999</v>
      </c>
      <c r="L18" s="788" t="str">
        <f t="shared" si="2"/>
        <v>-</v>
      </c>
      <c r="M18" s="788" t="str">
        <f t="shared" si="2"/>
        <v>-</v>
      </c>
      <c r="N18" s="788">
        <f t="shared" si="2"/>
        <v>518.1</v>
      </c>
      <c r="O18" s="788">
        <f t="shared" si="2"/>
        <v>511.11</v>
      </c>
      <c r="P18" s="788">
        <f t="shared" si="2"/>
        <v>513.41599999999994</v>
      </c>
      <c r="Q18" s="788">
        <f t="shared" si="2"/>
        <v>560.42000000000007</v>
      </c>
    </row>
    <row r="20" spans="2:17" x14ac:dyDescent="0.25">
      <c r="I20" s="789" t="s">
        <v>1536</v>
      </c>
    </row>
    <row r="21" spans="2:17" ht="15.75" customHeight="1" x14ac:dyDescent="0.25">
      <c r="C21" s="12" t="s">
        <v>1255</v>
      </c>
      <c r="D21" s="343">
        <v>6117863200</v>
      </c>
      <c r="E21" s="12" t="s">
        <v>1318</v>
      </c>
      <c r="I21" s="112" t="s">
        <v>1537</v>
      </c>
      <c r="J21" s="790">
        <f t="shared" ref="J21:Q21" si="3">-SUM(J8:J11)/J12</f>
        <v>1.4609053497942386</v>
      </c>
      <c r="K21" s="790">
        <f t="shared" si="3"/>
        <v>5.9760956175298807E-2</v>
      </c>
      <c r="L21" s="790">
        <f t="shared" si="3"/>
        <v>-6.8085106382978725E-2</v>
      </c>
      <c r="M21" s="790">
        <f t="shared" si="3"/>
        <v>1.2606837606837606</v>
      </c>
      <c r="N21" s="790">
        <f t="shared" si="3"/>
        <v>1.2845188284518829</v>
      </c>
      <c r="O21" s="790">
        <f t="shared" si="3"/>
        <v>1.6859504132231404</v>
      </c>
      <c r="P21" s="790">
        <f t="shared" si="3"/>
        <v>0.48050847457627122</v>
      </c>
      <c r="Q21" s="790">
        <f t="shared" si="3"/>
        <v>2.002164502164502</v>
      </c>
    </row>
    <row r="22" spans="2:17" ht="15.75" customHeight="1" x14ac:dyDescent="0.25">
      <c r="C22" s="12" t="s">
        <v>1255</v>
      </c>
      <c r="D22" s="343">
        <f>+D21*1000/(1000000000000)</f>
        <v>6.1178632000000004</v>
      </c>
      <c r="E22" s="12" t="s">
        <v>1239</v>
      </c>
      <c r="I22" s="12" t="s">
        <v>1538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1539</v>
      </c>
      <c r="I23" s="12" t="s">
        <v>1540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1541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1542</v>
      </c>
      <c r="J25" s="791">
        <f t="shared" ref="J25:Q25" si="7">-J11/J12</f>
        <v>0</v>
      </c>
      <c r="K25" s="791">
        <f t="shared" si="7"/>
        <v>0</v>
      </c>
      <c r="L25" s="791">
        <f t="shared" si="7"/>
        <v>0</v>
      </c>
      <c r="M25" s="791">
        <f t="shared" si="7"/>
        <v>0.18803418803418803</v>
      </c>
      <c r="N25" s="791">
        <f t="shared" si="7"/>
        <v>0.2384937238493724</v>
      </c>
      <c r="O25" s="791">
        <f t="shared" si="7"/>
        <v>0.27685950413223143</v>
      </c>
      <c r="P25" s="791">
        <f t="shared" si="7"/>
        <v>0.12245762711864407</v>
      </c>
      <c r="Q25" s="791">
        <f t="shared" si="7"/>
        <v>-1.5151515151515152E-2</v>
      </c>
    </row>
    <row r="26" spans="2:17" ht="15.75" customHeight="1" x14ac:dyDescent="0.25"/>
    <row r="27" spans="2:17" ht="15.75" customHeight="1" x14ac:dyDescent="0.25">
      <c r="I27" s="781" t="s">
        <v>1543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1359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1544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1545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1546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1547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987" t="s">
        <v>1548</v>
      </c>
      <c r="J44" s="942"/>
      <c r="K44" s="942"/>
      <c r="L44" s="942"/>
      <c r="M44" s="942"/>
      <c r="N44" s="942"/>
      <c r="O44" s="942"/>
      <c r="P44" s="942"/>
      <c r="Q44" s="99"/>
    </row>
    <row r="45" spans="9:17" ht="15.75" customHeight="1" x14ac:dyDescent="0.25">
      <c r="I45" s="118"/>
      <c r="J45" s="988" t="s">
        <v>1549</v>
      </c>
      <c r="K45" s="942"/>
      <c r="L45" s="988" t="s">
        <v>1550</v>
      </c>
      <c r="M45" s="939"/>
      <c r="N45" s="792"/>
      <c r="O45" s="49" t="s">
        <v>1551</v>
      </c>
      <c r="P45" s="793" t="s">
        <v>1550</v>
      </c>
    </row>
    <row r="46" spans="9:17" ht="15.75" customHeight="1" x14ac:dyDescent="0.25">
      <c r="I46" s="12" t="s">
        <v>1552</v>
      </c>
      <c r="J46" s="14">
        <v>2234</v>
      </c>
      <c r="K46" s="14" t="s">
        <v>1553</v>
      </c>
      <c r="L46" s="402">
        <f>+('5. Data'!AF100+'5. Data'!AF101)*$D$7</f>
        <v>1536.6908880451988</v>
      </c>
      <c r="M46" s="14" t="s">
        <v>1553</v>
      </c>
      <c r="N46" s="794" t="s">
        <v>1552</v>
      </c>
      <c r="O46" s="295">
        <f t="shared" ref="O46:O51" si="10">+J46/$J$53</f>
        <v>0.59700694815606625</v>
      </c>
      <c r="P46" s="795">
        <f>+L46/$L$53</f>
        <v>0.82698632788465398</v>
      </c>
    </row>
    <row r="47" spans="9:17" ht="15.75" customHeight="1" x14ac:dyDescent="0.25">
      <c r="I47" s="12" t="s">
        <v>1188</v>
      </c>
      <c r="J47" s="14">
        <v>508</v>
      </c>
      <c r="K47" s="14" t="s">
        <v>1553</v>
      </c>
      <c r="L47" s="14" t="s">
        <v>1023</v>
      </c>
      <c r="M47" s="14"/>
      <c r="N47" s="794" t="s">
        <v>1188</v>
      </c>
      <c r="O47" s="295">
        <f t="shared" si="10"/>
        <v>0.13575628006413681</v>
      </c>
      <c r="P47" s="795" t="s">
        <v>1023</v>
      </c>
    </row>
    <row r="48" spans="9:17" ht="15.75" customHeight="1" x14ac:dyDescent="0.25">
      <c r="I48" s="12" t="s">
        <v>1146</v>
      </c>
      <c r="J48" s="14">
        <v>584</v>
      </c>
      <c r="K48" s="14" t="s">
        <v>1553</v>
      </c>
      <c r="L48" s="402">
        <f>+'5. Data'!AF99-'5. Data'!AF69</f>
        <v>243.24624083200007</v>
      </c>
      <c r="M48" s="14" t="s">
        <v>1553</v>
      </c>
      <c r="N48" s="794" t="s">
        <v>1146</v>
      </c>
      <c r="O48" s="295">
        <f t="shared" si="10"/>
        <v>0.15606627471940138</v>
      </c>
      <c r="P48" s="795">
        <f t="shared" ref="P48:P52" si="11">+L48/$L$53</f>
        <v>0.13090551720085761</v>
      </c>
    </row>
    <row r="49" spans="9:16" ht="15.75" customHeight="1" x14ac:dyDescent="0.25">
      <c r="I49" s="12" t="s">
        <v>1171</v>
      </c>
      <c r="J49" s="14">
        <v>226</v>
      </c>
      <c r="K49" s="14" t="s">
        <v>1553</v>
      </c>
      <c r="L49" s="402">
        <f>+'5. Data'!AF103</f>
        <v>30.707442634670208</v>
      </c>
      <c r="M49" s="14" t="s">
        <v>1553</v>
      </c>
      <c r="N49" s="794" t="s">
        <v>1171</v>
      </c>
      <c r="O49" s="295">
        <f t="shared" si="10"/>
        <v>6.0395510422234101E-2</v>
      </c>
      <c r="P49" s="795">
        <f t="shared" si="11"/>
        <v>1.6525532506722097E-2</v>
      </c>
    </row>
    <row r="50" spans="9:16" ht="15.75" customHeight="1" x14ac:dyDescent="0.25">
      <c r="I50" s="12" t="s">
        <v>1554</v>
      </c>
      <c r="J50" s="14">
        <v>168</v>
      </c>
      <c r="K50" s="14" t="s">
        <v>1553</v>
      </c>
      <c r="L50" s="402">
        <f>+'5. Data'!AF69</f>
        <v>23.492594688000001</v>
      </c>
      <c r="M50" s="14" t="s">
        <v>1553</v>
      </c>
      <c r="N50" s="794" t="s">
        <v>1554</v>
      </c>
      <c r="O50" s="295">
        <f t="shared" si="10"/>
        <v>4.4895777659005882E-2</v>
      </c>
      <c r="P50" s="795">
        <f t="shared" si="11"/>
        <v>1.2642786369499321E-2</v>
      </c>
    </row>
    <row r="51" spans="9:16" ht="15.75" customHeight="1" x14ac:dyDescent="0.25">
      <c r="I51" s="12" t="s">
        <v>1180</v>
      </c>
      <c r="J51" s="14">
        <v>22</v>
      </c>
      <c r="K51" s="14" t="s">
        <v>1553</v>
      </c>
      <c r="L51" s="402">
        <f>+'5. Data'!AF104</f>
        <v>13.932585988360662</v>
      </c>
      <c r="M51" s="14" t="s">
        <v>1553</v>
      </c>
      <c r="N51" s="794" t="s">
        <v>1180</v>
      </c>
      <c r="O51" s="295">
        <f t="shared" si="10"/>
        <v>5.8792089791555322E-3</v>
      </c>
      <c r="P51" s="795">
        <f t="shared" si="11"/>
        <v>7.4979673622641192E-3</v>
      </c>
    </row>
    <row r="52" spans="9:16" ht="15.75" customHeight="1" x14ac:dyDescent="0.25">
      <c r="I52" s="12" t="s">
        <v>1555</v>
      </c>
      <c r="J52" s="49" t="s">
        <v>1023</v>
      </c>
      <c r="K52" s="49"/>
      <c r="L52" s="788">
        <f>+'5. Data'!AF102</f>
        <v>10.111980967983444</v>
      </c>
      <c r="M52" s="793" t="s">
        <v>1553</v>
      </c>
      <c r="N52" s="792" t="s">
        <v>1555</v>
      </c>
      <c r="O52" s="796" t="s">
        <v>1023</v>
      </c>
      <c r="P52" s="797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1553</v>
      </c>
      <c r="L53" s="402">
        <f>+SUM(L46:L52)</f>
        <v>1858.1817331562133</v>
      </c>
      <c r="M53" s="14" t="s">
        <v>1553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987" t="s">
        <v>1556</v>
      </c>
      <c r="J57" s="942"/>
      <c r="K57" s="942"/>
      <c r="L57" s="942"/>
      <c r="M57" s="942"/>
      <c r="N57" s="942"/>
      <c r="O57" s="942"/>
      <c r="P57" s="942"/>
    </row>
    <row r="58" spans="9:16" ht="15.75" customHeight="1" x14ac:dyDescent="0.25">
      <c r="J58" s="798" t="s">
        <v>1557</v>
      </c>
      <c r="K58" s="798" t="s">
        <v>1558</v>
      </c>
      <c r="L58" s="798" t="s">
        <v>1559</v>
      </c>
      <c r="M58" s="799" t="s">
        <v>1557</v>
      </c>
      <c r="N58" s="798" t="s">
        <v>1558</v>
      </c>
      <c r="O58" s="800" t="s">
        <v>1559</v>
      </c>
    </row>
    <row r="59" spans="9:16" ht="15.75" customHeight="1" x14ac:dyDescent="0.25">
      <c r="I59" s="12" t="s">
        <v>1552</v>
      </c>
      <c r="J59" s="214">
        <v>2234</v>
      </c>
      <c r="K59" s="214">
        <v>322</v>
      </c>
      <c r="L59" s="214">
        <v>16</v>
      </c>
      <c r="M59" s="801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1188</v>
      </c>
      <c r="J60" s="214">
        <v>508</v>
      </c>
      <c r="K60" s="214">
        <v>223</v>
      </c>
      <c r="L60" s="214">
        <v>229</v>
      </c>
      <c r="M60" s="801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1146</v>
      </c>
      <c r="J61" s="214">
        <v>584</v>
      </c>
      <c r="K61" s="214">
        <v>22</v>
      </c>
      <c r="L61" s="214">
        <v>22</v>
      </c>
      <c r="M61" s="801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1171</v>
      </c>
      <c r="J62" s="214">
        <v>226</v>
      </c>
      <c r="K62" s="214">
        <v>115</v>
      </c>
      <c r="L62" s="214">
        <v>73</v>
      </c>
      <c r="M62" s="801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1554</v>
      </c>
      <c r="J63" s="214">
        <v>168</v>
      </c>
      <c r="K63" s="214">
        <v>85</v>
      </c>
      <c r="L63" s="214">
        <v>56</v>
      </c>
      <c r="M63" s="801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1180</v>
      </c>
      <c r="J64" s="214">
        <v>22</v>
      </c>
      <c r="K64" s="214">
        <v>0</v>
      </c>
      <c r="L64" s="214">
        <v>0</v>
      </c>
      <c r="M64" s="801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1555</v>
      </c>
      <c r="J65" s="214" t="s">
        <v>1023</v>
      </c>
      <c r="K65" s="214" t="s">
        <v>1023</v>
      </c>
      <c r="L65" s="214" t="s">
        <v>1023</v>
      </c>
      <c r="M65" s="801"/>
      <c r="N65" s="228"/>
      <c r="O65" s="363"/>
    </row>
    <row r="66" spans="9:17" ht="15.75" customHeight="1" x14ac:dyDescent="0.25">
      <c r="I66" s="12" t="s">
        <v>1560</v>
      </c>
      <c r="J66" s="214">
        <v>17</v>
      </c>
      <c r="K66" s="214">
        <v>8</v>
      </c>
      <c r="L66" s="214">
        <v>7</v>
      </c>
      <c r="M66" s="801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1561</v>
      </c>
      <c r="J67" s="214">
        <v>17</v>
      </c>
      <c r="K67" s="214">
        <v>7</v>
      </c>
      <c r="L67" s="214">
        <v>5</v>
      </c>
      <c r="M67" s="801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1562</v>
      </c>
      <c r="J68" s="214">
        <v>7</v>
      </c>
      <c r="K68" s="214">
        <v>9</v>
      </c>
      <c r="L68" s="214">
        <v>2</v>
      </c>
      <c r="M68" s="801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1563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2">
        <f t="shared" ref="M69:O69" si="22">+J69/J$69</f>
        <v>1</v>
      </c>
      <c r="N69" s="791">
        <f t="shared" si="22"/>
        <v>1</v>
      </c>
      <c r="O69" s="803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1544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4">
        <v>2021</v>
      </c>
    </row>
    <row r="77" spans="9:17" ht="15.75" customHeight="1" x14ac:dyDescent="0.25">
      <c r="I77" s="12" t="s">
        <v>1557</v>
      </c>
      <c r="J77" s="12">
        <f>+J69</f>
        <v>3783</v>
      </c>
      <c r="K77" s="12">
        <v>2949</v>
      </c>
      <c r="L77" s="12">
        <v>3164</v>
      </c>
      <c r="M77" s="801">
        <v>1</v>
      </c>
      <c r="N77" s="228">
        <v>1</v>
      </c>
      <c r="O77" s="363">
        <v>1</v>
      </c>
    </row>
    <row r="78" spans="9:17" ht="15.75" customHeight="1" x14ac:dyDescent="0.25">
      <c r="I78" s="12" t="s">
        <v>1558</v>
      </c>
      <c r="J78" s="12">
        <f>+K69</f>
        <v>791</v>
      </c>
      <c r="K78" s="12">
        <v>632</v>
      </c>
      <c r="L78" s="12">
        <v>689</v>
      </c>
      <c r="M78" s="801">
        <f t="shared" ref="M78:O78" si="23">+J78/J77</f>
        <v>0.2090933121860957</v>
      </c>
      <c r="N78" s="801">
        <f t="shared" si="23"/>
        <v>0.21430993557138012</v>
      </c>
      <c r="O78" s="801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1559</v>
      </c>
      <c r="J79" s="12">
        <f>+L69</f>
        <v>410</v>
      </c>
      <c r="K79" s="12">
        <v>450</v>
      </c>
      <c r="L79" s="12">
        <v>640</v>
      </c>
      <c r="M79" s="802">
        <f t="shared" ref="M79:O79" si="25">+J79/J77</f>
        <v>0.10837959291567539</v>
      </c>
      <c r="N79" s="802">
        <f t="shared" si="25"/>
        <v>0.1525940996948118</v>
      </c>
      <c r="O79" s="802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REF1</vt:lpstr>
      <vt:lpstr>REF2</vt:lpstr>
      <vt:lpstr>4.2 Ref_Barranca</vt:lpstr>
      <vt:lpstr>4.1 Ref_Cart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CARMEN</cp:lastModifiedBy>
  <dcterms:created xsi:type="dcterms:W3CDTF">2022-12-05T19:56:51Z</dcterms:created>
  <dcterms:modified xsi:type="dcterms:W3CDTF">2022-12-29T22:42:07Z</dcterms:modified>
</cp:coreProperties>
</file>