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DataBases\"/>
    </mc:Choice>
  </mc:AlternateContent>
  <xr:revisionPtr revIDLastSave="0" documentId="13_ncr:1_{CFE749AC-BF98-4CBA-BAD4-FBB1C7231E73}" xr6:coauthVersionLast="47" xr6:coauthVersionMax="47" xr10:uidLastSave="{00000000-0000-0000-0000-000000000000}"/>
  <bookViews>
    <workbookView xWindow="-120" yWindow="-120" windowWidth="29040" windowHeight="15840" firstSheet="3" activeTab="7" xr2:uid="{00000000-000D-0000-FFFF-FFFF00000000}"/>
  </bookViews>
  <sheets>
    <sheet name="Gasfield" sheetId="3" r:id="rId1"/>
    <sheet name="Oilfields" sheetId="2" r:id="rId2"/>
    <sheet name="General Oil_Gas_fields" sheetId="4" r:id="rId3"/>
    <sheet name="BD" sheetId="5" r:id="rId4"/>
    <sheet name="Compracion (2)" sheetId="8" r:id="rId5"/>
    <sheet name="Compracion" sheetId="7" r:id="rId6"/>
    <sheet name="GlobalData" sheetId="6" r:id="rId7"/>
    <sheet name="Datos de Imagenes" sheetId="9" r:id="rId8"/>
    <sheet name="Akacias_" sheetId="11" r:id="rId9"/>
    <sheet name="Hoja1" sheetId="10" r:id="rId10"/>
  </sheets>
  <definedNames>
    <definedName name="_xlnm._FilterDatabase" localSheetId="0" hidden="1">Gasfield!$B$4:$R$4</definedName>
    <definedName name="_xlnm._FilterDatabase" localSheetId="1" hidden="1">Oilfields!$B$4:$Q$4</definedName>
    <definedName name="_xlchart.v6.0" hidden="1">'General Oil_Gas_fields'!$K$53</definedName>
    <definedName name="_xlchart.v6.1" hidden="1">'General Oil_Gas_fields'!$K$54:$K$61</definedName>
    <definedName name="_xlchart.v6.10" hidden="1">'General Oil_Gas_fields'!$L$53</definedName>
    <definedName name="_xlchart.v6.11" hidden="1">'General Oil_Gas_fields'!$L$54:$L$61</definedName>
    <definedName name="_xlchart.v6.12" hidden="1">'General Oil_Gas_fields'!$K$53</definedName>
    <definedName name="_xlchart.v6.13" hidden="1">'General Oil_Gas_fields'!$K$54:$K$61</definedName>
    <definedName name="_xlchart.v6.14" hidden="1">'General Oil_Gas_fields'!$N$53</definedName>
    <definedName name="_xlchart.v6.15" hidden="1">'General Oil_Gas_fields'!$N$54:$N$61</definedName>
    <definedName name="_xlchart.v6.2" hidden="1">'General Oil_Gas_fields'!$N$53</definedName>
    <definedName name="_xlchart.v6.3" hidden="1">'General Oil_Gas_fields'!$N$54:$N$61</definedName>
    <definedName name="_xlchart.v6.4" hidden="1">'General Oil_Gas_fields'!$K$53</definedName>
    <definedName name="_xlchart.v6.5" hidden="1">'General Oil_Gas_fields'!$K$54:$K$61</definedName>
    <definedName name="_xlchart.v6.6" hidden="1">'General Oil_Gas_fields'!$L$53</definedName>
    <definedName name="_xlchart.v6.7" hidden="1">'General Oil_Gas_fields'!$L$54:$L$61</definedName>
    <definedName name="_xlchart.v6.8" hidden="1">'General Oil_Gas_fields'!$K$53</definedName>
    <definedName name="_xlchart.v6.9" hidden="1">'General Oil_Gas_fields'!$K$54:$K$61</definedName>
    <definedName name="DatosExternos_1" localSheetId="8" hidden="1">Akacias_!$A$1:$B$14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2" i="9" l="1"/>
  <c r="N28" i="9"/>
  <c r="T1" i="9"/>
  <c r="T2" i="9" s="1"/>
  <c r="L8" i="9"/>
  <c r="N8" i="9" s="1"/>
  <c r="L9" i="9"/>
  <c r="N9" i="9" s="1"/>
  <c r="L10" i="9"/>
  <c r="N10" i="9" s="1"/>
  <c r="L12" i="9"/>
  <c r="L16" i="9"/>
  <c r="N16" i="9" s="1"/>
  <c r="L27" i="9"/>
  <c r="N27" i="9" s="1"/>
  <c r="L28" i="9"/>
  <c r="L4" i="9"/>
  <c r="N4" i="9" s="1"/>
  <c r="M5" i="9"/>
  <c r="M9" i="9"/>
  <c r="P9" i="9" s="1"/>
  <c r="M13" i="9"/>
  <c r="M17" i="9"/>
  <c r="M20" i="9"/>
  <c r="M21" i="9"/>
  <c r="M24" i="9"/>
  <c r="M25" i="9"/>
  <c r="M28" i="9"/>
  <c r="P28" i="9" s="1"/>
  <c r="M29" i="9"/>
  <c r="M32" i="9"/>
  <c r="M33" i="9"/>
  <c r="M36" i="9"/>
  <c r="M37" i="9"/>
  <c r="N1" i="9"/>
  <c r="M4" i="9" s="1"/>
  <c r="P4" i="9" s="1"/>
  <c r="Q6" i="9" l="1"/>
  <c r="Q10" i="9"/>
  <c r="Q14" i="9"/>
  <c r="Q18" i="9"/>
  <c r="Q22" i="9"/>
  <c r="Q26" i="9"/>
  <c r="Q30" i="9"/>
  <c r="Q34" i="9"/>
  <c r="Q4" i="9"/>
  <c r="R4" i="9" s="1"/>
  <c r="Q9" i="9"/>
  <c r="R9" i="9" s="1"/>
  <c r="Q21" i="9"/>
  <c r="Q33" i="9"/>
  <c r="Q7" i="9"/>
  <c r="Q11" i="9"/>
  <c r="Q15" i="9"/>
  <c r="Q19" i="9"/>
  <c r="Q23" i="9"/>
  <c r="Q27" i="9"/>
  <c r="Q31" i="9"/>
  <c r="Q35" i="9"/>
  <c r="Q5" i="9"/>
  <c r="Q17" i="9"/>
  <c r="Q29" i="9"/>
  <c r="Q8" i="9"/>
  <c r="Q12" i="9"/>
  <c r="Q16" i="9"/>
  <c r="Q20" i="9"/>
  <c r="Q24" i="9"/>
  <c r="Q28" i="9"/>
  <c r="R28" i="9" s="1"/>
  <c r="Q32" i="9"/>
  <c r="Q36" i="9"/>
  <c r="Q13" i="9"/>
  <c r="Q25" i="9"/>
  <c r="Q37" i="9"/>
  <c r="M16" i="9"/>
  <c r="P16" i="9" s="1"/>
  <c r="R16" i="9" s="1"/>
  <c r="M12" i="9"/>
  <c r="P12" i="9" s="1"/>
  <c r="M8" i="9"/>
  <c r="P8" i="9" s="1"/>
  <c r="R8" i="9" s="1"/>
  <c r="M35" i="9"/>
  <c r="M31" i="9"/>
  <c r="M27" i="9"/>
  <c r="P27" i="9" s="1"/>
  <c r="R27" i="9" s="1"/>
  <c r="M23" i="9"/>
  <c r="M19" i="9"/>
  <c r="M15" i="9"/>
  <c r="M11" i="9"/>
  <c r="M7" i="9"/>
  <c r="M34" i="9"/>
  <c r="M30" i="9"/>
  <c r="M26" i="9"/>
  <c r="M22" i="9"/>
  <c r="M18" i="9"/>
  <c r="M14" i="9"/>
  <c r="M10" i="9"/>
  <c r="P10" i="9" s="1"/>
  <c r="R10" i="9" s="1"/>
  <c r="M6" i="9"/>
  <c r="R12" i="9" l="1"/>
  <c r="F5" i="9" l="1"/>
  <c r="I5" i="9" s="1"/>
  <c r="F8" i="9"/>
  <c r="I8" i="9" s="1"/>
  <c r="F9" i="9"/>
  <c r="I9" i="9" s="1"/>
  <c r="F10" i="9"/>
  <c r="I10" i="9" s="1"/>
  <c r="F12" i="9"/>
  <c r="I12" i="9" s="1"/>
  <c r="F16" i="9"/>
  <c r="I16" i="9" s="1"/>
  <c r="F25" i="9"/>
  <c r="I25" i="9" s="1"/>
  <c r="F27" i="9"/>
  <c r="I27" i="9" s="1"/>
  <c r="F28" i="9"/>
  <c r="I28" i="9" s="1"/>
  <c r="F36" i="9"/>
  <c r="I36" i="9" s="1"/>
  <c r="F4" i="9"/>
  <c r="I4" i="9" s="1"/>
  <c r="E18" i="9"/>
  <c r="L18" i="9" s="1"/>
  <c r="E5" i="9"/>
  <c r="L5" i="9" s="1"/>
  <c r="N5" i="9" s="1"/>
  <c r="E42" i="9"/>
  <c r="E41" i="9"/>
  <c r="E40" i="9"/>
  <c r="E39" i="9"/>
  <c r="E37" i="9"/>
  <c r="L37" i="9" s="1"/>
  <c r="E36" i="9"/>
  <c r="L36" i="9" s="1"/>
  <c r="E35" i="9"/>
  <c r="L35" i="9" s="1"/>
  <c r="E34" i="9"/>
  <c r="L34" i="9" s="1"/>
  <c r="E33" i="9"/>
  <c r="L33" i="9" s="1"/>
  <c r="E32" i="9"/>
  <c r="L32" i="9" s="1"/>
  <c r="E31" i="9"/>
  <c r="L31" i="9" s="1"/>
  <c r="E30" i="9"/>
  <c r="L30" i="9" s="1"/>
  <c r="E29" i="9"/>
  <c r="L29" i="9" s="1"/>
  <c r="E26" i="9"/>
  <c r="L26" i="9" s="1"/>
  <c r="E25" i="9"/>
  <c r="L25" i="9" s="1"/>
  <c r="E24" i="9"/>
  <c r="L24" i="9" s="1"/>
  <c r="E23" i="9"/>
  <c r="L23" i="9" s="1"/>
  <c r="E22" i="9"/>
  <c r="L22" i="9" s="1"/>
  <c r="E21" i="9"/>
  <c r="L21" i="9" s="1"/>
  <c r="E20" i="9"/>
  <c r="L20" i="9" s="1"/>
  <c r="E19" i="9"/>
  <c r="L19" i="9" s="1"/>
  <c r="E17" i="9"/>
  <c r="L17" i="9" s="1"/>
  <c r="E15" i="9"/>
  <c r="L15" i="9" s="1"/>
  <c r="E14" i="9"/>
  <c r="L14" i="9" s="1"/>
  <c r="E13" i="9"/>
  <c r="L13" i="9" s="1"/>
  <c r="E11" i="9"/>
  <c r="L11" i="9" s="1"/>
  <c r="E7" i="9"/>
  <c r="L7" i="9" s="1"/>
  <c r="E6" i="9"/>
  <c r="L6" i="9" s="1"/>
  <c r="G40" i="6"/>
  <c r="V50" i="7"/>
  <c r="E59" i="8"/>
  <c r="E47" i="8"/>
  <c r="P55" i="8" s="1"/>
  <c r="T45" i="8"/>
  <c r="T46" i="8" s="1"/>
  <c r="T47" i="8" s="1"/>
  <c r="U49" i="8" s="1"/>
  <c r="G43" i="8"/>
  <c r="G42" i="8"/>
  <c r="G41" i="8"/>
  <c r="G40" i="8"/>
  <c r="H39" i="8"/>
  <c r="P38" i="8"/>
  <c r="M38" i="8" s="1"/>
  <c r="Q38" i="8" s="1"/>
  <c r="R38" i="8" s="1"/>
  <c r="G38" i="8"/>
  <c r="S38" i="8" s="1"/>
  <c r="AB37" i="8"/>
  <c r="AA37" i="8"/>
  <c r="AC37" i="8" s="1"/>
  <c r="AD37" i="8" s="1"/>
  <c r="P37" i="8"/>
  <c r="M37" i="8" s="1"/>
  <c r="Q37" i="8" s="1"/>
  <c r="R37" i="8" s="1"/>
  <c r="G37" i="8"/>
  <c r="S37" i="8" s="1"/>
  <c r="AB36" i="8"/>
  <c r="AA36" i="8"/>
  <c r="P36" i="8"/>
  <c r="M36" i="8"/>
  <c r="Q36" i="8" s="1"/>
  <c r="R36" i="8" s="1"/>
  <c r="G36" i="8"/>
  <c r="S36" i="8" s="1"/>
  <c r="AB35" i="8"/>
  <c r="AA35" i="8"/>
  <c r="P35" i="8"/>
  <c r="M35" i="8" s="1"/>
  <c r="Q35" i="8" s="1"/>
  <c r="R35" i="8" s="1"/>
  <c r="G35" i="8"/>
  <c r="I35" i="8" s="1"/>
  <c r="AB34" i="8"/>
  <c r="AA34" i="8"/>
  <c r="P34" i="8"/>
  <c r="M34" i="8" s="1"/>
  <c r="Q34" i="8" s="1"/>
  <c r="R34" i="8" s="1"/>
  <c r="G34" i="8"/>
  <c r="H34" i="8" s="1"/>
  <c r="J34" i="8" s="1"/>
  <c r="AB33" i="8"/>
  <c r="AE33" i="8" s="1"/>
  <c r="AF33" i="8" s="1"/>
  <c r="AA33" i="8"/>
  <c r="P33" i="8"/>
  <c r="M33" i="8" s="1"/>
  <c r="Q33" i="8" s="1"/>
  <c r="R33" i="8" s="1"/>
  <c r="H33" i="8"/>
  <c r="J33" i="8" s="1"/>
  <c r="G33" i="8"/>
  <c r="S33" i="8" s="1"/>
  <c r="AB32" i="8"/>
  <c r="AA32" i="8"/>
  <c r="P32" i="8"/>
  <c r="M32" i="8" s="1"/>
  <c r="Q32" i="8" s="1"/>
  <c r="R32" i="8" s="1"/>
  <c r="G32" i="8"/>
  <c r="S32" i="8" s="1"/>
  <c r="AB31" i="8"/>
  <c r="AA31" i="8"/>
  <c r="P31" i="8"/>
  <c r="M31" i="8" s="1"/>
  <c r="Q31" i="8" s="1"/>
  <c r="R31" i="8" s="1"/>
  <c r="G31" i="8"/>
  <c r="I31" i="8" s="1"/>
  <c r="AB30" i="8"/>
  <c r="AA30" i="8"/>
  <c r="P30" i="8"/>
  <c r="M30" i="8" s="1"/>
  <c r="Q30" i="8" s="1"/>
  <c r="R30" i="8" s="1"/>
  <c r="G30" i="8"/>
  <c r="H30" i="8" s="1"/>
  <c r="J30" i="8" s="1"/>
  <c r="AB29" i="8"/>
  <c r="AA29" i="8"/>
  <c r="AC29" i="8" s="1"/>
  <c r="AD29" i="8" s="1"/>
  <c r="S29" i="8"/>
  <c r="P29" i="8"/>
  <c r="M29" i="8" s="1"/>
  <c r="Q29" i="8" s="1"/>
  <c r="R29" i="8" s="1"/>
  <c r="I29" i="8"/>
  <c r="H29" i="8"/>
  <c r="J29" i="8" s="1"/>
  <c r="AB28" i="8"/>
  <c r="AA28" i="8"/>
  <c r="AE28" i="8" s="1"/>
  <c r="AF28" i="8" s="1"/>
  <c r="S28" i="8"/>
  <c r="P28" i="8"/>
  <c r="M28" i="8" s="1"/>
  <c r="Q28" i="8" s="1"/>
  <c r="I28" i="8"/>
  <c r="H28" i="8"/>
  <c r="J28" i="8" s="1"/>
  <c r="AB27" i="8"/>
  <c r="AA27" i="8"/>
  <c r="P27" i="8"/>
  <c r="M27" i="8"/>
  <c r="Q27" i="8" s="1"/>
  <c r="R27" i="8" s="1"/>
  <c r="G27" i="8"/>
  <c r="AB26" i="8"/>
  <c r="AA26" i="8"/>
  <c r="P26" i="8"/>
  <c r="M26" i="8" s="1"/>
  <c r="Q26" i="8" s="1"/>
  <c r="R26" i="8" s="1"/>
  <c r="G26" i="8"/>
  <c r="I26" i="8" s="1"/>
  <c r="AB25" i="8"/>
  <c r="AA25" i="8"/>
  <c r="P25" i="8"/>
  <c r="M25" i="8" s="1"/>
  <c r="Q25" i="8" s="1"/>
  <c r="R25" i="8" s="1"/>
  <c r="G25" i="8"/>
  <c r="S25" i="8" s="1"/>
  <c r="AB24" i="8"/>
  <c r="AA24" i="8"/>
  <c r="P24" i="8"/>
  <c r="M24" i="8" s="1"/>
  <c r="Q24" i="8" s="1"/>
  <c r="R24" i="8" s="1"/>
  <c r="G24" i="8"/>
  <c r="S24" i="8" s="1"/>
  <c r="AB23" i="8"/>
  <c r="AA23" i="8"/>
  <c r="P23" i="8"/>
  <c r="M23" i="8" s="1"/>
  <c r="Q23" i="8" s="1"/>
  <c r="R23" i="8" s="1"/>
  <c r="G23" i="8"/>
  <c r="S23" i="8" s="1"/>
  <c r="AB22" i="8"/>
  <c r="AA22" i="8"/>
  <c r="P22" i="8"/>
  <c r="M22" i="8" s="1"/>
  <c r="Q22" i="8" s="1"/>
  <c r="R22" i="8" s="1"/>
  <c r="G22" i="8"/>
  <c r="I22" i="8" s="1"/>
  <c r="AB21" i="8"/>
  <c r="AA21" i="8"/>
  <c r="P21" i="8"/>
  <c r="M21" i="8" s="1"/>
  <c r="Q21" i="8" s="1"/>
  <c r="R21" i="8" s="1"/>
  <c r="G21" i="8"/>
  <c r="S21" i="8" s="1"/>
  <c r="AB20" i="8"/>
  <c r="AA20" i="8"/>
  <c r="P20" i="8"/>
  <c r="M20" i="8" s="1"/>
  <c r="Q20" i="8" s="1"/>
  <c r="R20" i="8" s="1"/>
  <c r="G20" i="8"/>
  <c r="S20" i="8" s="1"/>
  <c r="AB19" i="8"/>
  <c r="AA19" i="8"/>
  <c r="P19" i="8"/>
  <c r="M19" i="8"/>
  <c r="Q19" i="8" s="1"/>
  <c r="R19" i="8" s="1"/>
  <c r="G19" i="8"/>
  <c r="S19" i="8" s="1"/>
  <c r="AB18" i="8"/>
  <c r="AA18" i="8"/>
  <c r="P18" i="8"/>
  <c r="M18" i="8" s="1"/>
  <c r="Q18" i="8" s="1"/>
  <c r="R18" i="8" s="1"/>
  <c r="G18" i="8"/>
  <c r="I18" i="8" s="1"/>
  <c r="AB17" i="8"/>
  <c r="AA17" i="8"/>
  <c r="S17" i="8"/>
  <c r="P17" i="8"/>
  <c r="M17" i="8" s="1"/>
  <c r="Q17" i="8" s="1"/>
  <c r="R17" i="8" s="1"/>
  <c r="I17" i="8"/>
  <c r="H17" i="8"/>
  <c r="J17" i="8" s="1"/>
  <c r="AB16" i="8"/>
  <c r="AA16" i="8"/>
  <c r="P16" i="8"/>
  <c r="M16" i="8" s="1"/>
  <c r="Q16" i="8" s="1"/>
  <c r="R16" i="8" s="1"/>
  <c r="G16" i="8"/>
  <c r="S16" i="8" s="1"/>
  <c r="AC15" i="8"/>
  <c r="AD15" i="8" s="1"/>
  <c r="AB15" i="8"/>
  <c r="AA15" i="8"/>
  <c r="P15" i="8"/>
  <c r="M15" i="8" s="1"/>
  <c r="Q15" i="8" s="1"/>
  <c r="R15" i="8" s="1"/>
  <c r="G15" i="8"/>
  <c r="I15" i="8" s="1"/>
  <c r="AB14" i="8"/>
  <c r="AA14" i="8"/>
  <c r="AE14" i="8" s="1"/>
  <c r="AF14" i="8" s="1"/>
  <c r="P14" i="8"/>
  <c r="M14" i="8" s="1"/>
  <c r="Q14" i="8" s="1"/>
  <c r="R14" i="8" s="1"/>
  <c r="G14" i="8"/>
  <c r="H14" i="8" s="1"/>
  <c r="J14" i="8" s="1"/>
  <c r="AB13" i="8"/>
  <c r="AA13" i="8"/>
  <c r="S13" i="8"/>
  <c r="P13" i="8"/>
  <c r="M13" i="8" s="1"/>
  <c r="Q13" i="8" s="1"/>
  <c r="R13" i="8" s="1"/>
  <c r="I13" i="8"/>
  <c r="H13" i="8"/>
  <c r="J13" i="8" s="1"/>
  <c r="AB12" i="8"/>
  <c r="AA12" i="8"/>
  <c r="AE12" i="8" s="1"/>
  <c r="AF12" i="8" s="1"/>
  <c r="P12" i="8"/>
  <c r="M12" i="8" s="1"/>
  <c r="Q12" i="8" s="1"/>
  <c r="R12" i="8" s="1"/>
  <c r="I12" i="8"/>
  <c r="G12" i="8"/>
  <c r="S12" i="8" s="1"/>
  <c r="AB11" i="8"/>
  <c r="AA11" i="8"/>
  <c r="S11" i="8"/>
  <c r="P11" i="8"/>
  <c r="M11" i="8" s="1"/>
  <c r="Q11" i="8" s="1"/>
  <c r="R11" i="8" s="1"/>
  <c r="I11" i="8"/>
  <c r="H11" i="8"/>
  <c r="J11" i="8" s="1"/>
  <c r="AB10" i="8"/>
  <c r="AA10" i="8"/>
  <c r="S10" i="8"/>
  <c r="P10" i="8"/>
  <c r="M10" i="8" s="1"/>
  <c r="Q10" i="8" s="1"/>
  <c r="R10" i="8" s="1"/>
  <c r="I10" i="8"/>
  <c r="H10" i="8"/>
  <c r="J10" i="8" s="1"/>
  <c r="AB9" i="8"/>
  <c r="AA9" i="8"/>
  <c r="S9" i="8"/>
  <c r="P9" i="8"/>
  <c r="M9" i="8" s="1"/>
  <c r="Q9" i="8" s="1"/>
  <c r="R9" i="8" s="1"/>
  <c r="I9" i="8"/>
  <c r="H9" i="8"/>
  <c r="J9" i="8" s="1"/>
  <c r="AB8" i="8"/>
  <c r="AA8" i="8"/>
  <c r="P8" i="8"/>
  <c r="M8" i="8" s="1"/>
  <c r="Q8" i="8" s="1"/>
  <c r="R8" i="8" s="1"/>
  <c r="G8" i="8"/>
  <c r="AB7" i="8"/>
  <c r="AA7" i="8"/>
  <c r="P7" i="8"/>
  <c r="M7" i="8" s="1"/>
  <c r="Q7" i="8" s="1"/>
  <c r="R7" i="8" s="1"/>
  <c r="G7" i="8"/>
  <c r="S7" i="8" s="1"/>
  <c r="F7" i="8"/>
  <c r="E50" i="8" s="1"/>
  <c r="AB6" i="8"/>
  <c r="AA6" i="8"/>
  <c r="P6" i="8"/>
  <c r="M6" i="8" s="1"/>
  <c r="Q6" i="8" s="1"/>
  <c r="R6" i="8" s="1"/>
  <c r="G6" i="8"/>
  <c r="S6" i="8" s="1"/>
  <c r="AB5" i="8"/>
  <c r="AA5" i="8"/>
  <c r="R5" i="8"/>
  <c r="I5" i="8"/>
  <c r="H5" i="8"/>
  <c r="J5" i="8" s="1"/>
  <c r="G1" i="8"/>
  <c r="R56" i="7"/>
  <c r="T6" i="7"/>
  <c r="T7" i="7"/>
  <c r="T8" i="7"/>
  <c r="T9" i="7"/>
  <c r="T10" i="7"/>
  <c r="T11" i="7"/>
  <c r="T12" i="7"/>
  <c r="T13" i="7"/>
  <c r="T14" i="7"/>
  <c r="T15" i="7"/>
  <c r="T16" i="7"/>
  <c r="T17" i="7"/>
  <c r="T18" i="7"/>
  <c r="T19" i="7"/>
  <c r="T20" i="7"/>
  <c r="T21" i="7"/>
  <c r="T22" i="7"/>
  <c r="T23" i="7"/>
  <c r="T24" i="7"/>
  <c r="T25" i="7"/>
  <c r="T26" i="7"/>
  <c r="T27" i="7"/>
  <c r="T29" i="7"/>
  <c r="T30" i="7"/>
  <c r="T31" i="7"/>
  <c r="T32" i="7"/>
  <c r="T33" i="7"/>
  <c r="T34" i="7"/>
  <c r="T35" i="7"/>
  <c r="T36" i="7"/>
  <c r="T37" i="7"/>
  <c r="T38" i="7"/>
  <c r="T5" i="7"/>
  <c r="U9" i="7"/>
  <c r="U10" i="7"/>
  <c r="U11" i="7"/>
  <c r="U13" i="7"/>
  <c r="U17" i="7"/>
  <c r="U28" i="7"/>
  <c r="U29" i="7"/>
  <c r="O7" i="7"/>
  <c r="S7" i="7" s="1"/>
  <c r="O15" i="7"/>
  <c r="S15" i="7" s="1"/>
  <c r="O23" i="7"/>
  <c r="S23" i="7" s="1"/>
  <c r="O31" i="7"/>
  <c r="S31" i="7" s="1"/>
  <c r="O6" i="7"/>
  <c r="S6" i="7" s="1"/>
  <c r="R7" i="7"/>
  <c r="R8" i="7"/>
  <c r="O8" i="7" s="1"/>
  <c r="S8" i="7" s="1"/>
  <c r="R9" i="7"/>
  <c r="O9" i="7" s="1"/>
  <c r="S9" i="7" s="1"/>
  <c r="R10" i="7"/>
  <c r="O10" i="7" s="1"/>
  <c r="S10" i="7" s="1"/>
  <c r="R11" i="7"/>
  <c r="O11" i="7" s="1"/>
  <c r="S11" i="7" s="1"/>
  <c r="R12" i="7"/>
  <c r="O12" i="7" s="1"/>
  <c r="S12" i="7" s="1"/>
  <c r="R13" i="7"/>
  <c r="O13" i="7" s="1"/>
  <c r="S13" i="7" s="1"/>
  <c r="R14" i="7"/>
  <c r="O14" i="7" s="1"/>
  <c r="S14" i="7" s="1"/>
  <c r="R15" i="7"/>
  <c r="R16" i="7"/>
  <c r="O16" i="7" s="1"/>
  <c r="S16" i="7" s="1"/>
  <c r="R17" i="7"/>
  <c r="O17" i="7" s="1"/>
  <c r="S17" i="7" s="1"/>
  <c r="R18" i="7"/>
  <c r="O18" i="7" s="1"/>
  <c r="S18" i="7" s="1"/>
  <c r="R19" i="7"/>
  <c r="O19" i="7" s="1"/>
  <c r="S19" i="7" s="1"/>
  <c r="R20" i="7"/>
  <c r="O20" i="7" s="1"/>
  <c r="S20" i="7" s="1"/>
  <c r="R21" i="7"/>
  <c r="O21" i="7" s="1"/>
  <c r="S21" i="7" s="1"/>
  <c r="R22" i="7"/>
  <c r="O22" i="7" s="1"/>
  <c r="S22" i="7" s="1"/>
  <c r="R23" i="7"/>
  <c r="R24" i="7"/>
  <c r="O24" i="7" s="1"/>
  <c r="S24" i="7" s="1"/>
  <c r="R25" i="7"/>
  <c r="O25" i="7" s="1"/>
  <c r="S25" i="7" s="1"/>
  <c r="R26" i="7"/>
  <c r="O26" i="7" s="1"/>
  <c r="S26" i="7" s="1"/>
  <c r="R27" i="7"/>
  <c r="O27" i="7" s="1"/>
  <c r="S27" i="7" s="1"/>
  <c r="R28" i="7"/>
  <c r="O28" i="7" s="1"/>
  <c r="S28" i="7" s="1"/>
  <c r="R29" i="7"/>
  <c r="O29" i="7" s="1"/>
  <c r="S29" i="7" s="1"/>
  <c r="R30" i="7"/>
  <c r="O30" i="7" s="1"/>
  <c r="S30" i="7" s="1"/>
  <c r="R31" i="7"/>
  <c r="R32" i="7"/>
  <c r="O32" i="7" s="1"/>
  <c r="S32" i="7" s="1"/>
  <c r="R33" i="7"/>
  <c r="O33" i="7" s="1"/>
  <c r="S33" i="7" s="1"/>
  <c r="R34" i="7"/>
  <c r="O34" i="7" s="1"/>
  <c r="S34" i="7" s="1"/>
  <c r="R35" i="7"/>
  <c r="O35" i="7" s="1"/>
  <c r="S35" i="7" s="1"/>
  <c r="R36" i="7"/>
  <c r="O36" i="7" s="1"/>
  <c r="S36" i="7" s="1"/>
  <c r="R37" i="7"/>
  <c r="O37" i="7" s="1"/>
  <c r="S37" i="7" s="1"/>
  <c r="R38" i="7"/>
  <c r="O38" i="7" s="1"/>
  <c r="S38" i="7" s="1"/>
  <c r="R6" i="7"/>
  <c r="P33" i="9" l="1"/>
  <c r="R33" i="9" s="1"/>
  <c r="N33" i="9"/>
  <c r="P6" i="9"/>
  <c r="R6" i="9" s="1"/>
  <c r="N6" i="9"/>
  <c r="P14" i="9"/>
  <c r="R14" i="9" s="1"/>
  <c r="N14" i="9"/>
  <c r="P20" i="9"/>
  <c r="R20" i="9" s="1"/>
  <c r="N20" i="9"/>
  <c r="P24" i="9"/>
  <c r="R24" i="9" s="1"/>
  <c r="N24" i="9"/>
  <c r="P30" i="9"/>
  <c r="R30" i="9" s="1"/>
  <c r="N30" i="9"/>
  <c r="P34" i="9"/>
  <c r="R34" i="9" s="1"/>
  <c r="N34" i="9"/>
  <c r="F32" i="9"/>
  <c r="I32" i="9" s="1"/>
  <c r="F21" i="9"/>
  <c r="I21" i="9" s="1"/>
  <c r="P19" i="9"/>
  <c r="R19" i="9" s="1"/>
  <c r="N19" i="9"/>
  <c r="P29" i="9"/>
  <c r="R29" i="9" s="1"/>
  <c r="N29" i="9"/>
  <c r="P7" i="9"/>
  <c r="R7" i="9" s="1"/>
  <c r="N7" i="9"/>
  <c r="P15" i="9"/>
  <c r="R15" i="9" s="1"/>
  <c r="N15" i="9"/>
  <c r="P21" i="9"/>
  <c r="R21" i="9" s="1"/>
  <c r="N21" i="9"/>
  <c r="P25" i="9"/>
  <c r="R25" i="9" s="1"/>
  <c r="N25" i="9"/>
  <c r="P31" i="9"/>
  <c r="R31" i="9" s="1"/>
  <c r="N31" i="9"/>
  <c r="P35" i="9"/>
  <c r="R35" i="9" s="1"/>
  <c r="N35" i="9"/>
  <c r="P18" i="9"/>
  <c r="R18" i="9" s="1"/>
  <c r="N18" i="9"/>
  <c r="F17" i="9"/>
  <c r="I17" i="9" s="1"/>
  <c r="P13" i="9"/>
  <c r="R13" i="9" s="1"/>
  <c r="N13" i="9"/>
  <c r="P23" i="9"/>
  <c r="R23" i="9" s="1"/>
  <c r="N23" i="9"/>
  <c r="P37" i="9"/>
  <c r="R37" i="9" s="1"/>
  <c r="N37" i="9"/>
  <c r="P11" i="9"/>
  <c r="R11" i="9" s="1"/>
  <c r="N11" i="9"/>
  <c r="P17" i="9"/>
  <c r="R17" i="9" s="1"/>
  <c r="N17" i="9"/>
  <c r="P22" i="9"/>
  <c r="R22" i="9" s="1"/>
  <c r="N22" i="9"/>
  <c r="P26" i="9"/>
  <c r="R26" i="9" s="1"/>
  <c r="N26" i="9"/>
  <c r="P32" i="9"/>
  <c r="R32" i="9" s="1"/>
  <c r="N32" i="9"/>
  <c r="P36" i="9"/>
  <c r="R36" i="9" s="1"/>
  <c r="N36" i="9"/>
  <c r="F37" i="9"/>
  <c r="I37" i="9" s="1"/>
  <c r="F29" i="9"/>
  <c r="I29" i="9" s="1"/>
  <c r="P5" i="9"/>
  <c r="R5" i="9" s="1"/>
  <c r="D47" i="9"/>
  <c r="F20" i="9"/>
  <c r="I20" i="9" s="1"/>
  <c r="F35" i="9"/>
  <c r="I35" i="9" s="1"/>
  <c r="F31" i="9"/>
  <c r="I31" i="9" s="1"/>
  <c r="F23" i="9"/>
  <c r="I23" i="9" s="1"/>
  <c r="F19" i="9"/>
  <c r="I19" i="9" s="1"/>
  <c r="F15" i="9"/>
  <c r="I15" i="9" s="1"/>
  <c r="F11" i="9"/>
  <c r="I11" i="9" s="1"/>
  <c r="F7" i="9"/>
  <c r="I7" i="9" s="1"/>
  <c r="F33" i="9"/>
  <c r="I33" i="9" s="1"/>
  <c r="F13" i="9"/>
  <c r="I13" i="9" s="1"/>
  <c r="F24" i="9"/>
  <c r="I24" i="9" s="1"/>
  <c r="F34" i="9"/>
  <c r="I34" i="9" s="1"/>
  <c r="F30" i="9"/>
  <c r="I30" i="9" s="1"/>
  <c r="F26" i="9"/>
  <c r="I26" i="9" s="1"/>
  <c r="F22" i="9"/>
  <c r="I22" i="9" s="1"/>
  <c r="F18" i="9"/>
  <c r="I18" i="9" s="1"/>
  <c r="F14" i="9"/>
  <c r="I14" i="9" s="1"/>
  <c r="F6" i="9"/>
  <c r="I6" i="9" s="1"/>
  <c r="AE8" i="8"/>
  <c r="AF8" i="8" s="1"/>
  <c r="AE10" i="8"/>
  <c r="AF10" i="8" s="1"/>
  <c r="AE18" i="8"/>
  <c r="AF18" i="8" s="1"/>
  <c r="AE31" i="8"/>
  <c r="AF31" i="8" s="1"/>
  <c r="I33" i="8"/>
  <c r="AE22" i="8"/>
  <c r="AF22" i="8" s="1"/>
  <c r="AE11" i="8"/>
  <c r="AF11" i="8" s="1"/>
  <c r="AC16" i="8"/>
  <c r="AD16" i="8" s="1"/>
  <c r="AC23" i="8"/>
  <c r="AD23" i="8" s="1"/>
  <c r="AE26" i="8"/>
  <c r="AF26" i="8" s="1"/>
  <c r="AE35" i="8"/>
  <c r="AF35" i="8" s="1"/>
  <c r="H7" i="8"/>
  <c r="J7" i="8" s="1"/>
  <c r="H24" i="8"/>
  <c r="J24" i="8" s="1"/>
  <c r="AC25" i="8"/>
  <c r="AD25" i="8" s="1"/>
  <c r="I30" i="8"/>
  <c r="AC30" i="8"/>
  <c r="AD30" i="8" s="1"/>
  <c r="AC34" i="8"/>
  <c r="AD34" i="8" s="1"/>
  <c r="H38" i="8"/>
  <c r="J38" i="8" s="1"/>
  <c r="H6" i="8"/>
  <c r="J6" i="8" s="1"/>
  <c r="AE6" i="8"/>
  <c r="AF6" i="8" s="1"/>
  <c r="I7" i="8"/>
  <c r="AC7" i="8"/>
  <c r="AD7" i="8" s="1"/>
  <c r="H20" i="8"/>
  <c r="J20" i="8" s="1"/>
  <c r="AC21" i="8"/>
  <c r="AD21" i="8" s="1"/>
  <c r="I24" i="8"/>
  <c r="I38" i="8"/>
  <c r="I6" i="8"/>
  <c r="H12" i="8"/>
  <c r="J12" i="8" s="1"/>
  <c r="H15" i="8"/>
  <c r="J15" i="8" s="1"/>
  <c r="AC19" i="8"/>
  <c r="AD19" i="8" s="1"/>
  <c r="I20" i="8"/>
  <c r="H25" i="8"/>
  <c r="J25" i="8" s="1"/>
  <c r="AE5" i="8"/>
  <c r="AF5" i="8" s="1"/>
  <c r="P56" i="8"/>
  <c r="AC12" i="8"/>
  <c r="AD12" i="8" s="1"/>
  <c r="I14" i="8"/>
  <c r="AE15" i="8"/>
  <c r="AF15" i="8" s="1"/>
  <c r="H21" i="8"/>
  <c r="J21" i="8" s="1"/>
  <c r="AE21" i="8"/>
  <c r="AF21" i="8" s="1"/>
  <c r="AC24" i="8"/>
  <c r="AD24" i="8" s="1"/>
  <c r="I25" i="8"/>
  <c r="AE25" i="8"/>
  <c r="AF25" i="8" s="1"/>
  <c r="AC26" i="8"/>
  <c r="AD26" i="8" s="1"/>
  <c r="AC27" i="8"/>
  <c r="AD27" i="8" s="1"/>
  <c r="AC31" i="8"/>
  <c r="AD31" i="8" s="1"/>
  <c r="AC33" i="8"/>
  <c r="AD33" i="8" s="1"/>
  <c r="I34" i="8"/>
  <c r="AC35" i="8"/>
  <c r="AD35" i="8" s="1"/>
  <c r="H37" i="8"/>
  <c r="J37" i="8" s="1"/>
  <c r="T49" i="8"/>
  <c r="AC17" i="8"/>
  <c r="AD17" i="8" s="1"/>
  <c r="AE7" i="8"/>
  <c r="AF7" i="8" s="1"/>
  <c r="AC8" i="8"/>
  <c r="AD8" i="8" s="1"/>
  <c r="AC10" i="8"/>
  <c r="AD10" i="8" s="1"/>
  <c r="AC13" i="8"/>
  <c r="AD13" i="8" s="1"/>
  <c r="AC18" i="8"/>
  <c r="AD18" i="8" s="1"/>
  <c r="AC20" i="8"/>
  <c r="AD20" i="8" s="1"/>
  <c r="I21" i="8"/>
  <c r="AC22" i="8"/>
  <c r="AD22" i="8" s="1"/>
  <c r="AC28" i="8"/>
  <c r="AD28" i="8" s="1"/>
  <c r="AE30" i="8"/>
  <c r="AF30" i="8" s="1"/>
  <c r="AC32" i="8"/>
  <c r="AD32" i="8" s="1"/>
  <c r="AC36" i="8"/>
  <c r="AD36" i="8" s="1"/>
  <c r="I37" i="8"/>
  <c r="I8" i="8"/>
  <c r="H8" i="8"/>
  <c r="J8" i="8" s="1"/>
  <c r="AC6" i="8"/>
  <c r="AD6" i="8" s="1"/>
  <c r="S8" i="8"/>
  <c r="I23" i="8"/>
  <c r="H23" i="8"/>
  <c r="J23" i="8" s="1"/>
  <c r="I36" i="8"/>
  <c r="H36" i="8"/>
  <c r="J36" i="8" s="1"/>
  <c r="I40" i="8"/>
  <c r="H40" i="8"/>
  <c r="J40" i="8" s="1"/>
  <c r="E51" i="8"/>
  <c r="E52" i="8" s="1"/>
  <c r="E54" i="8"/>
  <c r="I27" i="8"/>
  <c r="H27" i="8"/>
  <c r="J27" i="8" s="1"/>
  <c r="I43" i="8"/>
  <c r="H43" i="8"/>
  <c r="J43" i="8" s="1"/>
  <c r="I19" i="8"/>
  <c r="H19" i="8"/>
  <c r="J19" i="8" s="1"/>
  <c r="AE24" i="8"/>
  <c r="AF24" i="8" s="1"/>
  <c r="AE29" i="8"/>
  <c r="AF29" i="8" s="1"/>
  <c r="AE34" i="8"/>
  <c r="AF34" i="8" s="1"/>
  <c r="AE37" i="8"/>
  <c r="AF37" i="8" s="1"/>
  <c r="I41" i="8"/>
  <c r="H41" i="8"/>
  <c r="J41" i="8" s="1"/>
  <c r="AC5" i="8"/>
  <c r="AD5" i="8" s="1"/>
  <c r="AE9" i="8"/>
  <c r="AF9" i="8" s="1"/>
  <c r="AE13" i="8"/>
  <c r="AF13" i="8" s="1"/>
  <c r="I16" i="8"/>
  <c r="H16" i="8"/>
  <c r="J16" i="8" s="1"/>
  <c r="AE17" i="8"/>
  <c r="AF17" i="8" s="1"/>
  <c r="AE20" i="8"/>
  <c r="AF20" i="8" s="1"/>
  <c r="S27" i="8"/>
  <c r="I32" i="8"/>
  <c r="H32" i="8"/>
  <c r="J32" i="8" s="1"/>
  <c r="I42" i="8"/>
  <c r="H42" i="8"/>
  <c r="J42" i="8" s="1"/>
  <c r="E48" i="8"/>
  <c r="G48" i="8" s="1"/>
  <c r="AC9" i="8"/>
  <c r="AD9" i="8" s="1"/>
  <c r="AC11" i="8"/>
  <c r="AD11" i="8" s="1"/>
  <c r="AC14" i="8"/>
  <c r="AD14" i="8" s="1"/>
  <c r="S15" i="8"/>
  <c r="AE16" i="8"/>
  <c r="AF16" i="8" s="1"/>
  <c r="S18" i="8"/>
  <c r="AE19" i="8"/>
  <c r="AF19" i="8" s="1"/>
  <c r="S22" i="8"/>
  <c r="AE23" i="8"/>
  <c r="AF23" i="8" s="1"/>
  <c r="S26" i="8"/>
  <c r="AE27" i="8"/>
  <c r="AF27" i="8" s="1"/>
  <c r="S31" i="8"/>
  <c r="AE32" i="8"/>
  <c r="AF32" i="8" s="1"/>
  <c r="S35" i="8"/>
  <c r="AE36" i="8"/>
  <c r="AF36" i="8" s="1"/>
  <c r="S14" i="8"/>
  <c r="H18" i="8"/>
  <c r="J18" i="8" s="1"/>
  <c r="H22" i="8"/>
  <c r="J22" i="8" s="1"/>
  <c r="H26" i="8"/>
  <c r="J26" i="8" s="1"/>
  <c r="S30" i="8"/>
  <c r="H31" i="8"/>
  <c r="J31" i="8" s="1"/>
  <c r="S34" i="8"/>
  <c r="H35" i="8"/>
  <c r="J35" i="8" s="1"/>
  <c r="E49" i="8"/>
  <c r="G49" i="8" s="1"/>
  <c r="E60" i="8" l="1"/>
  <c r="E55" i="8"/>
  <c r="E56" i="8" s="1"/>
  <c r="E59" i="7" l="1"/>
  <c r="E47" i="7"/>
  <c r="R55" i="7" s="1"/>
  <c r="V45" i="7"/>
  <c r="V46" i="7" s="1"/>
  <c r="V47" i="7" s="1"/>
  <c r="G43" i="7"/>
  <c r="I43" i="7" s="1"/>
  <c r="G42" i="7"/>
  <c r="I42" i="7" s="1"/>
  <c r="G41" i="7"/>
  <c r="H41" i="7" s="1"/>
  <c r="J41" i="7" s="1"/>
  <c r="G40" i="7"/>
  <c r="H40" i="7" s="1"/>
  <c r="J40" i="7" s="1"/>
  <c r="H39" i="7"/>
  <c r="G38" i="7"/>
  <c r="AD37" i="7"/>
  <c r="AC37" i="7"/>
  <c r="G37" i="7"/>
  <c r="AD36" i="7"/>
  <c r="AC36" i="7"/>
  <c r="AG36" i="7" s="1"/>
  <c r="AH36" i="7" s="1"/>
  <c r="G36" i="7"/>
  <c r="AD35" i="7"/>
  <c r="AC35" i="7"/>
  <c r="AG35" i="7" s="1"/>
  <c r="AH35" i="7" s="1"/>
  <c r="G35" i="7"/>
  <c r="AD34" i="7"/>
  <c r="AC34" i="7"/>
  <c r="G34" i="7"/>
  <c r="AD33" i="7"/>
  <c r="AC33" i="7"/>
  <c r="G33" i="7"/>
  <c r="AD32" i="7"/>
  <c r="AC32" i="7"/>
  <c r="G32" i="7"/>
  <c r="AD31" i="7"/>
  <c r="AC31" i="7"/>
  <c r="AG31" i="7" s="1"/>
  <c r="AH31" i="7" s="1"/>
  <c r="G31" i="7"/>
  <c r="AD30" i="7"/>
  <c r="AC30" i="7"/>
  <c r="G30" i="7"/>
  <c r="AD29" i="7"/>
  <c r="AC29" i="7"/>
  <c r="I29" i="7"/>
  <c r="H29" i="7"/>
  <c r="J29" i="7" s="1"/>
  <c r="AD28" i="7"/>
  <c r="AC28" i="7"/>
  <c r="I28" i="7"/>
  <c r="H28" i="7"/>
  <c r="J28" i="7" s="1"/>
  <c r="AD27" i="7"/>
  <c r="AC27" i="7"/>
  <c r="G27" i="7"/>
  <c r="AD26" i="7"/>
  <c r="AC26" i="7"/>
  <c r="G26" i="7"/>
  <c r="AD25" i="7"/>
  <c r="AC25" i="7"/>
  <c r="AE25" i="7" s="1"/>
  <c r="AF25" i="7" s="1"/>
  <c r="G25" i="7"/>
  <c r="AD24" i="7"/>
  <c r="AC24" i="7"/>
  <c r="G24" i="7"/>
  <c r="AD23" i="7"/>
  <c r="AC23" i="7"/>
  <c r="G23" i="7"/>
  <c r="AD22" i="7"/>
  <c r="AC22" i="7"/>
  <c r="AG22" i="7" s="1"/>
  <c r="AH22" i="7" s="1"/>
  <c r="G22" i="7"/>
  <c r="AD21" i="7"/>
  <c r="AC21" i="7"/>
  <c r="AE21" i="7" s="1"/>
  <c r="AF21" i="7" s="1"/>
  <c r="G21" i="7"/>
  <c r="AD20" i="7"/>
  <c r="AC20" i="7"/>
  <c r="G20" i="7"/>
  <c r="AD19" i="7"/>
  <c r="AC19" i="7"/>
  <c r="G19" i="7"/>
  <c r="AD18" i="7"/>
  <c r="AC18" i="7"/>
  <c r="AG18" i="7" s="1"/>
  <c r="AH18" i="7" s="1"/>
  <c r="G18" i="7"/>
  <c r="AD17" i="7"/>
  <c r="AC17" i="7"/>
  <c r="AE17" i="7" s="1"/>
  <c r="AF17" i="7" s="1"/>
  <c r="I17" i="7"/>
  <c r="H17" i="7"/>
  <c r="J17" i="7" s="1"/>
  <c r="AD16" i="7"/>
  <c r="AC16" i="7"/>
  <c r="G16" i="7"/>
  <c r="AD15" i="7"/>
  <c r="AE15" i="7" s="1"/>
  <c r="AF15" i="7" s="1"/>
  <c r="AC15" i="7"/>
  <c r="G15" i="7"/>
  <c r="AD14" i="7"/>
  <c r="AC14" i="7"/>
  <c r="G14" i="7"/>
  <c r="AD13" i="7"/>
  <c r="AC13" i="7"/>
  <c r="I13" i="7"/>
  <c r="H13" i="7"/>
  <c r="J13" i="7" s="1"/>
  <c r="AD12" i="7"/>
  <c r="AC12" i="7"/>
  <c r="G12" i="7"/>
  <c r="AD11" i="7"/>
  <c r="AC11" i="7"/>
  <c r="AG11" i="7" s="1"/>
  <c r="AH11" i="7" s="1"/>
  <c r="I11" i="7"/>
  <c r="H11" i="7"/>
  <c r="J11" i="7" s="1"/>
  <c r="AD10" i="7"/>
  <c r="AC10" i="7"/>
  <c r="I10" i="7"/>
  <c r="H10" i="7"/>
  <c r="J10" i="7" s="1"/>
  <c r="AD9" i="7"/>
  <c r="AC9" i="7"/>
  <c r="I9" i="7"/>
  <c r="H9" i="7"/>
  <c r="J9" i="7" s="1"/>
  <c r="AD8" i="7"/>
  <c r="AC8" i="7"/>
  <c r="AG8" i="7" s="1"/>
  <c r="AH8" i="7" s="1"/>
  <c r="G8" i="7"/>
  <c r="AD7" i="7"/>
  <c r="AC7" i="7"/>
  <c r="G7" i="7"/>
  <c r="F7" i="7"/>
  <c r="E50" i="7" s="1"/>
  <c r="AD6" i="7"/>
  <c r="AC6" i="7"/>
  <c r="G6" i="7"/>
  <c r="AD5" i="7"/>
  <c r="AC5" i="7"/>
  <c r="I5" i="7"/>
  <c r="H5" i="7"/>
  <c r="J5" i="7" s="1"/>
  <c r="G1" i="7"/>
  <c r="M45" i="6"/>
  <c r="M46" i="6" s="1"/>
  <c r="M47" i="6" s="1"/>
  <c r="G1" i="6"/>
  <c r="I9" i="6"/>
  <c r="I10" i="6"/>
  <c r="I11" i="6"/>
  <c r="I13" i="6"/>
  <c r="I17" i="6"/>
  <c r="I28" i="6"/>
  <c r="I29" i="6"/>
  <c r="I5" i="6"/>
  <c r="H9" i="6"/>
  <c r="J9" i="6" s="1"/>
  <c r="H10" i="6"/>
  <c r="J10" i="6" s="1"/>
  <c r="H11" i="6"/>
  <c r="J11" i="6" s="1"/>
  <c r="H13" i="6"/>
  <c r="J13" i="6" s="1"/>
  <c r="H17" i="6"/>
  <c r="J17" i="6" s="1"/>
  <c r="H28" i="6"/>
  <c r="J28" i="6" s="1"/>
  <c r="H29" i="6"/>
  <c r="J29" i="6" s="1"/>
  <c r="H39" i="6"/>
  <c r="H5" i="6"/>
  <c r="J5" i="6" s="1"/>
  <c r="E59" i="6"/>
  <c r="M49" i="6" l="1"/>
  <c r="N49" i="6"/>
  <c r="I8" i="7"/>
  <c r="U8" i="7"/>
  <c r="I16" i="7"/>
  <c r="U16" i="7"/>
  <c r="I35" i="7"/>
  <c r="U35" i="7"/>
  <c r="H15" i="7"/>
  <c r="J15" i="7" s="1"/>
  <c r="U15" i="7"/>
  <c r="I20" i="7"/>
  <c r="U20" i="7"/>
  <c r="I24" i="7"/>
  <c r="U24" i="7"/>
  <c r="H30" i="7"/>
  <c r="J30" i="7" s="1"/>
  <c r="U30" i="7"/>
  <c r="H34" i="7"/>
  <c r="J34" i="7" s="1"/>
  <c r="U34" i="7"/>
  <c r="H38" i="7"/>
  <c r="J38" i="7" s="1"/>
  <c r="U38" i="7"/>
  <c r="I12" i="7"/>
  <c r="U12" i="7"/>
  <c r="I18" i="7"/>
  <c r="U18" i="7"/>
  <c r="I22" i="7"/>
  <c r="U22" i="7"/>
  <c r="I26" i="7"/>
  <c r="U26" i="7"/>
  <c r="H32" i="7"/>
  <c r="J32" i="7" s="1"/>
  <c r="U32" i="7"/>
  <c r="H36" i="7"/>
  <c r="J36" i="7" s="1"/>
  <c r="U36" i="7"/>
  <c r="I21" i="7"/>
  <c r="U21" i="7"/>
  <c r="I25" i="7"/>
  <c r="U25" i="7"/>
  <c r="I31" i="7"/>
  <c r="U31" i="7"/>
  <c r="I6" i="7"/>
  <c r="U6" i="7"/>
  <c r="H7" i="7"/>
  <c r="J7" i="7" s="1"/>
  <c r="U7" i="7"/>
  <c r="I14" i="7"/>
  <c r="U14" i="7"/>
  <c r="I19" i="7"/>
  <c r="U19" i="7"/>
  <c r="I23" i="7"/>
  <c r="U23" i="7"/>
  <c r="I27" i="7"/>
  <c r="U27" i="7"/>
  <c r="I33" i="7"/>
  <c r="U33" i="7"/>
  <c r="I37" i="7"/>
  <c r="U37" i="7"/>
  <c r="AG6" i="7"/>
  <c r="AH6" i="7" s="1"/>
  <c r="AG7" i="7"/>
  <c r="AH7" i="7" s="1"/>
  <c r="AE32" i="7"/>
  <c r="AF32" i="7" s="1"/>
  <c r="AE5" i="7"/>
  <c r="AF5" i="7" s="1"/>
  <c r="AG24" i="7"/>
  <c r="AH24" i="7" s="1"/>
  <c r="AG30" i="7"/>
  <c r="AH30" i="7" s="1"/>
  <c r="AG34" i="7"/>
  <c r="AH34" i="7" s="1"/>
  <c r="I41" i="7"/>
  <c r="AE7" i="7"/>
  <c r="AF7" i="7" s="1"/>
  <c r="AE23" i="7"/>
  <c r="AF23" i="7" s="1"/>
  <c r="AG29" i="7"/>
  <c r="AH29" i="7" s="1"/>
  <c r="AG37" i="7"/>
  <c r="AH37" i="7" s="1"/>
  <c r="AE13" i="7"/>
  <c r="AF13" i="7" s="1"/>
  <c r="AE36" i="7"/>
  <c r="AF36" i="7" s="1"/>
  <c r="H6" i="7"/>
  <c r="J6" i="7" s="1"/>
  <c r="AE10" i="7"/>
  <c r="AF10" i="7" s="1"/>
  <c r="H24" i="7"/>
  <c r="J24" i="7" s="1"/>
  <c r="H25" i="7"/>
  <c r="J25" i="7" s="1"/>
  <c r="AG26" i="7"/>
  <c r="AH26" i="7" s="1"/>
  <c r="AE28" i="7"/>
  <c r="AF28" i="7" s="1"/>
  <c r="AG32" i="7"/>
  <c r="AH32" i="7" s="1"/>
  <c r="AG33" i="7"/>
  <c r="AH33" i="7" s="1"/>
  <c r="I38" i="7"/>
  <c r="H22" i="7"/>
  <c r="J22" i="7" s="1"/>
  <c r="H27" i="7"/>
  <c r="J27" i="7" s="1"/>
  <c r="I15" i="7"/>
  <c r="H20" i="7"/>
  <c r="J20" i="7" s="1"/>
  <c r="AE30" i="7"/>
  <c r="AF30" i="7" s="1"/>
  <c r="AE34" i="7"/>
  <c r="AF34" i="7" s="1"/>
  <c r="E48" i="7"/>
  <c r="G48" i="7" s="1"/>
  <c r="H43" i="7"/>
  <c r="J43" i="7" s="1"/>
  <c r="I7" i="7"/>
  <c r="AE11" i="7"/>
  <c r="AF11" i="7" s="1"/>
  <c r="H26" i="7"/>
  <c r="J26" i="7" s="1"/>
  <c r="H31" i="7"/>
  <c r="J31" i="7" s="1"/>
  <c r="I32" i="7"/>
  <c r="H35" i="7"/>
  <c r="J35" i="7" s="1"/>
  <c r="I36" i="7"/>
  <c r="AE9" i="7"/>
  <c r="AF9" i="7" s="1"/>
  <c r="AG10" i="7"/>
  <c r="AH10" i="7" s="1"/>
  <c r="AE12" i="7"/>
  <c r="AF12" i="7" s="1"/>
  <c r="AG13" i="7"/>
  <c r="AH13" i="7" s="1"/>
  <c r="AG14" i="7"/>
  <c r="AH14" i="7" s="1"/>
  <c r="AG15" i="7"/>
  <c r="AH15" i="7" s="1"/>
  <c r="AE16" i="7"/>
  <c r="AF16" i="7" s="1"/>
  <c r="H18" i="7"/>
  <c r="J18" i="7" s="1"/>
  <c r="AE19" i="7"/>
  <c r="AF19" i="7" s="1"/>
  <c r="AG20" i="7"/>
  <c r="AH20" i="7" s="1"/>
  <c r="AE27" i="7"/>
  <c r="AF27" i="7" s="1"/>
  <c r="AG28" i="7"/>
  <c r="AH28" i="7" s="1"/>
  <c r="I30" i="7"/>
  <c r="H33" i="7"/>
  <c r="J33" i="7" s="1"/>
  <c r="I34" i="7"/>
  <c r="H37" i="7"/>
  <c r="J37" i="7" s="1"/>
  <c r="H42" i="7"/>
  <c r="J42" i="7" s="1"/>
  <c r="W49" i="7"/>
  <c r="V49" i="7"/>
  <c r="E49" i="7"/>
  <c r="G49" i="7" s="1"/>
  <c r="E54" i="7"/>
  <c r="E51" i="7"/>
  <c r="E52" i="7" s="1"/>
  <c r="I40" i="7"/>
  <c r="AG5" i="7"/>
  <c r="AH5" i="7" s="1"/>
  <c r="AE6" i="7"/>
  <c r="AF6" i="7" s="1"/>
  <c r="H8" i="7"/>
  <c r="J8" i="7" s="1"/>
  <c r="AG9" i="7"/>
  <c r="AH9" i="7" s="1"/>
  <c r="AG12" i="7"/>
  <c r="AH12" i="7" s="1"/>
  <c r="H14" i="7"/>
  <c r="J14" i="7" s="1"/>
  <c r="H16" i="7"/>
  <c r="J16" i="7" s="1"/>
  <c r="AG17" i="7"/>
  <c r="AH17" i="7" s="1"/>
  <c r="AE18" i="7"/>
  <c r="AF18" i="7" s="1"/>
  <c r="AG19" i="7"/>
  <c r="AH19" i="7" s="1"/>
  <c r="AE20" i="7"/>
  <c r="AF20" i="7" s="1"/>
  <c r="AG21" i="7"/>
  <c r="AH21" i="7" s="1"/>
  <c r="AE22" i="7"/>
  <c r="AF22" i="7" s="1"/>
  <c r="AG23" i="7"/>
  <c r="AH23" i="7" s="1"/>
  <c r="AE24" i="7"/>
  <c r="AF24" i="7" s="1"/>
  <c r="AG25" i="7"/>
  <c r="AH25" i="7" s="1"/>
  <c r="AE26" i="7"/>
  <c r="AF26" i="7" s="1"/>
  <c r="AG27" i="7"/>
  <c r="AH27" i="7" s="1"/>
  <c r="AE29" i="7"/>
  <c r="AF29" i="7" s="1"/>
  <c r="AE31" i="7"/>
  <c r="AF31" i="7" s="1"/>
  <c r="AE33" i="7"/>
  <c r="AF33" i="7" s="1"/>
  <c r="AE35" i="7"/>
  <c r="AF35" i="7" s="1"/>
  <c r="AE37" i="7"/>
  <c r="AF37" i="7" s="1"/>
  <c r="AG16" i="7"/>
  <c r="AH16" i="7" s="1"/>
  <c r="AE8" i="7"/>
  <c r="AF8" i="7" s="1"/>
  <c r="H12" i="7"/>
  <c r="J12" i="7" s="1"/>
  <c r="AE14" i="7"/>
  <c r="AF14" i="7" s="1"/>
  <c r="H19" i="7"/>
  <c r="J19" i="7" s="1"/>
  <c r="H21" i="7"/>
  <c r="J21" i="7" s="1"/>
  <c r="H23" i="7"/>
  <c r="J23" i="7" s="1"/>
  <c r="E47" i="6"/>
  <c r="G42" i="6"/>
  <c r="G43" i="6"/>
  <c r="G41" i="6"/>
  <c r="E60" i="7" l="1"/>
  <c r="E55" i="7"/>
  <c r="E56" i="7" s="1"/>
  <c r="H43" i="6"/>
  <c r="J43" i="6" s="1"/>
  <c r="I43" i="6"/>
  <c r="H42" i="6"/>
  <c r="J42" i="6" s="1"/>
  <c r="I42" i="6"/>
  <c r="H40" i="6"/>
  <c r="J40" i="6" s="1"/>
  <c r="I40" i="6"/>
  <c r="H41" i="6"/>
  <c r="J41" i="6" s="1"/>
  <c r="I41" i="6"/>
  <c r="G38" i="6" l="1"/>
  <c r="T33" i="6"/>
  <c r="U33" i="6"/>
  <c r="X33" i="6" s="1"/>
  <c r="Y33" i="6" s="1"/>
  <c r="T34" i="6"/>
  <c r="U34" i="6"/>
  <c r="T35" i="6"/>
  <c r="U35" i="6"/>
  <c r="T36" i="6"/>
  <c r="U36" i="6"/>
  <c r="T37" i="6"/>
  <c r="U37" i="6"/>
  <c r="G37" i="6"/>
  <c r="G36" i="6"/>
  <c r="G35" i="6"/>
  <c r="G34" i="6"/>
  <c r="G33" i="6"/>
  <c r="G32" i="6"/>
  <c r="T32" i="6"/>
  <c r="U32" i="6"/>
  <c r="G31" i="6"/>
  <c r="T31" i="6"/>
  <c r="U31" i="6"/>
  <c r="G30" i="6"/>
  <c r="T30" i="6"/>
  <c r="U30" i="6"/>
  <c r="T29" i="6"/>
  <c r="U29" i="6"/>
  <c r="T27" i="6"/>
  <c r="U27" i="6"/>
  <c r="T28" i="6"/>
  <c r="U28" i="6"/>
  <c r="G27" i="6"/>
  <c r="G26" i="6"/>
  <c r="T26" i="6"/>
  <c r="U26" i="6"/>
  <c r="G25" i="6"/>
  <c r="T25" i="6"/>
  <c r="U25" i="6"/>
  <c r="G24" i="6"/>
  <c r="T24" i="6"/>
  <c r="U24" i="6"/>
  <c r="G23" i="6"/>
  <c r="T23" i="6"/>
  <c r="U23" i="6"/>
  <c r="T21" i="6"/>
  <c r="U21" i="6"/>
  <c r="T22" i="6"/>
  <c r="U22" i="6"/>
  <c r="G22" i="6"/>
  <c r="G21" i="6"/>
  <c r="G20" i="6"/>
  <c r="T20" i="6"/>
  <c r="U20" i="6"/>
  <c r="T19" i="6"/>
  <c r="U19" i="6"/>
  <c r="G19" i="6"/>
  <c r="G18" i="6"/>
  <c r="T18" i="6"/>
  <c r="U18" i="6"/>
  <c r="T17" i="6"/>
  <c r="U17" i="6"/>
  <c r="G16" i="6"/>
  <c r="T16" i="6"/>
  <c r="U16" i="6"/>
  <c r="G15" i="6"/>
  <c r="T15" i="6"/>
  <c r="U15" i="6"/>
  <c r="T14" i="6"/>
  <c r="U14" i="6"/>
  <c r="G14" i="6"/>
  <c r="T13" i="6"/>
  <c r="U13" i="6"/>
  <c r="G12" i="6"/>
  <c r="T12" i="6"/>
  <c r="U12" i="6"/>
  <c r="T11" i="6"/>
  <c r="U11" i="6"/>
  <c r="T10" i="6"/>
  <c r="U10" i="6"/>
  <c r="T9" i="6"/>
  <c r="U9" i="6"/>
  <c r="G8" i="6"/>
  <c r="T8" i="6"/>
  <c r="U8" i="6"/>
  <c r="F7" i="6"/>
  <c r="G7" i="6"/>
  <c r="T7" i="6"/>
  <c r="U7" i="6"/>
  <c r="T6" i="6"/>
  <c r="U6" i="6"/>
  <c r="U5" i="6"/>
  <c r="T5" i="6"/>
  <c r="G6" i="6"/>
  <c r="L36" i="5"/>
  <c r="K36" i="5"/>
  <c r="I37" i="5"/>
  <c r="K37" i="5" s="1"/>
  <c r="L37" i="5" s="1"/>
  <c r="I38" i="5"/>
  <c r="K38" i="5" s="1"/>
  <c r="L38" i="5" s="1"/>
  <c r="I39" i="5"/>
  <c r="K39" i="5" s="1"/>
  <c r="L39" i="5" s="1"/>
  <c r="I40" i="5"/>
  <c r="K40" i="5" s="1"/>
  <c r="L40" i="5" s="1"/>
  <c r="I41" i="5"/>
  <c r="K41" i="5" s="1"/>
  <c r="L41" i="5" s="1"/>
  <c r="I42" i="5"/>
  <c r="K42" i="5" s="1"/>
  <c r="L42" i="5" s="1"/>
  <c r="I43" i="5"/>
  <c r="K43" i="5" s="1"/>
  <c r="L43" i="5" s="1"/>
  <c r="I44" i="5"/>
  <c r="K44" i="5" s="1"/>
  <c r="L44" i="5" s="1"/>
  <c r="I45" i="5"/>
  <c r="K45" i="5" s="1"/>
  <c r="L45" i="5" s="1"/>
  <c r="I46" i="5"/>
  <c r="K46" i="5" s="1"/>
  <c r="L46" i="5" s="1"/>
  <c r="I47" i="5"/>
  <c r="K47" i="5" s="1"/>
  <c r="L47" i="5" s="1"/>
  <c r="I48" i="5"/>
  <c r="K48" i="5" s="1"/>
  <c r="L48" i="5" s="1"/>
  <c r="I36" i="5"/>
  <c r="H7" i="6" l="1"/>
  <c r="J7" i="6" s="1"/>
  <c r="I7" i="6"/>
  <c r="H8" i="6"/>
  <c r="J8" i="6" s="1"/>
  <c r="I8" i="6"/>
  <c r="H14" i="6"/>
  <c r="J14" i="6" s="1"/>
  <c r="I14" i="6"/>
  <c r="H16" i="6"/>
  <c r="J16" i="6" s="1"/>
  <c r="I16" i="6"/>
  <c r="H21" i="6"/>
  <c r="J21" i="6" s="1"/>
  <c r="I21" i="6"/>
  <c r="H23" i="6"/>
  <c r="J23" i="6" s="1"/>
  <c r="I23" i="6"/>
  <c r="H30" i="6"/>
  <c r="J30" i="6" s="1"/>
  <c r="I30" i="6"/>
  <c r="H34" i="6"/>
  <c r="J34" i="6" s="1"/>
  <c r="I34" i="6"/>
  <c r="H6" i="6"/>
  <c r="J6" i="6" s="1"/>
  <c r="I6" i="6"/>
  <c r="E50" i="6"/>
  <c r="H12" i="6"/>
  <c r="J12" i="6" s="1"/>
  <c r="I12" i="6"/>
  <c r="H15" i="6"/>
  <c r="J15" i="6" s="1"/>
  <c r="I15" i="6"/>
  <c r="H18" i="6"/>
  <c r="J18" i="6" s="1"/>
  <c r="I18" i="6"/>
  <c r="H22" i="6"/>
  <c r="J22" i="6" s="1"/>
  <c r="I22" i="6"/>
  <c r="H26" i="6"/>
  <c r="J26" i="6" s="1"/>
  <c r="I26" i="6"/>
  <c r="H35" i="6"/>
  <c r="J35" i="6" s="1"/>
  <c r="I35" i="6"/>
  <c r="H19" i="6"/>
  <c r="J19" i="6" s="1"/>
  <c r="I19" i="6"/>
  <c r="H25" i="6"/>
  <c r="J25" i="6" s="1"/>
  <c r="I25" i="6"/>
  <c r="H27" i="6"/>
  <c r="J27" i="6" s="1"/>
  <c r="I27" i="6"/>
  <c r="H32" i="6"/>
  <c r="J32" i="6" s="1"/>
  <c r="I32" i="6"/>
  <c r="H36" i="6"/>
  <c r="J36" i="6" s="1"/>
  <c r="I36" i="6"/>
  <c r="H38" i="6"/>
  <c r="J38" i="6" s="1"/>
  <c r="I38" i="6"/>
  <c r="H20" i="6"/>
  <c r="J20" i="6" s="1"/>
  <c r="I20" i="6"/>
  <c r="H24" i="6"/>
  <c r="J24" i="6" s="1"/>
  <c r="I24" i="6"/>
  <c r="H31" i="6"/>
  <c r="J31" i="6" s="1"/>
  <c r="I31" i="6"/>
  <c r="H33" i="6"/>
  <c r="J33" i="6" s="1"/>
  <c r="I33" i="6"/>
  <c r="H37" i="6"/>
  <c r="J37" i="6" s="1"/>
  <c r="I37" i="6"/>
  <c r="X10" i="6"/>
  <c r="Y10" i="6" s="1"/>
  <c r="X18" i="6"/>
  <c r="Y18" i="6" s="1"/>
  <c r="X37" i="6"/>
  <c r="Y37" i="6" s="1"/>
  <c r="V17" i="6"/>
  <c r="W17" i="6" s="1"/>
  <c r="X36" i="6"/>
  <c r="Y36" i="6" s="1"/>
  <c r="X17" i="6"/>
  <c r="Y17" i="6" s="1"/>
  <c r="V22" i="6"/>
  <c r="W22" i="6" s="1"/>
  <c r="V5" i="6"/>
  <c r="W5" i="6" s="1"/>
  <c r="X21" i="6"/>
  <c r="Y21" i="6" s="1"/>
  <c r="X25" i="6"/>
  <c r="Y25" i="6" s="1"/>
  <c r="V9" i="6"/>
  <c r="W9" i="6" s="1"/>
  <c r="V35" i="6"/>
  <c r="W35" i="6" s="1"/>
  <c r="V19" i="6"/>
  <c r="W19" i="6" s="1"/>
  <c r="V32" i="6"/>
  <c r="W32" i="6" s="1"/>
  <c r="V33" i="6"/>
  <c r="W33" i="6" s="1"/>
  <c r="V13" i="6"/>
  <c r="W13" i="6" s="1"/>
  <c r="X26" i="6"/>
  <c r="Y26" i="6" s="1"/>
  <c r="V30" i="6"/>
  <c r="W30" i="6" s="1"/>
  <c r="X35" i="6"/>
  <c r="Y35" i="6" s="1"/>
  <c r="V7" i="6"/>
  <c r="W7" i="6" s="1"/>
  <c r="V27" i="6"/>
  <c r="W27" i="6" s="1"/>
  <c r="V31" i="6"/>
  <c r="W31" i="6" s="1"/>
  <c r="X11" i="6"/>
  <c r="Y11" i="6" s="1"/>
  <c r="X15" i="6"/>
  <c r="Y15" i="6" s="1"/>
  <c r="X23" i="6"/>
  <c r="Y23" i="6" s="1"/>
  <c r="X27" i="6"/>
  <c r="Y27" i="6" s="1"/>
  <c r="X29" i="6"/>
  <c r="Y29" i="6" s="1"/>
  <c r="X32" i="6"/>
  <c r="Y32" i="6" s="1"/>
  <c r="V37" i="6"/>
  <c r="W37" i="6" s="1"/>
  <c r="V34" i="6"/>
  <c r="W34" i="6" s="1"/>
  <c r="X13" i="6"/>
  <c r="Y13" i="6" s="1"/>
  <c r="V15" i="6"/>
  <c r="W15" i="6" s="1"/>
  <c r="V28" i="6"/>
  <c r="W28" i="6" s="1"/>
  <c r="X31" i="6"/>
  <c r="Y31" i="6" s="1"/>
  <c r="E48" i="6"/>
  <c r="E49" i="6" s="1"/>
  <c r="V8" i="6"/>
  <c r="W8" i="6" s="1"/>
  <c r="V11" i="6"/>
  <c r="W11" i="6" s="1"/>
  <c r="V14" i="6"/>
  <c r="W14" i="6" s="1"/>
  <c r="X19" i="6"/>
  <c r="Y19" i="6" s="1"/>
  <c r="X22" i="6"/>
  <c r="Y22" i="6" s="1"/>
  <c r="V21" i="6"/>
  <c r="W21" i="6" s="1"/>
  <c r="V23" i="6"/>
  <c r="W23" i="6" s="1"/>
  <c r="V24" i="6"/>
  <c r="W24" i="6" s="1"/>
  <c r="V25" i="6"/>
  <c r="W25" i="6" s="1"/>
  <c r="X34" i="6"/>
  <c r="Y34" i="6" s="1"/>
  <c r="X8" i="6"/>
  <c r="Y8" i="6" s="1"/>
  <c r="X12" i="6"/>
  <c r="Y12" i="6" s="1"/>
  <c r="V18" i="6"/>
  <c r="W18" i="6" s="1"/>
  <c r="V29" i="6"/>
  <c r="W29" i="6" s="1"/>
  <c r="V36" i="6"/>
  <c r="W36" i="6" s="1"/>
  <c r="X30" i="6"/>
  <c r="Y30" i="6" s="1"/>
  <c r="X28" i="6"/>
  <c r="Y28" i="6" s="1"/>
  <c r="V26" i="6"/>
  <c r="W26" i="6" s="1"/>
  <c r="X24" i="6"/>
  <c r="Y24" i="6" s="1"/>
  <c r="V20" i="6"/>
  <c r="W20" i="6" s="1"/>
  <c r="X20" i="6"/>
  <c r="Y20" i="6" s="1"/>
  <c r="V16" i="6"/>
  <c r="W16" i="6" s="1"/>
  <c r="X16" i="6"/>
  <c r="Y16" i="6" s="1"/>
  <c r="X14" i="6"/>
  <c r="Y14" i="6" s="1"/>
  <c r="V12" i="6"/>
  <c r="W12" i="6" s="1"/>
  <c r="V6" i="6"/>
  <c r="W6" i="6" s="1"/>
  <c r="X7" i="6"/>
  <c r="Y7" i="6" s="1"/>
  <c r="X9" i="6"/>
  <c r="Y9" i="6" s="1"/>
  <c r="V10" i="6"/>
  <c r="W10" i="6" s="1"/>
  <c r="X6" i="6"/>
  <c r="Y6" i="6" s="1"/>
  <c r="X5" i="6"/>
  <c r="Y5" i="6" s="1"/>
  <c r="I49" i="5"/>
  <c r="E54" i="6" l="1"/>
  <c r="E51" i="6"/>
  <c r="E52" i="6" s="1"/>
  <c r="E60" i="6"/>
  <c r="E55" i="6"/>
  <c r="E56" i="6" s="1"/>
  <c r="G49" i="6"/>
  <c r="G48" i="6"/>
  <c r="T11" i="5"/>
  <c r="T12" i="5"/>
  <c r="T13" i="5"/>
  <c r="T14" i="5"/>
  <c r="T15" i="5"/>
  <c r="T16" i="5"/>
  <c r="T17" i="5"/>
  <c r="T18" i="5"/>
  <c r="T19" i="5"/>
  <c r="T20" i="5"/>
  <c r="T21" i="5"/>
  <c r="T22" i="5"/>
  <c r="T23" i="5"/>
  <c r="T24" i="5"/>
  <c r="T25" i="5"/>
  <c r="T26" i="5"/>
  <c r="T27" i="5"/>
  <c r="T28" i="5"/>
  <c r="T29" i="5"/>
  <c r="T10" i="5"/>
  <c r="W22" i="5"/>
  <c r="W23" i="5"/>
  <c r="W24" i="5"/>
  <c r="W25" i="5"/>
  <c r="W26" i="5"/>
  <c r="W27" i="5"/>
  <c r="W28" i="5"/>
  <c r="W21" i="5" l="1"/>
  <c r="W20" i="5"/>
  <c r="M18" i="4"/>
  <c r="W18" i="5"/>
  <c r="W17" i="5"/>
  <c r="W16" i="5"/>
  <c r="W15" i="5"/>
  <c r="W14" i="5"/>
  <c r="W11" i="5"/>
  <c r="U19" i="5"/>
  <c r="W19" i="5" s="1"/>
  <c r="U13" i="5"/>
  <c r="W13" i="5" s="1"/>
  <c r="U12" i="5"/>
  <c r="W12" i="5" s="1"/>
  <c r="U10" i="5"/>
  <c r="W10" i="5" s="1"/>
  <c r="V122" i="4"/>
  <c r="U122" i="4"/>
  <c r="V121" i="4"/>
  <c r="U121" i="4"/>
  <c r="V120" i="4"/>
  <c r="U120" i="4"/>
  <c r="V119" i="4"/>
  <c r="U119" i="4"/>
  <c r="V118" i="4"/>
  <c r="U118" i="4"/>
  <c r="V117" i="4"/>
  <c r="U117" i="4"/>
  <c r="V113" i="4"/>
  <c r="U113" i="4"/>
  <c r="V112" i="4"/>
  <c r="U112" i="4"/>
  <c r="V111" i="4"/>
  <c r="U111" i="4"/>
  <c r="V110" i="4"/>
  <c r="U110" i="4"/>
  <c r="V109" i="4"/>
  <c r="U109" i="4"/>
  <c r="V108" i="4"/>
  <c r="U108" i="4"/>
  <c r="T87" i="4"/>
  <c r="U87" i="4" s="1"/>
  <c r="R87" i="4"/>
  <c r="S87" i="4" s="1"/>
  <c r="T86" i="4"/>
  <c r="R86" i="4"/>
  <c r="S84" i="4" s="1"/>
  <c r="T84" i="4"/>
  <c r="U84" i="4" s="1"/>
  <c r="T83" i="4"/>
  <c r="U83" i="4" s="1"/>
  <c r="R83" i="4"/>
  <c r="S83" i="4" s="1"/>
  <c r="T82" i="4"/>
  <c r="U82" i="4" s="1"/>
  <c r="R82" i="4"/>
  <c r="S82" i="4" s="1"/>
  <c r="T81" i="4"/>
  <c r="U81" i="4" s="1"/>
  <c r="R81" i="4"/>
  <c r="S81" i="4" s="1"/>
  <c r="U80" i="4"/>
  <c r="S80" i="4"/>
  <c r="R80" i="4"/>
  <c r="T79" i="4"/>
  <c r="U79" i="4" s="1"/>
  <c r="S79" i="4"/>
  <c r="R79" i="4"/>
  <c r="T78" i="4"/>
  <c r="U78" i="4" s="1"/>
  <c r="S78" i="4"/>
  <c r="R78" i="4"/>
  <c r="T77" i="4"/>
  <c r="U77" i="4" s="1"/>
  <c r="S77" i="4"/>
  <c r="R77" i="4"/>
  <c r="R85" i="4" s="1"/>
  <c r="S85" i="4" s="1"/>
  <c r="T72" i="4"/>
  <c r="U68" i="4" s="1"/>
  <c r="R71" i="4"/>
  <c r="R72" i="4" s="1"/>
  <c r="T70" i="4"/>
  <c r="U70" i="4" s="1"/>
  <c r="T69" i="4"/>
  <c r="U69" i="4" s="1"/>
  <c r="L69" i="4"/>
  <c r="T68" i="4"/>
  <c r="L61" i="4"/>
  <c r="R48" i="4"/>
  <c r="R47" i="4"/>
  <c r="R46" i="4"/>
  <c r="R45" i="4"/>
  <c r="R49" i="4" s="1"/>
  <c r="T62" i="4"/>
  <c r="R62" i="4"/>
  <c r="T19" i="4"/>
  <c r="S19" i="4"/>
  <c r="T18" i="4"/>
  <c r="N84" i="4" s="1"/>
  <c r="O84" i="4" s="1"/>
  <c r="S18" i="4"/>
  <c r="L84" i="4" s="1"/>
  <c r="N61" i="4"/>
  <c r="T17" i="4"/>
  <c r="N17" i="4"/>
  <c r="S17" i="4"/>
  <c r="T16" i="4"/>
  <c r="S16" i="4"/>
  <c r="T15" i="4"/>
  <c r="S15" i="4"/>
  <c r="T14" i="4"/>
  <c r="N60" i="4"/>
  <c r="L60" i="4"/>
  <c r="T13" i="4"/>
  <c r="N82" i="4" s="1"/>
  <c r="O82" i="4" s="1"/>
  <c r="N59" i="4"/>
  <c r="S13" i="4"/>
  <c r="L82" i="4" s="1"/>
  <c r="T12" i="4"/>
  <c r="N81" i="4" s="1"/>
  <c r="O81" i="4" s="1"/>
  <c r="N58" i="4"/>
  <c r="L58" i="4"/>
  <c r="T11" i="4"/>
  <c r="N80" i="4" s="1"/>
  <c r="O80" i="4" s="1"/>
  <c r="N57" i="4"/>
  <c r="L57" i="4"/>
  <c r="T10" i="4"/>
  <c r="N79" i="4" s="1"/>
  <c r="O79" i="4" s="1"/>
  <c r="N56" i="4"/>
  <c r="L56" i="4"/>
  <c r="T9" i="4"/>
  <c r="N78" i="4" s="1"/>
  <c r="O78" i="4" s="1"/>
  <c r="N9" i="4"/>
  <c r="N55" i="4"/>
  <c r="L68" i="4"/>
  <c r="T8" i="4"/>
  <c r="N8" i="4"/>
  <c r="S8" i="4"/>
  <c r="T7" i="4"/>
  <c r="S7" i="4"/>
  <c r="N7" i="4"/>
  <c r="N70" i="4"/>
  <c r="T6" i="4"/>
  <c r="S6" i="4"/>
  <c r="T5" i="4"/>
  <c r="N77" i="4" s="1"/>
  <c r="N5" i="4"/>
  <c r="L54" i="4"/>
  <c r="N88" i="4"/>
  <c r="O88" i="4" s="1"/>
  <c r="N83" i="4" l="1"/>
  <c r="O83" i="4" s="1"/>
  <c r="T63" i="4"/>
  <c r="S48" i="4"/>
  <c r="S47" i="4"/>
  <c r="S46" i="4"/>
  <c r="S45" i="4"/>
  <c r="R63" i="4"/>
  <c r="S68" i="4"/>
  <c r="S69" i="4"/>
  <c r="S71" i="4"/>
  <c r="S70" i="4"/>
  <c r="K5" i="4" a="1"/>
  <c r="S10" i="4"/>
  <c r="L79" i="4" s="1"/>
  <c r="S11" i="4"/>
  <c r="L80" i="4" s="1"/>
  <c r="N69" i="4"/>
  <c r="T85" i="4"/>
  <c r="U85" i="4" s="1"/>
  <c r="N86" i="4"/>
  <c r="O86" i="4" s="1"/>
  <c r="S5" i="4"/>
  <c r="S12" i="4"/>
  <c r="L81" i="4" s="1"/>
  <c r="L4" i="4"/>
  <c r="S9" i="4"/>
  <c r="L78" i="4" s="1"/>
  <c r="S14" i="4"/>
  <c r="L83" i="4" s="1"/>
  <c r="N54" i="4"/>
  <c r="L55" i="4"/>
  <c r="L62" i="4" s="1"/>
  <c r="L59" i="4"/>
  <c r="N68" i="4"/>
  <c r="L70" i="4"/>
  <c r="T71" i="4"/>
  <c r="U71" i="4" s="1"/>
  <c r="U72" i="4" s="1"/>
  <c r="N87" i="4"/>
  <c r="O87" i="4" s="1"/>
  <c r="K14" i="4" a="1"/>
  <c r="L87" i="4" l="1"/>
  <c r="M87" i="4" s="1"/>
  <c r="M61" i="4"/>
  <c r="M56" i="4"/>
  <c r="M58" i="4"/>
  <c r="M57" i="4"/>
  <c r="M54" i="4"/>
  <c r="M60" i="4"/>
  <c r="S60" i="4"/>
  <c r="S58" i="4"/>
  <c r="S56" i="4"/>
  <c r="S54" i="4"/>
  <c r="S61" i="4"/>
  <c r="S59" i="4"/>
  <c r="S57" i="4"/>
  <c r="S55" i="4"/>
  <c r="U61" i="4"/>
  <c r="U59" i="4"/>
  <c r="U57" i="4"/>
  <c r="U55" i="4"/>
  <c r="U60" i="4"/>
  <c r="U58" i="4"/>
  <c r="U56" i="4"/>
  <c r="U54" i="4"/>
  <c r="K14" i="4"/>
  <c r="N62" i="4"/>
  <c r="L5" i="4" a="1"/>
  <c r="L5" i="4" s="1"/>
  <c r="L14" i="4" a="1"/>
  <c r="L14" i="4" s="1"/>
  <c r="N71" i="4"/>
  <c r="O70" i="4" s="1"/>
  <c r="L71" i="4"/>
  <c r="U62" i="4"/>
  <c r="M10" i="4"/>
  <c r="O10" i="4" s="1"/>
  <c r="K5" i="4"/>
  <c r="S72" i="4"/>
  <c r="M59" i="4"/>
  <c r="L86" i="4"/>
  <c r="M79" i="4" s="1"/>
  <c r="L77" i="4"/>
  <c r="M77" i="4" s="1"/>
  <c r="M55" i="4"/>
  <c r="L88" i="4"/>
  <c r="M88" i="4" s="1"/>
  <c r="S62" i="4"/>
  <c r="S49" i="4"/>
  <c r="O77" i="4"/>
  <c r="O69" i="4" l="1"/>
  <c r="M8" i="4"/>
  <c r="O8" i="4" s="1"/>
  <c r="O68" i="4"/>
  <c r="M86" i="4"/>
  <c r="M84" i="4"/>
  <c r="M82" i="4"/>
  <c r="M13" i="4"/>
  <c r="O13" i="4" s="1"/>
  <c r="M12" i="4"/>
  <c r="O12" i="4" s="1"/>
  <c r="M11" i="4"/>
  <c r="O11" i="4" s="1"/>
  <c r="M81" i="4"/>
  <c r="M78" i="4"/>
  <c r="M83" i="4"/>
  <c r="M6" i="4"/>
  <c r="O6" i="4" s="1"/>
  <c r="M7" i="4"/>
  <c r="O7" i="4" s="1"/>
  <c r="O71" i="4"/>
  <c r="O57" i="4"/>
  <c r="O60" i="4"/>
  <c r="O59" i="4"/>
  <c r="O58" i="4"/>
  <c r="O61" i="4"/>
  <c r="O55" i="4"/>
  <c r="O56" i="4"/>
  <c r="M16" i="4"/>
  <c r="O16" i="4" s="1"/>
  <c r="U63" i="4"/>
  <c r="S63" i="4"/>
  <c r="M80" i="4"/>
  <c r="M5" i="4"/>
  <c r="M9" i="4"/>
  <c r="O9" i="4" s="1"/>
  <c r="M69" i="4"/>
  <c r="M68" i="4"/>
  <c r="O54" i="4"/>
  <c r="M19" i="4"/>
  <c r="M70" i="4"/>
  <c r="M15" i="4"/>
  <c r="O15" i="4" s="1"/>
  <c r="M14" i="4"/>
  <c r="O14" i="4" s="1"/>
  <c r="M17" i="4"/>
  <c r="O17" i="4" s="1"/>
  <c r="M62" i="4"/>
  <c r="J25" i="3"/>
  <c r="C25" i="3"/>
  <c r="J24" i="3"/>
  <c r="C24" i="3"/>
  <c r="H15" i="2"/>
  <c r="H14" i="2"/>
  <c r="H12" i="2"/>
  <c r="H11" i="2"/>
  <c r="C29" i="2" s="1"/>
  <c r="H10" i="2"/>
  <c r="H8" i="2"/>
  <c r="H7" i="2"/>
  <c r="H6" i="2"/>
  <c r="C30" i="2" s="1"/>
  <c r="O62" i="4" l="1"/>
  <c r="L24" i="4"/>
  <c r="L23" i="4"/>
  <c r="O5" i="4"/>
  <c r="L22" i="4"/>
  <c r="M71" i="4"/>
  <c r="O19" i="4"/>
  <c r="O18" i="4"/>
  <c r="L25" i="4" l="1"/>
  <c r="L48" i="4"/>
  <c r="L47" i="4"/>
  <c r="L46" i="4"/>
  <c r="L45" i="4"/>
  <c r="L49" i="4" l="1"/>
  <c r="M45" i="4" s="1"/>
  <c r="M48" i="4" l="1"/>
  <c r="M47" i="4"/>
  <c r="M46" i="4"/>
  <c r="M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tc={B5DC5291-6A6D-48C7-A6C7-D48CFE382A60}</author>
    <author>tc={554B21F3-EFB7-49C5-962B-7A8B26EF7170}</author>
    <author>tc={8A7D8302-9A73-4C71-B1C6-4B3DCE14D226}</author>
    <author>tc={EC31951F-36DB-4BB9-889B-66C815AE699D}</author>
    <author>tc={0366A16D-EEAC-403F-96A9-4310780EA050}</author>
    <author>tc={4262ED9D-7D4D-4979-A886-69ABD815975C}</author>
    <author>tc={D776B7B1-62B5-4346-9580-94152522D5BD}</author>
    <author>tc={BA761599-396A-49D5-AA6D-4BC19FBDF2BD}</author>
    <author>tc={E320C1C6-DE32-49A6-870A-0918B7BE0E85}</author>
    <author>tc={21204627-F6DC-4143-9567-33068CB8C7FA}</author>
    <author>tc={9873AE17-3FF6-4804-B27E-E3E701DD8B0C}</author>
    <author>tc={56DB3520-C5F7-4FA4-B4D9-82B6B2808C68}</author>
    <author>tc={91993813-061C-47E7-A3AB-2463BC6DB191}</author>
    <author>tc={10EC9C8E-F434-45E3-B814-D8578688DD09}</author>
    <author>tc={2E6F47D5-070C-44D3-BAB1-67ADAE18466B}</author>
    <author>tc={0023FFC6-039A-46E8-8E63-6F287132D253}</author>
    <author>tc={70A75F81-4CAB-4384-A689-206C8CFA0516}</author>
    <author>tc={99DC78EC-4683-44A1-AD26-041BE706B124}</author>
    <author>tc={CD64E6C6-5474-4A71-9BAB-A199E58F34DC}</author>
    <author>tc={D2921E57-2D44-4B35-989E-5AA00252E3C8}</author>
    <author>tc={1371A6D2-3AC0-4404-BBF4-3F45CF4B722B}</author>
    <author>tc={7AF6FB8E-74D6-4C88-BA41-503CE35E7727}</author>
    <author>tc={4D46370C-7FFD-4489-9A9B-2DC1439F982E}</author>
  </authors>
  <commentList>
    <comment ref="P3" authorId="0" shapeId="0" xr:uid="{B5DC5291-6A6D-48C7-A6C7-D48CFE382A60}">
      <text>
        <t>[Comentario encadenado]
Su versión de Excel le permite leer este comentario encadenado; sin embargo, las ediciones que se apliquen se quitarán si el archivo se abre en una versión más reciente de Excel. Más información: https://go.microsoft.com/fwlink/?linkid=870924
Comentario:
    BP is Beam Pump, PCP is Progressive Cavity Pump, ESP is Electrical Submersible Pump</t>
      </text>
    </comment>
    <comment ref="Q3" authorId="1" shapeId="0" xr:uid="{554B21F3-EFB7-49C5-962B-7A8B26EF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WI is Water Injection; GI is Gas Injection</t>
      </text>
    </comment>
    <comment ref="R3" authorId="2" shapeId="0" xr:uid="{8A7D8302-9A73-4C71-B1C6-4B3DCE14D226}">
      <text>
        <t>[Comentario encadenado]
Su versión de Excel le permite leer este comentario encadenado; sin embargo, las ediciones que se apliquen se quitarán si el archivo se abre en una versión más reciente de Excel. Más información: https://go.microsoft.com/fwlink/?linkid=870924
Comentario:
    SI is Steam Injection; AI is Air Injection; CHI is Chemical Inyection (includes Polymer and/or surfractant injection); nnI is Nanofluids Inections; NI is Nitrogen Injection; SAG is surfractang alternative gas</t>
      </text>
    </comment>
    <comment ref="Q43" authorId="3" shapeId="0" xr:uid="{EC31951F-36DB-4BB9-889B-66C815AE699D}">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ANH (https://www.anh.gov.co/documents/4172/Cuencas_Sedimentarias_de_Colombia_PDF.pdf)</t>
      </text>
    </comment>
    <comment ref="Q66" authorId="4" shapeId="0" xr:uid="{0366A16D-EEAC-403F-96A9-4310780EA05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Upstream Characterization UPME (2021)</t>
      </text>
    </comment>
    <comment ref="T72" authorId="5" shapeId="0" xr:uid="{4262ED9D-7D4D-4979-A886-69ABD815975C}">
      <text>
        <t>[Comentario encadenado]
Su versión de Excel le permite leer este comentario encadenado; sin embargo, las ediciones que se apliquen se quitarán si el archivo se abre en una versión más reciente de Excel. Más información: https://go.microsoft.com/fwlink/?linkid=870924
Comentario:
    ANH use to report de fiscalized gas that includes:  Gas lift + Reinjected gas + Gas to plant + transformed gas + gas to gaseoduct.
In 2018 the fiscalized gas production was 2253 Mscf/d, but the commercialized gas production was 1050 Mscf/d.
in 2010 the commercialized gas was 1040 Mscf/d.
Respuesta:
    https://www.valoraanalitik.com/2019/01/16/colombia-cerro-el-2018-con-record-en-produccion-de-gas-y-petroleo/</t>
      </text>
    </comment>
    <comment ref="R76" authorId="6" shapeId="0" xr:uid="{D776B7B1-62B5-4346-9580-94152522D5BD}">
      <text>
        <t>[Comentario encadenado]
Su versión de Excel le permite leer este comentario encadenado; sin embargo, las ediciones que se apliquen se quitarán si el archivo se abre en una versión más reciente de Excel. Más información: https://go.microsoft.com/fwlink/?linkid=870924
Comentario:
    Data from ANH report: Reserves 2018</t>
      </text>
    </comment>
    <comment ref="T77" authorId="7" shapeId="0" xr:uid="{BA761599-396A-49D5-AA6D-4BC19FBDF2BD}">
      <text>
        <t>[Comentario encadenado]
Su versión de Excel le permite leer este comentario encadenado; sin embargo, las ediciones que se apliquen se quitarán si el archivo se abre en una versión más reciente de Excel. Más información: https://go.microsoft.com/fwlink/?linkid=870924
Comentario:
    Chichimene + Apiay + 10 oilfields</t>
      </text>
    </comment>
    <comment ref="R78" authorId="8" shapeId="0" xr:uid="{E320C1C6-DE32-49A6-870A-0918B7BE0E85}">
      <text>
        <t>[Comentario encadenado]
Su versión de Excel le permite leer este comentario encadenado; sin embargo, las ediciones que se apliquen se quitarán si el archivo se abre en una versión más reciente de Excel. Más información: https://go.microsoft.com/fwlink/?linkid=870924
Comentario:
    Infantas + la Cira + Lisama + LLanito + Yarigui-Cantagallo</t>
      </text>
    </comment>
    <comment ref="T78" authorId="9" shapeId="0" xr:uid="{21204627-F6DC-4143-9567-33068CB8C7FA}">
      <text>
        <t>[Comentario encadenado]
Su versión de Excel le permite leer este comentario encadenado; sin embargo, las ediciones que se apliquen se quitarán si el archivo se abre en una versión más reciente de Excel. Más información: https://go.microsoft.com/fwlink/?linkid=870924
Comentario:
    Cira + Infantas + Yarigui-Cantagallo +12 oilfields</t>
      </text>
    </comment>
    <comment ref="R79" authorId="10" shapeId="0" xr:uid="{9873AE17-3FF6-4804-B27E-E3E701DD8B0C}">
      <text>
        <t>[Comentario encadenado]
Su versión de Excel le permite leer este comentario encadenado; sin embargo, las ediciones que se apliquen se quitarán si el archivo se abre en una versión más reciente de Excel. Más información: https://go.microsoft.com/fwlink/?linkid=870924
Comentario:
    Caño limon + 24 campos</t>
      </text>
    </comment>
    <comment ref="T79" authorId="11" shapeId="0" xr:uid="{56DB3520-C5F7-4FA4-B4D9-82B6B2808C68}">
      <text>
        <t>[Comentario encadenado]
Su versión de Excel le permite leer este comentario encadenado; sin embargo, las ediciones que se apliquen se quitarán si el archivo se abre en una versión más reciente de Excel. Más información: https://go.microsoft.com/fwlink/?linkid=870924
Comentario:
    Andina + Capachos</t>
      </text>
    </comment>
    <comment ref="R80" authorId="12" shapeId="0" xr:uid="{91993813-061C-47E7-A3AB-2463BC6DB191}">
      <text>
        <t>[Comentario encadenado]
Su versión de Excel le permite leer este comentario encadenado; sin embargo, las ediciones que se apliquen se quitarán si el archivo se abre en una versión más reciente de Excel. Más información: https://go.microsoft.com/fwlink/?linkid=870924
Comentario:
    Boquete + cicuco (Yarigui-Cantagallo is not considered as part of Bolivar Department but Santander)</t>
      </text>
    </comment>
    <comment ref="R81" authorId="13" shapeId="0" xr:uid="{10EC9C8E-F434-45E3-B814-D8578688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Nare + Peñas Blancas + Teca-Corcona</t>
      </text>
    </comment>
    <comment ref="T81" authorId="14" shapeId="0" xr:uid="{2E6F47D5-070C-44D3-BAB1-67ADAE1846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Peñas Blancas</t>
      </text>
    </comment>
    <comment ref="R82" authorId="15" shapeId="0" xr:uid="{0023FFC6-039A-46E8-8E63-6F287132D253}">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Girasol + Moriche + Velasquez + 8 oilfields</t>
      </text>
    </comment>
    <comment ref="T82" authorId="16" shapeId="0" xr:uid="{70A75F81-4CAB-4384-A689-206C8CFA0516}">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+ 5 gasfields</t>
      </text>
    </comment>
    <comment ref="T83" authorId="17" shapeId="0" xr:uid="{99DC78EC-4683-44A1-AD26-041BE706B124}">
      <text>
        <t>[Comentario encadenado]
Su versión de Excel le permite leer este comentario encadenado; sin embargo, las ediciones que se apliquen se quitarán si el archivo se abre en una versión más reciente de Excel. Más información: https://go.microsoft.com/fwlink/?linkid=870924
Comentario:
    Cupiagua + Cusiana + Pauto + 9 gasfields</t>
      </text>
    </comment>
    <comment ref="T84" authorId="18" shapeId="0" xr:uid="{CD64E6C6-5474-4A71-9BAB-A199E58F34DC}">
      <text>
        <t>[Comentario encadenado]
Su versión de Excel le permite leer este comentario encadenado; sin embargo, las ediciones que se apliquen se quitarán si el archivo se abre en una versión más reciente de Excel. Más información: https://go.microsoft.com/fwlink/?linkid=870924
Comentario:
    Ballena + Chuchupa</t>
      </text>
    </comment>
    <comment ref="R87" authorId="19" shapeId="0" xr:uid="{D2921E57-2D44-4B35-989E-5AA00252E3C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T87" authorId="20" shapeId="0" xr:uid="{1371A6D2-3AC0-4404-BBF4-3F45CF4B722B}">
      <text>
        <t>[Comentario encadenado]
Su versión de Excel le permite leer este comentario encadenado; sin embargo, las ediciones que se apliquen se quitarán si el archivo se abre en una versión más reciente de Excel. Más información: https://go.microsoft.com/fwlink/?linkid=870924
Comentario:
    1 Equivalent oil barrel is about 5800 scf</t>
      </text>
    </comment>
    <comment ref="R97" authorId="21" shapeId="0" xr:uid="{7AF6FB8E-74D6-4C88-BA41-503CE35E772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Q104" authorId="22" shapeId="0" xr:uid="{4D46370C-7FFD-4489-9A9B-2DC1439F982E}">
      <text>
        <t>[Comentario encadenado]
Su versión de Excel le permite leer este comentario encadenado; sin embargo, las ediciones que se apliquen se quitarán si el archivo se abre en una versión más reciente de Excel. Más información: https://go.microsoft.com/fwlink/?linkid=870924
Comentario:
    Boletin Estadistico UPME 2016-2020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U22" authorId="0" shapeId="0" xr:uid="{9A7E7D35-8E04-4306-B9E3-CEF0D97B40FA}">
      <text>
        <r>
          <rPr>
            <b/>
            <sz val="9"/>
            <color indexed="81"/>
            <rFont val="Tahoma"/>
            <family val="2"/>
          </rPr>
          <t>JULIAN:</t>
        </r>
        <r>
          <rPr>
            <sz val="9"/>
            <color indexed="81"/>
            <rFont val="Tahoma"/>
            <family val="2"/>
          </rPr>
          <t xml:space="preserve">
spe-171080-ms</t>
        </r>
      </text>
    </comment>
    <comment ref="U23" authorId="0" shapeId="0" xr:uid="{DEED395F-1D1B-424C-A1A8-2483B506D4A8}">
      <text>
        <r>
          <rPr>
            <b/>
            <sz val="9"/>
            <color indexed="81"/>
            <rFont val="Tahoma"/>
            <family val="2"/>
          </rPr>
          <t>JULIAN:</t>
        </r>
        <r>
          <rPr>
            <sz val="9"/>
            <color indexed="81"/>
            <rFont val="Tahoma"/>
            <family val="2"/>
          </rPr>
          <t xml:space="preserve">
spe-165273-ms</t>
        </r>
      </text>
    </comment>
    <comment ref="F24" authorId="0" shapeId="0" xr:uid="{3AEA3F1E-ACF2-42CF-9928-7D104AA72A5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U24" authorId="0" shapeId="0" xr:uid="{721FB5EC-A40A-4A58-9A4A-3D991283EEA3}">
      <text>
        <r>
          <rPr>
            <b/>
            <sz val="9"/>
            <color indexed="81"/>
            <rFont val="Tahoma"/>
            <family val="2"/>
          </rPr>
          <t>JULIAN:</t>
        </r>
        <r>
          <rPr>
            <sz val="9"/>
            <color indexed="81"/>
            <rFont val="Tahoma"/>
            <family val="2"/>
          </rPr>
          <t xml:space="preserve">
spe-138979-ms</t>
        </r>
      </text>
    </comment>
    <comment ref="U25" authorId="0" shapeId="0" xr:uid="{021120BA-4355-4767-B534-349B36E47141}">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U26" authorId="0" shapeId="0" xr:uid="{AB424C1A-019E-4FB3-9CA1-987A9D0ACC1F}">
      <text>
        <r>
          <rPr>
            <b/>
            <sz val="9"/>
            <color indexed="81"/>
            <rFont val="Tahoma"/>
            <family val="2"/>
          </rPr>
          <t>JULIAN:</t>
        </r>
        <r>
          <rPr>
            <sz val="9"/>
            <color indexed="81"/>
            <rFont val="Tahoma"/>
            <family val="2"/>
          </rPr>
          <t xml:space="preserve">
9-16 api</t>
        </r>
      </text>
    </comment>
    <comment ref="U27" authorId="0" shapeId="0" xr:uid="{03F48D67-635D-40EF-8147-C3E6BDC78A04}">
      <text>
        <r>
          <rPr>
            <b/>
            <sz val="9"/>
            <color indexed="81"/>
            <rFont val="Tahoma"/>
            <family val="2"/>
          </rPr>
          <t>JULIAN:</t>
        </r>
        <r>
          <rPr>
            <sz val="9"/>
            <color indexed="81"/>
            <rFont val="Tahoma"/>
            <family val="2"/>
          </rPr>
          <t xml:space="preserve">
Solo vapor.</t>
        </r>
      </text>
    </comment>
    <comment ref="U29" authorId="0" shapeId="0" xr:uid="{8FF7CB05-762A-4817-8177-C646D05EFBD9}">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1272EF-5D77-4F82-AF39-0C76AD9EB519}" keepAlive="1" name="Consulta - Akacias_" description="Conexión a la consulta 'Akacias_' en el libro." type="5" refreshedVersion="8" background="1" saveData="1">
    <dbPr connection="Provider=Microsoft.Mashup.OleDb.1;Data Source=$Workbook$;Location=Akacias_;Extended Properties=&quot;&quot;" command="SELECT * FROM [Akacias_]"/>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0"/>
        </ext>
      </extLst>
    </bk>
    <bk>
      <extLst>
        <ext uri="{3e2802c4-a4d2-4d8b-9148-e3be6c30e623}">
          <xlrd:rvb i="18"/>
        </ext>
      </extLst>
    </bk>
    <bk>
      <extLst>
        <ext uri="{3e2802c4-a4d2-4d8b-9148-e3be6c30e623}">
          <xlrd:rvb i="26"/>
        </ext>
      </extLst>
    </bk>
    <bk>
      <extLst>
        <ext uri="{3e2802c4-a4d2-4d8b-9148-e3be6c30e623}">
          <xlrd:rvb i="35"/>
        </ext>
      </extLst>
    </bk>
    <bk>
      <extLst>
        <ext uri="{3e2802c4-a4d2-4d8b-9148-e3be6c30e623}">
          <xlrd:rvb i="44"/>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8"/>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<sst xmlns="http://schemas.openxmlformats.org/spreadsheetml/2006/main" count="1251" uniqueCount="571">
  <si>
    <t>2. Oil and Gas Production by Oilfield (TOP 5) at 2018</t>
  </si>
  <si>
    <t>Characteristic / Main features</t>
  </si>
  <si>
    <t>Order by oil production</t>
  </si>
  <si>
    <t>Department</t>
  </si>
  <si>
    <t>City-town-location</t>
  </si>
  <si>
    <t>Basin</t>
  </si>
  <si>
    <t>Oilfield</t>
  </si>
  <si>
    <t>Company</t>
  </si>
  <si>
    <t>Oil Production [B/d]</t>
  </si>
  <si>
    <t>Gas commercialized [Mscf/d]
= to Plant + to pipelines (Jun/2018)</t>
  </si>
  <si>
    <t>Gas Production [Mscf/d]</t>
  </si>
  <si>
    <t>API Gravity</t>
  </si>
  <si>
    <t>Viscocity</t>
  </si>
  <si>
    <t>Year of initial production</t>
  </si>
  <si>
    <t>Primary production formation</t>
  </si>
  <si>
    <t>Porosity (%)</t>
  </si>
  <si>
    <t>Permeability (mD)</t>
  </si>
  <si>
    <t xml:space="preserve">Reserves </t>
  </si>
  <si>
    <t>FR [%]</t>
  </si>
  <si>
    <t>Primary method</t>
  </si>
  <si>
    <t>Artificial lift method</t>
  </si>
  <si>
    <t>Water production</t>
  </si>
  <si>
    <t>Gas production</t>
  </si>
  <si>
    <t>Secondary production</t>
  </si>
  <si>
    <t>Tertiary production</t>
  </si>
  <si>
    <t>Special considerations</t>
  </si>
  <si>
    <t>Meta</t>
  </si>
  <si>
    <t>Puerto Gaitan</t>
  </si>
  <si>
    <t>Llanos Orientales</t>
  </si>
  <si>
    <t>Rubiales</t>
  </si>
  <si>
    <t>ECP</t>
  </si>
  <si>
    <t>-</t>
  </si>
  <si>
    <t>11.3 - 14.4</t>
  </si>
  <si>
    <t>310 - 730 cP @147F</t>
  </si>
  <si>
    <t>1980 (discovered) 2003-2006 (production)</t>
  </si>
  <si>
    <t>Carbonera "Arenas Basales"</t>
  </si>
  <si>
    <t>0.25 - 0.32</t>
  </si>
  <si>
    <t>5000, 50000 (5 - 13 D RU3)</t>
  </si>
  <si>
    <t>OOIP = 4608 MSTB, Reserves (2011) = 385 MSTB</t>
  </si>
  <si>
    <t>3.7% (2011)</t>
  </si>
  <si>
    <t>Water bottom drive</t>
  </si>
  <si>
    <t>PCP, ESP</t>
  </si>
  <si>
    <t>BS&amp;W = 81% (emulsion state)</t>
  </si>
  <si>
    <t>GOR = 5 - 8 scf/STB</t>
  </si>
  <si>
    <t>88% of wells are horizontals (RU 2). ALS information is contained in RU1</t>
  </si>
  <si>
    <t>Acacias/Castilla Nueva</t>
  </si>
  <si>
    <t>Castilla (c, e, n, n)</t>
  </si>
  <si>
    <t>150 cp</t>
  </si>
  <si>
    <t xml:space="preserve">1969 (discovered) and </t>
  </si>
  <si>
    <t>Guadalupe (K2, k1)</t>
  </si>
  <si>
    <t>0.2, 16-22 (CAS 2)</t>
  </si>
  <si>
    <t>500 - 10000 Md</t>
  </si>
  <si>
    <t>OOIP= 1900 MBBL (K2) OOIP= 900 MSTB (K1)</t>
  </si>
  <si>
    <t>FR=15%  Np= 198 MSTB (2007)</t>
  </si>
  <si>
    <t>Active-bottom aquifer</t>
  </si>
  <si>
    <t>ESP</t>
  </si>
  <si>
    <t>205 MBWPD</t>
  </si>
  <si>
    <t xml:space="preserve">Water injection </t>
  </si>
  <si>
    <t>Nanofluids</t>
  </si>
  <si>
    <t>Multilateral wells reduces water cut and boost oil production. CAS 1 (Some date about drilling costs). CAS2  (Nanofluids)</t>
  </si>
  <si>
    <t>Acacias/Guamal</t>
  </si>
  <si>
    <t>Chichimene</t>
  </si>
  <si>
    <t>20 (Guadalupe) / 7-9 (San Fernando)</t>
  </si>
  <si>
    <t>150-500 cp@150F (Guadalupe) and 2000-7000 cp@180F (San Fernando)</t>
  </si>
  <si>
    <t>1969 (discovered) and 1985 (production). Since 2000 is operated by ECP</t>
  </si>
  <si>
    <t>San Fernando T2, Guadalupe K1-K2</t>
  </si>
  <si>
    <t xml:space="preserve">16-22% (Guadalupe), 16-20% (San Fernando) </t>
  </si>
  <si>
    <t>500 - 10000 mD (Guadalupe) 800 - 4000 mD (San Fernando)</t>
  </si>
  <si>
    <t>OOIP = 247 MSTB (Guadalupe) and OOIP= 2577 MST (San Fernando)</t>
  </si>
  <si>
    <t>FR=16.92% (Np=41.80 MSTB)</t>
  </si>
  <si>
    <t>Gas in solution (San Fernando) and Active Aquifer (Guadalupe)</t>
  </si>
  <si>
    <t>93% of wells uses ESP, the others use PCP</t>
  </si>
  <si>
    <t>BSW=90-95% (Guadalupe) and BSW=10% (San Fernando)</t>
  </si>
  <si>
    <t>GOR= 0 (Guadalupe) GOR=200-500 scf/STB (San Fernando)</t>
  </si>
  <si>
    <t xml:space="preserve">Water injection to pressure maintenance </t>
  </si>
  <si>
    <t>ISC, Nanofluids injection</t>
  </si>
  <si>
    <t>ISC (CHI 1), Reducing skin through ChemInj (CHI 2), 70,000 bbl water is discharged (CHI 8), comparision between ESP - PCP (CHI 7, 3)</t>
  </si>
  <si>
    <t>Santander</t>
  </si>
  <si>
    <t>Barrancabermeja</t>
  </si>
  <si>
    <t>VMM</t>
  </si>
  <si>
    <t>La Cira</t>
  </si>
  <si>
    <t>20 - 25</t>
  </si>
  <si>
    <t>10 - 40cP</t>
  </si>
  <si>
    <t>1918 (discovered and produced)</t>
  </si>
  <si>
    <t>Colorado (Sand A), Mugrosa (Sand B and C). Sand C contributes over 90% oil production and reserves</t>
  </si>
  <si>
    <t xml:space="preserve">22% (Sand C), </t>
  </si>
  <si>
    <t>50 - 2000 Md</t>
  </si>
  <si>
    <t>OOIP=  3900 MSTB (CIRA 11), Reserves = 172 MMSTO (CIRA 10)</t>
  </si>
  <si>
    <t>FR = 13% (Primary production until 1957), FR= 3% (Waterflooding 1959-2005) FR= 3% (Waterflooding 2005-2018)</t>
  </si>
  <si>
    <t>BP 760 wells (76%), PCP 135 wells (14%), ESP 99 wells (10%), ESPCP 6 wells (2014)</t>
  </si>
  <si>
    <t>Produced 506000 BWPD  and Injected 618000 BWIPD (2018), Water-cut=90%.</t>
  </si>
  <si>
    <t>150 scf/STB</t>
  </si>
  <si>
    <t>Gas injection / Water Injection (since 60s) / Water injection optimization (2006)</t>
  </si>
  <si>
    <t>2014 the field has 1000 producing wells and 408 injectors (CIRA 2). 95% producing wells are under waterflooding (CIRA 9)</t>
  </si>
  <si>
    <t>Quifa</t>
  </si>
  <si>
    <t>Frontera</t>
  </si>
  <si>
    <t>13 - 14</t>
  </si>
  <si>
    <t>180 - 300 cP@Reservoir</t>
  </si>
  <si>
    <t>2008 (discovered) 2010 (production)</t>
  </si>
  <si>
    <t>0.25 - 0.33</t>
  </si>
  <si>
    <t>5000 - 10000</t>
  </si>
  <si>
    <t>OOIP= 1500 MBBL</t>
  </si>
  <si>
    <t>12% Vertical wells, 22.3% horizontal wells (all primary production), 30% ISC</t>
  </si>
  <si>
    <t>Mainly ESP. PCP</t>
  </si>
  <si>
    <t>BS&amp;W &gt; 90% (emulsion state)</t>
  </si>
  <si>
    <t>GOR = 7 - 8 scf/STB</t>
  </si>
  <si>
    <t>ISC (2011 - 2014) Pilot</t>
  </si>
  <si>
    <t>QU 2, 3 (ISC) Q5 (Treatment), QU 7 (ALS)</t>
  </si>
  <si>
    <t>Arauca</t>
  </si>
  <si>
    <t>Llanos Orientales*</t>
  </si>
  <si>
    <t>Caño Limon</t>
  </si>
  <si>
    <t>OXY</t>
  </si>
  <si>
    <t>1983 (discovered)</t>
  </si>
  <si>
    <t>Carbonera, Units K1, K2, K3</t>
  </si>
  <si>
    <t>500 - 5000</t>
  </si>
  <si>
    <t>Reserves more than 1 MMSTB, OOIP 1.7 MMSTB</t>
  </si>
  <si>
    <t>FR=58% (1995)</t>
  </si>
  <si>
    <t>Edge-water drive</t>
  </si>
  <si>
    <t>ESP (304 in 2006) nearly 98% of active wells</t>
  </si>
  <si>
    <t>Watercut=80% this is 1 MBWD (1995), Watercut= 93% this is 2.851.721 barrels of fluids  ( CAÑO 3, 2012)</t>
  </si>
  <si>
    <t>GOR = 6 scf/STB</t>
  </si>
  <si>
    <t>Waterflooding</t>
  </si>
  <si>
    <t>394 productor wells, 9 injection wells (2012 according to CAÑO 3).  Waterflooding (CAÑO 7)
ALS consumes nearly 75% of the energy in the oilfield, and the 25% is consumed by production facilities, injection water.  Nearly 50% of the energy generated is based on diesel (CAÑO 3). Cost of energy generated is U S86/MWh and purchased energy 83 UAS/MWh, for a total an annual 96,000,000 USD</t>
  </si>
  <si>
    <t>Bolivar</t>
  </si>
  <si>
    <t>Puerto Wilches</t>
  </si>
  <si>
    <t>Yarigui-Cantagallo</t>
  </si>
  <si>
    <t>24 cP@ReservoirTemperature</t>
  </si>
  <si>
    <t>1940 (discovered) 1941 (production)</t>
  </si>
  <si>
    <t>Mainly Cantagallo sands. Mugrosa, La Paz</t>
  </si>
  <si>
    <t>0.18 - 20</t>
  </si>
  <si>
    <t>50 - 182 Md</t>
  </si>
  <si>
    <t>OOIP= 1,048 MMSTB (77% of the total)in 2015. YARI 7OOIP= 750 MMSTB in 1974.</t>
  </si>
  <si>
    <t>FR= 20.7%, Np= 155 MMSTB in 1999</t>
  </si>
  <si>
    <t xml:space="preserve">Gas in solution / water drive </t>
  </si>
  <si>
    <t>WaterCut&gt;90% (YARI 3)</t>
  </si>
  <si>
    <t>Waterflooding since 2008</t>
  </si>
  <si>
    <t>Polymer Injection</t>
  </si>
  <si>
    <t>Sand production represents costs about 913,860 USD/y (YARI 4). Waterflooding will incorporate 35  MMSTB of reserves (YARI 5). Cost data about PI is in YARI 7.</t>
  </si>
  <si>
    <t>Antioquia</t>
  </si>
  <si>
    <t>Yondo</t>
  </si>
  <si>
    <t>Casabe</t>
  </si>
  <si>
    <t>1941 (discovered)</t>
  </si>
  <si>
    <t>La Paz, Mugrosa, Colorado</t>
  </si>
  <si>
    <t>10 - 300 mD</t>
  </si>
  <si>
    <t>OOIP= 1,700 MSTB. Np= 350 MMSTB (CASA 3)</t>
  </si>
  <si>
    <t>FR@ Primary= 13% (CASA 7). FR@ Secondary=3.4%, FR@ SecondarySelective= 5.4% (CASA 5).
FR=19% (CASA 3)</t>
  </si>
  <si>
    <t>Fluid and rock expansion, solution gas drive</t>
  </si>
  <si>
    <t>PCP (61%) BP (35%)</t>
  </si>
  <si>
    <t xml:space="preserve">Watercut= 80% </t>
  </si>
  <si>
    <t>Waterflooding since 1985. Water Injection 125,000 BWPD (CASA 6). 1 BOPD to 6 BWPD (CASA 5)</t>
  </si>
  <si>
    <t>Oil, water produced and injected data (CASA 1). Water Injection Plant energy consumption (CASA 1).
ALS data  in (CASA 4)</t>
  </si>
  <si>
    <t>Boyaca</t>
  </si>
  <si>
    <t>Puerto Boyaca</t>
  </si>
  <si>
    <t>Moriche</t>
  </si>
  <si>
    <t>Mansarovar</t>
  </si>
  <si>
    <t>800 - 2600cP</t>
  </si>
  <si>
    <t>1983 (discovered) and 2008 (produced)</t>
  </si>
  <si>
    <t>Sand A and B (Chuspas Group)</t>
  </si>
  <si>
    <t>0.2 - 0.28</t>
  </si>
  <si>
    <t>300 - 2000 Md</t>
  </si>
  <si>
    <t>Np= 7 MMSTB (MORI 1), Reserves (2021)= 46 MMBL, OOIP= 1072 MMBL</t>
  </si>
  <si>
    <t>FR= 2% (MORI 1), FR= 6.3% (MORI 6)</t>
  </si>
  <si>
    <t>Gas solution, parcial water drive</t>
  </si>
  <si>
    <t>BP</t>
  </si>
  <si>
    <t>CSS (OSR)&lt; 1 STB/MMBTU</t>
  </si>
  <si>
    <t>604 wells: 522 producers and 13 injectors (MORI 2 - 2016). Energy requirements for CSS 10900 MMBTU/D (MORI 2). GHG Emissions 420.404 CO2eq (MORI 2), 10% by flaring. Steam injected is abouyt 27,000 MMBTU at 80% quality (MARI 3)</t>
  </si>
  <si>
    <t>Casanare</t>
  </si>
  <si>
    <t>Jacana + Tigana (t+ n + s +s )</t>
  </si>
  <si>
    <t>GEOPARK</t>
  </si>
  <si>
    <t>19 (Jacana)</t>
  </si>
  <si>
    <t>Jacana was discovered in 2015. Tigana was discovered in 2014.</t>
  </si>
  <si>
    <t>Cesar</t>
  </si>
  <si>
    <t>Acordionero</t>
  </si>
  <si>
    <t>GRAN TIERRA</t>
  </si>
  <si>
    <t>7 - 487cP</t>
  </si>
  <si>
    <t>2013 (production)</t>
  </si>
  <si>
    <t>Mugrosa, Colorado, Esmeralddas</t>
  </si>
  <si>
    <t>0.15-0.2</t>
  </si>
  <si>
    <t>20-6000 mD</t>
  </si>
  <si>
    <t>Waterflooding (40,000 bwpd)</t>
  </si>
  <si>
    <t>21 wells in 2018  (ARCO 1). Energy generated is based on diesel, there are data and analysis to reuse the gas produced (ARCO 1)</t>
  </si>
  <si>
    <t>All production data is taken from https://www.anh.gov.co/es/operaciones-y-regal%C3%ADas/sistemas-integrados-operaciones/estad%C3%ADsticas-de-producci%C3%B3n/</t>
  </si>
  <si>
    <t>RU2</t>
  </si>
  <si>
    <t xml:space="preserve"> RU 1, RU 2</t>
  </si>
  <si>
    <t>RU1</t>
  </si>
  <si>
    <t>RU1 (review information about AL)</t>
  </si>
  <si>
    <t>RU3</t>
  </si>
  <si>
    <t>Castilla also includes Castilla Norte and Castilla Este</t>
  </si>
  <si>
    <t>CAS 1</t>
  </si>
  <si>
    <t>CAS 2</t>
  </si>
  <si>
    <t>CAS1</t>
  </si>
  <si>
    <t>CAS 6</t>
  </si>
  <si>
    <t>CAS 3</t>
  </si>
  <si>
    <t>Chichimene also includes Chichimene SW</t>
  </si>
  <si>
    <t>CHI 6</t>
  </si>
  <si>
    <t>CHI 9, CHI 7</t>
  </si>
  <si>
    <t>CHI 4</t>
  </si>
  <si>
    <t>CHI 9</t>
  </si>
  <si>
    <t>CHI 7</t>
  </si>
  <si>
    <t>CHI 5</t>
  </si>
  <si>
    <t>CHI 8, CHI 5</t>
  </si>
  <si>
    <t>CHI 1, CHI 4</t>
  </si>
  <si>
    <t>La Cira also includes Infantas</t>
  </si>
  <si>
    <t>CIRA 11</t>
  </si>
  <si>
    <t>CIRA 1</t>
  </si>
  <si>
    <t>CIRA 11, 10</t>
  </si>
  <si>
    <t>CIRA 11, 10, 9</t>
  </si>
  <si>
    <t>CIRA 8</t>
  </si>
  <si>
    <t>CIRA 11, 9</t>
  </si>
  <si>
    <t>Tigana includes Tigana sur and tigana norte</t>
  </si>
  <si>
    <t>QU 5</t>
  </si>
  <si>
    <t>QU 2</t>
  </si>
  <si>
    <t>QU 2, QU 4</t>
  </si>
  <si>
    <t>QU 7</t>
  </si>
  <si>
    <t>QU 3</t>
  </si>
  <si>
    <t>QU5</t>
  </si>
  <si>
    <t>Acordionero also includes Acordionero-24</t>
  </si>
  <si>
    <t>CAÑO 1</t>
  </si>
  <si>
    <t>CAÑO 2</t>
  </si>
  <si>
    <t>CAÑO 1, CAÑO 3</t>
  </si>
  <si>
    <t>CAÑO 7</t>
  </si>
  <si>
    <t>Casabe also includes Casabe Sur</t>
  </si>
  <si>
    <t>https://www.geo-park.com/files/releases/Jacana_Press_Release_ESP.pdf</t>
  </si>
  <si>
    <t>https://www.grantierra.com/operations/company-snapshot</t>
  </si>
  <si>
    <t>ARCO 3</t>
  </si>
  <si>
    <t>ARCO 1</t>
  </si>
  <si>
    <t>ARCO 2</t>
  </si>
  <si>
    <t>Observation (Pending): most of gas is flared or used in oilfield. The gas is not reinjected.</t>
  </si>
  <si>
    <t>YARI 7</t>
  </si>
  <si>
    <t>YARI 3</t>
  </si>
  <si>
    <t>YARI 5, 7</t>
  </si>
  <si>
    <t>YARI 5</t>
  </si>
  <si>
    <t>YARI 3, 5</t>
  </si>
  <si>
    <t>YARI 3, 6</t>
  </si>
  <si>
    <t>CASA 3</t>
  </si>
  <si>
    <t>CASA 1</t>
  </si>
  <si>
    <t>CASA 15</t>
  </si>
  <si>
    <t>CASA 6, CASA 3</t>
  </si>
  <si>
    <t>CASA 7</t>
  </si>
  <si>
    <t>CASA 6</t>
  </si>
  <si>
    <t>CASA 7, 6</t>
  </si>
  <si>
    <t>MORI 1</t>
  </si>
  <si>
    <t>MORI 6</t>
  </si>
  <si>
    <t>MORI 3</t>
  </si>
  <si>
    <t>Oil production</t>
  </si>
  <si>
    <t>Total [B/d]</t>
  </si>
  <si>
    <t>% respect to national production</t>
  </si>
  <si>
    <t>Total [Mscf/d]</t>
  </si>
  <si>
    <t>% respect to ECP production</t>
  </si>
  <si>
    <t>Total ECP [Mscf/d]</t>
  </si>
  <si>
    <t>BP is Beam Pump, PCP is Progressive Cavity Pump, ESP is Electrical Submersible Pump</t>
  </si>
  <si>
    <t>Order by gas production</t>
  </si>
  <si>
    <t>Gas Production* [Mscf/d] June 2018</t>
  </si>
  <si>
    <t>SG gas</t>
  </si>
  <si>
    <t>Heating Value</t>
  </si>
  <si>
    <t>Aguazul</t>
  </si>
  <si>
    <t>Cupiagua (Cupiagua + Liria + Sur)</t>
  </si>
  <si>
    <t>37 (initially), 48 (current)</t>
  </si>
  <si>
    <t>HHV= 42.67 MJ/kg, LHV= 38.62 MJ/kg</t>
  </si>
  <si>
    <t>1992 (discovered) and 1996 (produced)</t>
  </si>
  <si>
    <t>Mirador, Barco, Guadalupe</t>
  </si>
  <si>
    <t>1 - 10 mD</t>
  </si>
  <si>
    <t>OOIP= 1000 MMSTB and OGIP= 4 Tcf (CUPI 3)</t>
  </si>
  <si>
    <t>FR= 42%, Frsomelayers=60%</t>
  </si>
  <si>
    <t>Gas cap expansion, solution gas drive</t>
  </si>
  <si>
    <t>280 stb/MMscf</t>
  </si>
  <si>
    <t>Gas injection, 450 MMscfd (stars 1998)</t>
  </si>
  <si>
    <t>Nanofluids and Foams, SAG</t>
  </si>
  <si>
    <t>CPF has the capacity of 16,000 BOPD and 850 MMscfd (660 from Cupiagua and 180  from Pauto/Receptor)(CUPI 1)</t>
  </si>
  <si>
    <t>Tauramena</t>
  </si>
  <si>
    <t>Cusiana (Cusiana + Norte)</t>
  </si>
  <si>
    <t>1988 (discovered) and 1994 (production)</t>
  </si>
  <si>
    <t xml:space="preserve">OOIP= 1500 MMSTB OGIP= 3 Tcf </t>
  </si>
  <si>
    <t>RF= 50% (Mirador) RF=25% (Barco, Guadalupe)</t>
  </si>
  <si>
    <t>Water injection (Barco and Guadalupe) / Gas injection (Mirador)</t>
  </si>
  <si>
    <t>SAG</t>
  </si>
  <si>
    <t>Yopal</t>
  </si>
  <si>
    <t>Pauto Sur (Sur + Recetor)</t>
  </si>
  <si>
    <t>EQUION*</t>
  </si>
  <si>
    <t>Gross= 1210 BTU/ft3, Net= 1098  BTU/ft3</t>
  </si>
  <si>
    <t>1995 (Discovered) and 2001 (production)</t>
  </si>
  <si>
    <t>Z</t>
  </si>
  <si>
    <t>0.03 - 0.05</t>
  </si>
  <si>
    <t>&lt; 10mD</t>
  </si>
  <si>
    <t>IGIP&gt; 1 Tcf. 
Reserves (Pauto&amp;Floreña)= 70 MSTB  (Light Oil)
Reserves (Pauto&amp;Floreña)= 5000 Gcf  (Gas)</t>
  </si>
  <si>
    <t>Np= 180,000 Bl &amp; Gp= 12,000 Mcf (2016)</t>
  </si>
  <si>
    <t>Natural flow</t>
  </si>
  <si>
    <t>30 - 350 STB/MMscf</t>
  </si>
  <si>
    <t>Nitrogen Injection</t>
  </si>
  <si>
    <t>Between Pauto&amp;Floreña: 25 wells: 1 water injection, 4 gas injection, 20 producer wells (PAU 8). 
Gas composition and Gas distribution in PAU 9</t>
  </si>
  <si>
    <t>Floreña (Floreña + Mirador)</t>
  </si>
  <si>
    <t>44 - 47</t>
  </si>
  <si>
    <t>Gross= 1158 BTU/ft3, Net= 1049  BTU/ft3</t>
  </si>
  <si>
    <t>Reserves (Pauto&amp;Floreña)= 70 MSTB  (Light Oil)
Reserves (Pauto&amp;Floreña)= 5000 Gcf  (Gas)</t>
  </si>
  <si>
    <t>Np= 80,000 Bl &amp; Gp=5,500 Mcf (2016)</t>
  </si>
  <si>
    <t xml:space="preserve"> P&amp;F =3000 BWPD, BSW&lt;0.5</t>
  </si>
  <si>
    <t>P&amp;F= 30000 BOPD / 180 MMscfd</t>
  </si>
  <si>
    <t>Gas injection 80 MMsfcd</t>
  </si>
  <si>
    <t>Between Pauto&amp;Floreña: 25 wells: 1 water injection, 4 gas injection, 20 producer wells (PAU 8).
Treatment in site (FLO 1, 2)
Gas composition in PAU 9</t>
  </si>
  <si>
    <t>Guajira</t>
  </si>
  <si>
    <t>Manaure</t>
  </si>
  <si>
    <t>Chuchupa</t>
  </si>
  <si>
    <t>CHEVRON</t>
  </si>
  <si>
    <t>HHV= 37.13 MJ/kg, LHV= 33.44 MJ/kg</t>
  </si>
  <si>
    <t>1973 (discovered) and 1979 (production)</t>
  </si>
  <si>
    <t>Units A, B1, B2, C</t>
  </si>
  <si>
    <t>0.2-0.3</t>
  </si>
  <si>
    <t>210mD - &gt;1 D</t>
  </si>
  <si>
    <t>OGIP: P10= 4.1 Tcf,  P50= 4.7 Tcf   P90= 5.3 Tcf</t>
  </si>
  <si>
    <t>FR=45% (2009)</t>
  </si>
  <si>
    <t>WGR= 0.2 bwpd/MMscfd</t>
  </si>
  <si>
    <t>Ballena</t>
  </si>
  <si>
    <t>OGIP= 1.5 Tcf</t>
  </si>
  <si>
    <t>FR=30% (1996)</t>
  </si>
  <si>
    <t>Cordoba</t>
  </si>
  <si>
    <t>Nelson</t>
  </si>
  <si>
    <t>GEOPRODUCTION OIL AND GAS COMPANY</t>
  </si>
  <si>
    <t>Norte de Santander</t>
  </si>
  <si>
    <t>Gibraltar</t>
  </si>
  <si>
    <t>PAU 7</t>
  </si>
  <si>
    <t>PAU 8</t>
  </si>
  <si>
    <t>PAU 5</t>
  </si>
  <si>
    <t>CUPI 8,9, PAU 10</t>
  </si>
  <si>
    <t>CUPI 1</t>
  </si>
  <si>
    <t>CUSI 7</t>
  </si>
  <si>
    <t>CUPI</t>
  </si>
  <si>
    <t>CUPI 6</t>
  </si>
  <si>
    <t>CUSI 5</t>
  </si>
  <si>
    <t>CUPI 4</t>
  </si>
  <si>
    <t>CUPI 3</t>
  </si>
  <si>
    <t>CUPI 1, 6</t>
  </si>
  <si>
    <t>CHU 3</t>
  </si>
  <si>
    <t>CUSI 7,8</t>
  </si>
  <si>
    <t>CHU 1</t>
  </si>
  <si>
    <t>CHU 5</t>
  </si>
  <si>
    <t>CUSI 8</t>
  </si>
  <si>
    <t>CUSI 2</t>
  </si>
  <si>
    <t>PAU 1, CUSI 2, CUSI 6</t>
  </si>
  <si>
    <t>CUSI 2, 4</t>
  </si>
  <si>
    <t>FLO 5</t>
  </si>
  <si>
    <t>PAU 1, FLO 5</t>
  </si>
  <si>
    <t>Deparment</t>
  </si>
  <si>
    <t>Akacias</t>
  </si>
  <si>
    <t>Dina</t>
  </si>
  <si>
    <t>San Francisco</t>
  </si>
  <si>
    <t>Tello</t>
  </si>
  <si>
    <t>Apiay</t>
  </si>
  <si>
    <t>Area Teca-Corcona</t>
  </si>
  <si>
    <t>Type of Oil producing</t>
  </si>
  <si>
    <t>Primary Recovery - SLA*</t>
  </si>
  <si>
    <t>Secondary Recovery</t>
  </si>
  <si>
    <t>Tertiary Recovery</t>
  </si>
  <si>
    <t>WI</t>
  </si>
  <si>
    <t>nnI</t>
  </si>
  <si>
    <t>AI, nnl</t>
  </si>
  <si>
    <t>ESP, PCP</t>
  </si>
  <si>
    <t>AI</t>
  </si>
  <si>
    <t>BP, PCP,. ESP</t>
  </si>
  <si>
    <t>GI, WI</t>
  </si>
  <si>
    <t>CHI</t>
  </si>
  <si>
    <t>PCP, BP</t>
  </si>
  <si>
    <t>SI</t>
  </si>
  <si>
    <t>GI</t>
  </si>
  <si>
    <t>nnI, SAG</t>
  </si>
  <si>
    <t>WI, GI</t>
  </si>
  <si>
    <t>NI</t>
  </si>
  <si>
    <t>Chichimene quema y usa el gas en campo</t>
  </si>
  <si>
    <t>Cira solo envia un pequeño porcentaje a planta para el aprovechamiento del gas</t>
  </si>
  <si>
    <t>Yarigui-Cantagallo sí envia un % del gas a oleducto</t>
  </si>
  <si>
    <t>Gas commercialized [Mscf/d]</t>
  </si>
  <si>
    <t>Oil production (&gt; 1% modeled production)</t>
  </si>
  <si>
    <t>Gas production (&gt; 1% modeled production )</t>
  </si>
  <si>
    <t>Clasification by production</t>
  </si>
  <si>
    <t>Cummulative Production in R/P@Oil (MSTB) =</t>
  </si>
  <si>
    <t>Cummulative Production en R/P GAS (Gscf - MMScf) =</t>
  </si>
  <si>
    <t>STB/d</t>
  </si>
  <si>
    <t>Mscf/d</t>
  </si>
  <si>
    <t>Oil producers</t>
  </si>
  <si>
    <t>Gas producers</t>
  </si>
  <si>
    <t>Oil and gas producers</t>
  </si>
  <si>
    <t>Total</t>
  </si>
  <si>
    <t>Oil classification by API gravity</t>
  </si>
  <si>
    <t>Lower limit</t>
  </si>
  <si>
    <t>Upper Limit</t>
  </si>
  <si>
    <t>Extra Heavy Oil</t>
  </si>
  <si>
    <t>Heavy Oil</t>
  </si>
  <si>
    <t>Medium Oil</t>
  </si>
  <si>
    <t>Light Oil</t>
  </si>
  <si>
    <t>Oil and gas production in the model and Colombia in 2018</t>
  </si>
  <si>
    <t xml:space="preserve">Colombia </t>
  </si>
  <si>
    <t>Model</t>
  </si>
  <si>
    <t>Model/Colombia</t>
  </si>
  <si>
    <t>Oil and gas production in the model (oilfields operated by ECP) and ECP in 2018</t>
  </si>
  <si>
    <t>Oil Production (STB/d)</t>
  </si>
  <si>
    <t>Oilfield in the model  by ECP</t>
  </si>
  <si>
    <t>ECP/ Model ECP</t>
  </si>
  <si>
    <t>Gas production (Mscf/d)</t>
  </si>
  <si>
    <t>Gas commercialized (Mscf/d)</t>
  </si>
  <si>
    <t>Production of the model according API gravity</t>
  </si>
  <si>
    <r>
      <t xml:space="preserve">Production of the Colombia according API gravity </t>
    </r>
    <r>
      <rPr>
        <b/>
        <sz val="11"/>
        <color rgb="FFFF0000"/>
        <rFont val="Calibri"/>
        <family val="2"/>
        <scheme val="minor"/>
      </rPr>
      <t>in 2010</t>
    </r>
  </si>
  <si>
    <t>Oil production STB/d</t>
  </si>
  <si>
    <t>Production of the model according Deparment in 2018</t>
  </si>
  <si>
    <t>Production of Colombia 2018</t>
  </si>
  <si>
    <t>%</t>
  </si>
  <si>
    <t>Gas production Mscf/d</t>
  </si>
  <si>
    <t>Other Deparments</t>
  </si>
  <si>
    <t>Production of the model according sedimentary basin in 2018</t>
  </si>
  <si>
    <t>Production of Colombia 2010 according sedimentary basins in 2018</t>
  </si>
  <si>
    <t>Other bains</t>
  </si>
  <si>
    <t xml:space="preserve">Reserves in model </t>
  </si>
  <si>
    <t>Reserves in Colombia at the end of 2018</t>
  </si>
  <si>
    <t>Oil Reserves (MSTB)</t>
  </si>
  <si>
    <t>Gas Reserves ( Gscf - MMscf)</t>
  </si>
  <si>
    <t>Model/Reality</t>
  </si>
  <si>
    <t>Colombia</t>
  </si>
  <si>
    <t>Oifields by ECP in the model</t>
  </si>
  <si>
    <t>Oifields by ECP&amp;EQUION in the model</t>
  </si>
  <si>
    <t>reserve-replacement ratio (RRR) in Colombia 2018</t>
  </si>
  <si>
    <t>Oil Reserves added (MSTB)</t>
  </si>
  <si>
    <t>Gas Reserves added (Gscf - MMscf)</t>
  </si>
  <si>
    <t>New discoveries</t>
  </si>
  <si>
    <t>EOR and new projects</t>
  </si>
  <si>
    <t>Re-evaluations</t>
  </si>
  <si>
    <t>General balance last years in Colombia</t>
  </si>
  <si>
    <t>Oil</t>
  </si>
  <si>
    <t>Reserves P1 (MSTB)</t>
  </si>
  <si>
    <t>Annual Production  (MSTB)</t>
  </si>
  <si>
    <t>Reserves added (MSTB)</t>
  </si>
  <si>
    <t>RRR</t>
  </si>
  <si>
    <t>R/P</t>
  </si>
  <si>
    <t>R</t>
  </si>
  <si>
    <t>P</t>
  </si>
  <si>
    <t>I</t>
  </si>
  <si>
    <t>I/P</t>
  </si>
  <si>
    <t>Gas</t>
  </si>
  <si>
    <t>GAS</t>
  </si>
  <si>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</si>
  <si>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</si>
  <si>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FISCA</t>
    </r>
  </si>
  <si>
    <r>
      <t>G</t>
    </r>
    <r>
      <rPr>
        <b/>
        <vertAlign val="subscript"/>
        <sz val="14"/>
        <color theme="1"/>
        <rFont val="Calibri"/>
        <family val="2"/>
        <scheme val="minor"/>
      </rPr>
      <t>sla</t>
    </r>
  </si>
  <si>
    <r>
      <t>G</t>
    </r>
    <r>
      <rPr>
        <b/>
        <vertAlign val="subscript"/>
        <sz val="14"/>
        <color theme="1"/>
        <rFont val="Calibri"/>
        <family val="2"/>
        <scheme val="minor"/>
      </rPr>
      <t>REI</t>
    </r>
  </si>
  <si>
    <r>
      <t>O</t>
    </r>
    <r>
      <rPr>
        <b/>
        <vertAlign val="subscript"/>
        <sz val="14"/>
        <color theme="1"/>
        <rFont val="Calibri"/>
        <family val="2"/>
        <scheme val="minor"/>
      </rPr>
      <t>FISCA</t>
    </r>
  </si>
  <si>
    <r>
      <t>G</t>
    </r>
    <r>
      <rPr>
        <b/>
        <vertAlign val="subscript"/>
        <sz val="14"/>
        <color theme="1"/>
        <rFont val="Calibri"/>
        <family val="2"/>
        <scheme val="minor"/>
      </rPr>
      <t>FISC</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</si>
  <si>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</si>
  <si>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</si>
  <si>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</si>
  <si>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</si>
  <si>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</si>
  <si>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t>2019, MPC/D</t>
  </si>
  <si>
    <t>Orito</t>
  </si>
  <si>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</si>
  <si>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PUTUMAYO</t>
  </si>
  <si>
    <t>Aipe</t>
  </si>
  <si>
    <t>Neiva/Palermo</t>
  </si>
  <si>
    <t>Neiva</t>
  </si>
  <si>
    <t>Villavicencio</t>
  </si>
  <si>
    <t>Puerto Nare</t>
  </si>
  <si>
    <t>Toledo</t>
  </si>
  <si>
    <t>VSM</t>
  </si>
  <si>
    <t>Cordillera Oriental</t>
  </si>
  <si>
    <t>LLO</t>
  </si>
  <si>
    <t>Putumayo</t>
  </si>
  <si>
    <t>ANTIOQUIA</t>
  </si>
  <si>
    <t>CASANARE</t>
  </si>
  <si>
    <t>CESAR</t>
  </si>
  <si>
    <t>CUNDINAMARCA</t>
  </si>
  <si>
    <t>HUILA</t>
  </si>
  <si>
    <t>META</t>
  </si>
  <si>
    <t>NORTE DE SANTANDER</t>
  </si>
  <si>
    <t>SANTANDER</t>
  </si>
  <si>
    <t>SUCRE</t>
  </si>
  <si>
    <t>TOLIMA</t>
  </si>
  <si>
    <t>BOLIVAR</t>
  </si>
  <si>
    <t>MI MODELO</t>
  </si>
  <si>
    <t>offshore</t>
  </si>
  <si>
    <t>RR (Mmboe)</t>
  </si>
  <si>
    <t>G</t>
  </si>
  <si>
    <t>O</t>
  </si>
  <si>
    <t>G (bcf)</t>
  </si>
  <si>
    <t>Total production, boed</t>
  </si>
  <si>
    <t>FR</t>
  </si>
  <si>
    <t>EC year</t>
  </si>
  <si>
    <t>Intercepto</t>
  </si>
  <si>
    <t>Pendiente</t>
  </si>
  <si>
    <t>boe =</t>
  </si>
  <si>
    <t>scf</t>
  </si>
  <si>
    <t>Produccion@LE (boed)</t>
  </si>
  <si>
    <t>Potencial estimado</t>
  </si>
  <si>
    <t>Mmboe</t>
  </si>
  <si>
    <t>Integral</t>
  </si>
  <si>
    <t>Error</t>
  </si>
  <si>
    <t>Apiay Este</t>
  </si>
  <si>
    <t>Castilla</t>
  </si>
  <si>
    <t>Castilla Este</t>
  </si>
  <si>
    <t>Castilla Norte</t>
  </si>
  <si>
    <t>Casabe Sur</t>
  </si>
  <si>
    <t>Chichimene SW</t>
  </si>
  <si>
    <t>Cupiagua</t>
  </si>
  <si>
    <t>Cupiagua Liria</t>
  </si>
  <si>
    <t>Cupiagua Sur</t>
  </si>
  <si>
    <t>Cusiana Norte</t>
  </si>
  <si>
    <t>Cusiana</t>
  </si>
  <si>
    <t>Dina Terciarios</t>
  </si>
  <si>
    <t>Dina Cretaceos</t>
  </si>
  <si>
    <t>Dina Norte</t>
  </si>
  <si>
    <t>Florena</t>
  </si>
  <si>
    <t>Florena Mirador</t>
  </si>
  <si>
    <t>Según ellos</t>
  </si>
  <si>
    <t>Infantas</t>
  </si>
  <si>
    <t>Pauto Sur Recetor</t>
  </si>
  <si>
    <t>Pauto Sur</t>
  </si>
  <si>
    <t>Teca</t>
  </si>
  <si>
    <t>Yarigui</t>
  </si>
  <si>
    <t>RESERVAS TOTAL</t>
  </si>
  <si>
    <t>RESSERVAS CRUDO</t>
  </si>
  <si>
    <t>RESREVAS GAS</t>
  </si>
  <si>
    <t>Bscf</t>
  </si>
  <si>
    <t>RESERVAS DE GAS</t>
  </si>
  <si>
    <t>según ecp</t>
  </si>
  <si>
    <t>Bonga</t>
  </si>
  <si>
    <t>Provincia</t>
  </si>
  <si>
    <t>Mamey</t>
  </si>
  <si>
    <t>Bonanza</t>
  </si>
  <si>
    <t>Mscf</t>
  </si>
  <si>
    <t>años</t>
  </si>
  <si>
    <t>scf/boe</t>
  </si>
  <si>
    <t>Scf</t>
  </si>
  <si>
    <t>ca</t>
  </si>
  <si>
    <t>be/d</t>
  </si>
  <si>
    <t>Mbe/d</t>
  </si>
  <si>
    <t>g</t>
  </si>
  <si>
    <t>o</t>
  </si>
  <si>
    <t>Según yo</t>
  </si>
  <si>
    <t>ECP, 2019</t>
  </si>
  <si>
    <t>G, Mpc</t>
  </si>
  <si>
    <t>O, bl</t>
  </si>
  <si>
    <t>Barriles</t>
  </si>
  <si>
    <t>%O</t>
  </si>
  <si>
    <t>%O, global</t>
  </si>
  <si>
    <t xml:space="preserve">  </t>
  </si>
  <si>
    <t>Total Reservas</t>
  </si>
  <si>
    <t>Total O</t>
  </si>
  <si>
    <t>O (Mmboe)</t>
  </si>
  <si>
    <t>G (Mmboe)</t>
  </si>
  <si>
    <t>O PJ</t>
  </si>
  <si>
    <t>TJ/kbl</t>
  </si>
  <si>
    <t>PJ</t>
  </si>
  <si>
    <t>G, PJ</t>
  </si>
  <si>
    <t>TJ/MPC</t>
  </si>
  <si>
    <t>PJ/MPC</t>
  </si>
  <si>
    <t>J/bl</t>
  </si>
  <si>
    <t>PJ/bl</t>
  </si>
  <si>
    <t>R, totales, PJ</t>
  </si>
  <si>
    <t>Error calculado</t>
  </si>
  <si>
    <t>GOR</t>
  </si>
  <si>
    <t>AKACIAS</t>
  </si>
  <si>
    <t>2018,0231850117098; 8114,754098360656</t>
  </si>
  <si>
    <t>2018,9135831381734; 19754,09836065574</t>
  </si>
  <si>
    <t>2020,027400468384; 9590,163934426233</t>
  </si>
  <si>
    <t>2021,0482435597191; 16885,245901639348</t>
  </si>
  <si>
    <t>2022,0573770491803; 20081,967213114756</t>
  </si>
  <si>
    <t>2023,125761124122; 19016,393442622953</t>
  </si>
  <si>
    <t>2023,9777517564403; 17213,114754098362</t>
  </si>
  <si>
    <t>2024,9744730679158; 16065,573770491805</t>
  </si>
  <si>
    <t>2029,96018735363; 11065,573770491806</t>
  </si>
  <si>
    <t>2035,0222482435597; 7786,885245901642</t>
  </si>
  <si>
    <t>2039,9440281030445; 5409,836065573771</t>
  </si>
  <si>
    <t>2045,0110070257613; 3852,4590163934445</t>
  </si>
  <si>
    <t>2047,9374707259954; 3114,754098360656</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</si>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</sst>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_-;\-* #,##0.0_-;_-* &quot;-&quot;??_-;_-@_-"/>
    <numFmt numFmtId="166" formatCode="0.0"/>
    <numFmt numFmtId="167" formatCode="0.0%"/>
    <numFmt numFmtId="168" formatCode="0.0000"/>
    <numFmt numFmtId="169" formatCode="0.000"/>
    <numFmt numFmtId="170" formatCode="_-* #,##0.0_-;\-* #,##0.0_-;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sz val="8"/>
      <color theme="0" tint="-0.249977111117893"/>
      <name val="Calibri"/>
      <family val="2"/>
      <scheme val="minor"/>
    </font>
    <font>
      <b/>
      <sz val="8"/>
      <color theme="1"/>
      <name val="Calibri"/>
      <family val="2"/>
      <scheme val="minor"/>
    </font>
    <font>
      <b/>
      <sz val="9"/>
      <color theme="1"/>
      <name val="Calibri"/>
      <family val="2"/>
      <scheme val="minor"/>
    </font>
    <font>
      <sz val="11"/>
      <color theme="0" tint="-4.9989318521683403E-2"/>
      <name val="Calibri"/>
      <family val="2"/>
      <scheme val="minor"/>
    </font>
    <font>
      <b/>
      <sz val="11"/>
      <color rgb="FFFF0000"/>
      <name val="Calibri"/>
      <family val="2"/>
      <scheme val="minor"/>
    </font>
    <font>
      <sz val="11"/>
      <color theme="0" tint="-0.34998626667073579"/>
      <name val="Calibri"/>
      <family val="2"/>
      <scheme val="minor"/>
    </font>
    <font>
      <b/>
      <sz val="12"/>
      <color rgb="FF202124"/>
      <name val="Arial"/>
      <family val="2"/>
    </font>
    <font>
      <b/>
      <sz val="14"/>
      <color theme="1"/>
      <name val="Calibri"/>
      <family val="2"/>
      <scheme val="minor"/>
    </font>
    <font>
      <b/>
      <vertAlign val="subscript"/>
      <sz val="14"/>
      <color theme="1"/>
      <name val="Calibri"/>
      <family val="2"/>
      <scheme val="minor"/>
    </font>
    <font>
      <b/>
      <sz val="12"/>
      <color rgb="FFFF0000"/>
      <name val="Calibri"/>
      <family val="2"/>
      <scheme val="minor"/>
    </font>
    <font>
      <sz val="9"/>
      <color indexed="81"/>
      <name val="Tahoma"/>
      <family val="2"/>
    </font>
    <font>
      <b/>
      <sz val="9"/>
      <color indexed="81"/>
      <name val="Tahoma"/>
      <family val="2"/>
    </font>
    <font>
      <sz val="11"/>
      <color rgb="FFFF000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2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diagonal/>
    </border>
    <border>
      <left style="double">
        <color indexed="64"/>
      </left>
      <right/>
      <top style="double">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273">
    <xf numFmtId="0" fontId="0" fillId="0" borderId="0" xfId="0"/>
    <xf numFmtId="0" fontId="0" fillId="2" borderId="0" xfId="0" applyFill="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164" fontId="5" fillId="2" borderId="2" xfId="1" applyNumberFormat="1" applyFont="1" applyFill="1" applyBorder="1" applyAlignment="1">
      <alignment horizontal="center" vertical="center" wrapText="1"/>
    </xf>
    <xf numFmtId="43" fontId="5" fillId="2" borderId="2" xfId="1" applyFont="1" applyFill="1" applyBorder="1" applyAlignment="1">
      <alignment horizontal="center" vertical="center" wrapText="1"/>
    </xf>
    <xf numFmtId="17" fontId="5" fillId="2" borderId="2" xfId="0" applyNumberFormat="1" applyFont="1" applyFill="1" applyBorder="1" applyAlignment="1">
      <alignment horizontal="center" vertical="center" wrapText="1"/>
    </xf>
    <xf numFmtId="0" fontId="5" fillId="2" borderId="3" xfId="0" applyFont="1" applyFill="1" applyBorder="1" applyAlignment="1">
      <alignment horizontal="center" vertical="center" wrapText="1"/>
    </xf>
    <xf numFmtId="0" fontId="6" fillId="2" borderId="0" xfId="0" applyFont="1" applyFill="1" applyAlignment="1">
      <alignment horizontal="left" vertical="top"/>
    </xf>
    <xf numFmtId="10" fontId="5" fillId="2" borderId="2" xfId="0" applyNumberFormat="1" applyFont="1" applyFill="1" applyBorder="1" applyAlignment="1">
      <alignment horizontal="center" vertical="center" wrapText="1"/>
    </xf>
    <xf numFmtId="15" fontId="5" fillId="2" borderId="2" xfId="0" applyNumberFormat="1" applyFont="1" applyFill="1" applyBorder="1" applyAlignment="1">
      <alignment horizontal="center" vertical="center" wrapText="1"/>
    </xf>
    <xf numFmtId="9" fontId="5" fillId="2" borderId="2" xfId="0" applyNumberFormat="1" applyFont="1" applyFill="1" applyBorder="1" applyAlignment="1">
      <alignment horizontal="center" vertical="center" wrapText="1"/>
    </xf>
    <xf numFmtId="0" fontId="5" fillId="2" borderId="2" xfId="3"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164" fontId="5" fillId="2" borderId="5" xfId="1" applyNumberFormat="1" applyFont="1" applyFill="1" applyBorder="1" applyAlignment="1">
      <alignment horizontal="center" vertical="center" wrapText="1"/>
    </xf>
    <xf numFmtId="43" fontId="5" fillId="2" borderId="5" xfId="1" applyFont="1" applyFill="1" applyBorder="1" applyAlignment="1">
      <alignment horizontal="center" vertical="center" wrapText="1"/>
    </xf>
    <xf numFmtId="0" fontId="5" fillId="2" borderId="6" xfId="0" applyFont="1" applyFill="1" applyBorder="1" applyAlignment="1">
      <alignment horizontal="center" vertical="center" wrapText="1"/>
    </xf>
    <xf numFmtId="15" fontId="6" fillId="2" borderId="0" xfId="0" applyNumberFormat="1" applyFont="1" applyFill="1" applyAlignment="1">
      <alignment horizontal="left" vertical="top"/>
    </xf>
    <xf numFmtId="0" fontId="5" fillId="4"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2" borderId="4" xfId="0" applyFont="1" applyFill="1" applyBorder="1" applyAlignment="1">
      <alignment horizontal="left" vertical="center"/>
    </xf>
    <xf numFmtId="0" fontId="0" fillId="2" borderId="5" xfId="0" applyFill="1" applyBorder="1"/>
    <xf numFmtId="0" fontId="8" fillId="2" borderId="5" xfId="0" applyFont="1" applyFill="1" applyBorder="1" applyAlignment="1">
      <alignment horizontal="center" vertical="center"/>
    </xf>
    <xf numFmtId="0" fontId="6" fillId="2" borderId="5" xfId="0" applyFont="1" applyFill="1" applyBorder="1" applyAlignment="1">
      <alignment horizontal="center"/>
    </xf>
    <xf numFmtId="0" fontId="8" fillId="2" borderId="6" xfId="0" applyFont="1" applyFill="1" applyBorder="1" applyAlignment="1">
      <alignment horizontal="center" vertical="center"/>
    </xf>
    <xf numFmtId="0" fontId="7" fillId="2" borderId="0" xfId="0" applyFont="1" applyFill="1" applyAlignment="1">
      <alignment horizontal="center" vertical="center"/>
    </xf>
    <xf numFmtId="0" fontId="7" fillId="2" borderId="7" xfId="0" applyFont="1" applyFill="1" applyBorder="1"/>
    <xf numFmtId="0" fontId="8" fillId="2" borderId="0" xfId="0" applyFont="1" applyFill="1" applyAlignment="1">
      <alignment horizontal="center" vertical="center"/>
    </xf>
    <xf numFmtId="0" fontId="6" fillId="2" borderId="0" xfId="0" applyFont="1" applyFill="1" applyAlignment="1">
      <alignment horizontal="center"/>
    </xf>
    <xf numFmtId="0" fontId="8" fillId="2" borderId="8" xfId="0" applyFont="1" applyFill="1" applyBorder="1" applyAlignment="1">
      <alignment horizontal="center" vertical="center"/>
    </xf>
    <xf numFmtId="0" fontId="8" fillId="2" borderId="0" xfId="0" applyFont="1" applyFill="1" applyAlignment="1">
      <alignment horizontal="center"/>
    </xf>
    <xf numFmtId="0" fontId="8" fillId="2" borderId="8" xfId="0" applyFont="1" applyFill="1" applyBorder="1" applyAlignment="1">
      <alignment horizontal="center"/>
    </xf>
    <xf numFmtId="0" fontId="7" fillId="2" borderId="9" xfId="0" applyFont="1" applyFill="1" applyBorder="1"/>
    <xf numFmtId="0" fontId="0" fillId="2" borderId="10" xfId="0" applyFill="1" applyBorder="1"/>
    <xf numFmtId="0" fontId="6" fillId="2" borderId="10" xfId="0" applyFont="1" applyFill="1" applyBorder="1" applyAlignment="1">
      <alignment horizontal="center"/>
    </xf>
    <xf numFmtId="0" fontId="6" fillId="2" borderId="11" xfId="0" applyFont="1" applyFill="1" applyBorder="1" applyAlignment="1">
      <alignment horizontal="center"/>
    </xf>
    <xf numFmtId="0" fontId="2" fillId="3" borderId="9" xfId="0" applyFont="1" applyFill="1" applyBorder="1" applyAlignment="1">
      <alignment horizontal="centerContinuous"/>
    </xf>
    <xf numFmtId="0" fontId="0" fillId="3" borderId="10" xfId="0" applyFill="1" applyBorder="1" applyAlignment="1">
      <alignment horizontal="centerContinuous"/>
    </xf>
    <xf numFmtId="0" fontId="0" fillId="3" borderId="10" xfId="0" applyFill="1" applyBorder="1" applyAlignment="1">
      <alignment horizontal="center"/>
    </xf>
    <xf numFmtId="0" fontId="6" fillId="3" borderId="11" xfId="0" applyFont="1" applyFill="1" applyBorder="1" applyAlignment="1">
      <alignment horizontal="center"/>
    </xf>
    <xf numFmtId="0" fontId="2" fillId="3" borderId="10" xfId="0" applyFont="1" applyFill="1" applyBorder="1" applyAlignment="1">
      <alignment horizontal="left"/>
    </xf>
    <xf numFmtId="0" fontId="2" fillId="2" borderId="0" xfId="0" applyFont="1" applyFill="1" applyAlignment="1">
      <alignment horizontal="centerContinuous"/>
    </xf>
    <xf numFmtId="0" fontId="6" fillId="2" borderId="0" xfId="0" applyFont="1" applyFill="1" applyAlignment="1">
      <alignment horizontal="centerContinuous"/>
    </xf>
    <xf numFmtId="0" fontId="2" fillId="3" borderId="7" xfId="0" applyFont="1" applyFill="1" applyBorder="1"/>
    <xf numFmtId="164" fontId="2" fillId="3" borderId="8" xfId="0" applyNumberFormat="1" applyFont="1" applyFill="1" applyBorder="1"/>
    <xf numFmtId="0" fontId="2" fillId="3" borderId="7" xfId="0" applyFont="1" applyFill="1" applyBorder="1" applyAlignment="1">
      <alignment horizontal="left"/>
    </xf>
    <xf numFmtId="0" fontId="2" fillId="3" borderId="0" xfId="0" applyFont="1" applyFill="1" applyAlignment="1">
      <alignment horizontal="left"/>
    </xf>
    <xf numFmtId="0" fontId="2" fillId="3" borderId="5" xfId="0" applyFont="1" applyFill="1" applyBorder="1" applyAlignment="1">
      <alignment horizontal="left"/>
    </xf>
    <xf numFmtId="0" fontId="2" fillId="3" borderId="0" xfId="0" applyFont="1" applyFill="1"/>
    <xf numFmtId="9" fontId="2" fillId="3" borderId="8" xfId="2" applyFont="1" applyFill="1" applyBorder="1"/>
    <xf numFmtId="9" fontId="2" fillId="3" borderId="0" xfId="2" applyFont="1" applyFill="1" applyBorder="1"/>
    <xf numFmtId="2" fontId="2" fillId="3" borderId="0" xfId="2" applyNumberFormat="1" applyFont="1" applyFill="1" applyBorder="1"/>
    <xf numFmtId="10" fontId="2" fillId="3" borderId="12" xfId="0" applyNumberFormat="1" applyFont="1" applyFill="1" applyBorder="1" applyAlignment="1">
      <alignment horizontal="left"/>
    </xf>
    <xf numFmtId="0" fontId="2" fillId="2" borderId="0" xfId="0" applyFont="1" applyFill="1"/>
    <xf numFmtId="9" fontId="2" fillId="2" borderId="0" xfId="2" applyFont="1" applyFill="1" applyBorder="1"/>
    <xf numFmtId="0" fontId="2" fillId="3" borderId="9" xfId="0" applyFont="1" applyFill="1" applyBorder="1"/>
    <xf numFmtId="164" fontId="2" fillId="3" borderId="11" xfId="0" applyNumberFormat="1" applyFont="1" applyFill="1" applyBorder="1"/>
    <xf numFmtId="0" fontId="2" fillId="3" borderId="10" xfId="0" applyFont="1" applyFill="1" applyBorder="1"/>
    <xf numFmtId="9" fontId="2" fillId="3" borderId="11" xfId="2" applyFont="1" applyFill="1" applyBorder="1"/>
    <xf numFmtId="9" fontId="2" fillId="3" borderId="10" xfId="2" applyFont="1" applyFill="1" applyBorder="1"/>
    <xf numFmtId="2" fontId="2" fillId="3" borderId="10" xfId="2" applyNumberFormat="1" applyFont="1" applyFill="1" applyBorder="1"/>
    <xf numFmtId="10" fontId="2" fillId="3" borderId="13" xfId="0" applyNumberFormat="1" applyFont="1" applyFill="1" applyBorder="1" applyAlignment="1">
      <alignment horizontal="left"/>
    </xf>
    <xf numFmtId="165" fontId="5" fillId="2" borderId="2" xfId="1"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5" fillId="5" borderId="2" xfId="1" applyNumberFormat="1" applyFont="1" applyFill="1" applyBorder="1" applyAlignment="1">
      <alignment horizontal="center" vertical="center" wrapText="1"/>
    </xf>
    <xf numFmtId="165" fontId="5" fillId="5" borderId="2" xfId="1" applyNumberFormat="1" applyFont="1" applyFill="1" applyBorder="1" applyAlignment="1">
      <alignment horizontal="center" vertical="center" wrapText="1"/>
    </xf>
    <xf numFmtId="0" fontId="2" fillId="3" borderId="11" xfId="0" applyFont="1" applyFill="1" applyBorder="1"/>
    <xf numFmtId="0" fontId="2" fillId="2" borderId="0" xfId="0" applyFont="1" applyFill="1" applyAlignment="1">
      <alignment horizontal="center" wrapText="1"/>
    </xf>
    <xf numFmtId="0" fontId="5" fillId="2" borderId="5" xfId="0" applyFont="1" applyFill="1" applyBorder="1" applyAlignment="1">
      <alignment horizontal="center" vertical="center"/>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5" xfId="0" applyFill="1" applyBorder="1" applyAlignment="1">
      <alignment horizontal="center"/>
    </xf>
    <xf numFmtId="0" fontId="0" fillId="2" borderId="5" xfId="0" applyFill="1" applyBorder="1" applyAlignment="1">
      <alignment horizontal="center" vertical="center" wrapText="1"/>
    </xf>
    <xf numFmtId="0" fontId="9" fillId="2" borderId="0" xfId="0" applyFont="1" applyFill="1" applyAlignment="1">
      <alignment horizontal="center" vertical="center"/>
    </xf>
    <xf numFmtId="0" fontId="9" fillId="2" borderId="0" xfId="0" applyFont="1" applyFill="1"/>
    <xf numFmtId="0" fontId="0" fillId="2" borderId="0" xfId="0" applyFill="1" applyAlignment="1">
      <alignment horizontal="right"/>
    </xf>
    <xf numFmtId="0" fontId="0" fillId="2" borderId="0" xfId="0" applyFill="1" applyAlignment="1">
      <alignment horizontal="left"/>
    </xf>
    <xf numFmtId="0" fontId="2" fillId="2" borderId="0" xfId="0" applyFont="1" applyFill="1" applyAlignment="1">
      <alignment horizontal="center"/>
    </xf>
    <xf numFmtId="0" fontId="10" fillId="2" borderId="0" xfId="0" applyFont="1" applyFill="1" applyAlignment="1">
      <alignment horizontal="center" wrapText="1"/>
    </xf>
    <xf numFmtId="164" fontId="6" fillId="2" borderId="0" xfId="1" applyNumberFormat="1" applyFont="1" applyFill="1" applyAlignment="1">
      <alignment horizontal="center" vertical="center"/>
    </xf>
    <xf numFmtId="164" fontId="6" fillId="2" borderId="0" xfId="1" applyNumberFormat="1" applyFont="1" applyFill="1" applyAlignment="1">
      <alignment horizontal="center" vertical="center" wrapText="1"/>
    </xf>
    <xf numFmtId="0" fontId="11" fillId="2" borderId="0" xfId="0" applyFont="1" applyFill="1" applyAlignment="1">
      <alignment horizontal="center"/>
    </xf>
    <xf numFmtId="0" fontId="12" fillId="2" borderId="0" xfId="0" applyFont="1" applyFill="1"/>
    <xf numFmtId="164" fontId="7" fillId="2" borderId="5" xfId="1" applyNumberFormat="1" applyFont="1" applyFill="1" applyBorder="1" applyAlignment="1">
      <alignment horizontal="center" vertical="center" wrapText="1"/>
    </xf>
    <xf numFmtId="166" fontId="0" fillId="6" borderId="5" xfId="0" applyNumberFormat="1" applyFill="1" applyBorder="1"/>
    <xf numFmtId="164" fontId="0" fillId="2" borderId="0" xfId="0" applyNumberFormat="1" applyFill="1"/>
    <xf numFmtId="2" fontId="0" fillId="2" borderId="0" xfId="0" applyNumberFormat="1" applyFill="1"/>
    <xf numFmtId="0" fontId="5" fillId="2" borderId="0" xfId="0" applyFont="1" applyFill="1"/>
    <xf numFmtId="0" fontId="0" fillId="2" borderId="14" xfId="0" applyFill="1" applyBorder="1" applyAlignment="1">
      <alignment horizontal="center" vertical="center"/>
    </xf>
    <xf numFmtId="0" fontId="0" fillId="2" borderId="0" xfId="0" applyFill="1" applyAlignment="1">
      <alignment horizontal="center"/>
    </xf>
    <xf numFmtId="0" fontId="12" fillId="2" borderId="0" xfId="0" applyFont="1" applyFill="1" applyAlignment="1">
      <alignment horizontal="center"/>
    </xf>
    <xf numFmtId="0" fontId="0" fillId="2" borderId="0" xfId="0" applyFill="1" applyAlignment="1">
      <alignment horizontal="right" vertical="center"/>
    </xf>
    <xf numFmtId="164" fontId="0" fillId="2" borderId="0" xfId="1" applyNumberFormat="1" applyFont="1" applyFill="1" applyAlignment="1">
      <alignment vertical="center"/>
    </xf>
    <xf numFmtId="167" fontId="0" fillId="2" borderId="0" xfId="0" applyNumberFormat="1" applyFill="1"/>
    <xf numFmtId="0" fontId="0" fillId="2" borderId="0" xfId="0" applyFill="1" applyAlignment="1">
      <alignment horizontal="right" wrapText="1"/>
    </xf>
    <xf numFmtId="167" fontId="0" fillId="2" borderId="0" xfId="0" applyNumberFormat="1" applyFill="1" applyAlignment="1">
      <alignment horizontal="center" vertical="center"/>
    </xf>
    <xf numFmtId="164" fontId="0" fillId="2" borderId="0" xfId="1" applyNumberFormat="1" applyFont="1" applyFill="1"/>
    <xf numFmtId="43" fontId="0" fillId="2" borderId="0" xfId="0" applyNumberFormat="1" applyFill="1"/>
    <xf numFmtId="164" fontId="0" fillId="2" borderId="0" xfId="1" applyNumberFormat="1" applyFont="1" applyFill="1" applyBorder="1" applyAlignment="1">
      <alignment horizontal="center" vertical="center"/>
    </xf>
    <xf numFmtId="167" fontId="0" fillId="2" borderId="0" xfId="1" applyNumberFormat="1" applyFont="1" applyFill="1" applyBorder="1" applyAlignment="1">
      <alignment horizontal="center" vertical="center"/>
    </xf>
    <xf numFmtId="164" fontId="0" fillId="2" borderId="0" xfId="1" applyNumberFormat="1" applyFont="1" applyFill="1" applyAlignment="1">
      <alignment horizontal="center" vertical="center"/>
    </xf>
    <xf numFmtId="10" fontId="0" fillId="2" borderId="0" xfId="0" applyNumberFormat="1" applyFill="1" applyAlignment="1">
      <alignment horizontal="center" vertical="center"/>
    </xf>
    <xf numFmtId="9" fontId="0" fillId="2" borderId="0" xfId="0" applyNumberFormat="1" applyFill="1" applyAlignment="1">
      <alignment horizontal="center" vertical="center"/>
    </xf>
    <xf numFmtId="164" fontId="0" fillId="2" borderId="14" xfId="1" applyNumberFormat="1" applyFont="1" applyFill="1" applyBorder="1" applyAlignment="1">
      <alignment horizontal="center" vertical="center"/>
    </xf>
    <xf numFmtId="9" fontId="0" fillId="2" borderId="14" xfId="0" applyNumberFormat="1" applyFill="1" applyBorder="1" applyAlignment="1">
      <alignment horizontal="center" vertical="center"/>
    </xf>
    <xf numFmtId="0" fontId="0" fillId="2" borderId="16" xfId="0" applyFill="1" applyBorder="1"/>
    <xf numFmtId="9" fontId="0" fillId="2" borderId="0" xfId="0" applyNumberFormat="1" applyFill="1" applyAlignment="1">
      <alignment horizontal="center"/>
    </xf>
    <xf numFmtId="164" fontId="0" fillId="2" borderId="17" xfId="1" applyNumberFormat="1" applyFont="1" applyFill="1" applyBorder="1"/>
    <xf numFmtId="167" fontId="0" fillId="2" borderId="18" xfId="0" applyNumberFormat="1" applyFill="1" applyBorder="1" applyAlignment="1">
      <alignment horizontal="center" vertical="center"/>
    </xf>
    <xf numFmtId="164" fontId="0" fillId="2" borderId="0" xfId="1" applyNumberFormat="1" applyFont="1" applyFill="1" applyBorder="1"/>
    <xf numFmtId="167" fontId="0" fillId="2" borderId="0" xfId="0" applyNumberFormat="1" applyFill="1" applyAlignment="1">
      <alignment horizontal="center"/>
    </xf>
    <xf numFmtId="0" fontId="0" fillId="2" borderId="0" xfId="0" applyFill="1" applyAlignment="1">
      <alignment vertical="center"/>
    </xf>
    <xf numFmtId="164" fontId="0" fillId="2" borderId="19" xfId="1" applyNumberFormat="1" applyFont="1" applyFill="1" applyBorder="1"/>
    <xf numFmtId="164" fontId="0" fillId="2" borderId="14" xfId="1" applyNumberFormat="1" applyFont="1" applyFill="1" applyBorder="1"/>
    <xf numFmtId="167" fontId="0" fillId="2" borderId="14" xfId="0" applyNumberFormat="1" applyFill="1" applyBorder="1" applyAlignment="1">
      <alignment horizontal="center" vertical="center"/>
    </xf>
    <xf numFmtId="164" fontId="0" fillId="2" borderId="20" xfId="1" applyNumberFormat="1" applyFont="1" applyFill="1" applyBorder="1"/>
    <xf numFmtId="167" fontId="0" fillId="2" borderId="14" xfId="1" applyNumberFormat="1" applyFont="1" applyFill="1" applyBorder="1" applyAlignment="1">
      <alignment horizontal="center"/>
    </xf>
    <xf numFmtId="167" fontId="0" fillId="2" borderId="21" xfId="0" applyNumberFormat="1" applyFill="1" applyBorder="1" applyAlignment="1">
      <alignment horizontal="center" vertical="center"/>
    </xf>
    <xf numFmtId="164" fontId="0" fillId="2" borderId="16" xfId="0" applyNumberFormat="1" applyFill="1" applyBorder="1"/>
    <xf numFmtId="0" fontId="0" fillId="7" borderId="15" xfId="0" applyFill="1" applyBorder="1"/>
    <xf numFmtId="164" fontId="0" fillId="7" borderId="15" xfId="0" applyNumberFormat="1" applyFill="1" applyBorder="1"/>
    <xf numFmtId="167" fontId="0" fillId="7" borderId="22" xfId="0" applyNumberFormat="1" applyFill="1" applyBorder="1" applyAlignment="1">
      <alignment horizontal="center" vertical="center"/>
    </xf>
    <xf numFmtId="0" fontId="0" fillId="2" borderId="21" xfId="0" applyFill="1" applyBorder="1" applyAlignment="1">
      <alignment horizontal="center" vertical="center"/>
    </xf>
    <xf numFmtId="9" fontId="0" fillId="2" borderId="18" xfId="0" applyNumberFormat="1" applyFill="1" applyBorder="1" applyAlignment="1">
      <alignment horizontal="center" vertical="center"/>
    </xf>
    <xf numFmtId="43" fontId="0" fillId="2" borderId="0" xfId="0" applyNumberFormat="1" applyFill="1" applyAlignment="1">
      <alignment horizontal="center" vertical="center"/>
    </xf>
    <xf numFmtId="164" fontId="14" fillId="2" borderId="0" xfId="1" applyNumberFormat="1" applyFont="1" applyFill="1" applyAlignment="1">
      <alignment horizontal="center" vertical="center"/>
    </xf>
    <xf numFmtId="167" fontId="0" fillId="2" borderId="0" xfId="0" applyNumberFormat="1" applyFill="1" applyAlignment="1">
      <alignment vertical="center"/>
    </xf>
    <xf numFmtId="0" fontId="0" fillId="2" borderId="14" xfId="0" applyFill="1" applyBorder="1"/>
    <xf numFmtId="9" fontId="0" fillId="2" borderId="23" xfId="0" applyNumberFormat="1" applyFill="1" applyBorder="1" applyAlignment="1">
      <alignment horizontal="center" vertical="center"/>
    </xf>
    <xf numFmtId="43" fontId="0" fillId="2" borderId="14" xfId="0" applyNumberFormat="1" applyFill="1" applyBorder="1" applyAlignment="1">
      <alignment horizontal="center" vertical="center"/>
    </xf>
    <xf numFmtId="0" fontId="14" fillId="2" borderId="0" xfId="0" applyFont="1" applyFill="1"/>
    <xf numFmtId="166" fontId="14" fillId="2" borderId="0" xfId="0" applyNumberFormat="1" applyFont="1" applyFill="1"/>
    <xf numFmtId="164" fontId="0" fillId="2" borderId="0" xfId="0" applyNumberFormat="1" applyFill="1" applyAlignment="1">
      <alignment horizontal="center" vertical="center"/>
    </xf>
    <xf numFmtId="0" fontId="0" fillId="7" borderId="14" xfId="0" applyFill="1" applyBorder="1"/>
    <xf numFmtId="164" fontId="14" fillId="7" borderId="14" xfId="1" applyNumberFormat="1" applyFont="1" applyFill="1" applyBorder="1" applyAlignment="1">
      <alignment horizontal="center" vertical="center"/>
    </xf>
    <xf numFmtId="9" fontId="0" fillId="7" borderId="23" xfId="0" applyNumberFormat="1" applyFill="1" applyBorder="1" applyAlignment="1">
      <alignment horizontal="center" vertical="center"/>
    </xf>
    <xf numFmtId="167" fontId="0" fillId="7" borderId="14" xfId="0" applyNumberFormat="1" applyFill="1" applyBorder="1" applyAlignment="1">
      <alignment vertical="center"/>
    </xf>
    <xf numFmtId="164" fontId="14" fillId="2" borderId="0" xfId="0" applyNumberFormat="1" applyFont="1" applyFill="1"/>
    <xf numFmtId="9" fontId="0" fillId="2" borderId="0" xfId="0" applyNumberFormat="1" applyFill="1"/>
    <xf numFmtId="2" fontId="14" fillId="8" borderId="0" xfId="0" applyNumberFormat="1" applyFont="1" applyFill="1"/>
    <xf numFmtId="0" fontId="0" fillId="2" borderId="24" xfId="0" applyFill="1" applyBorder="1"/>
    <xf numFmtId="0" fontId="2" fillId="2" borderId="24" xfId="0" applyFont="1" applyFill="1" applyBorder="1" applyAlignment="1">
      <alignment horizontal="center" vertical="center"/>
    </xf>
    <xf numFmtId="0" fontId="0" fillId="2" borderId="24" xfId="0" applyFill="1" applyBorder="1" applyAlignment="1">
      <alignment horizontal="center" vertical="center"/>
    </xf>
    <xf numFmtId="1" fontId="0" fillId="2" borderId="0" xfId="0" applyNumberFormat="1" applyFill="1" applyAlignment="1">
      <alignment horizontal="center"/>
    </xf>
    <xf numFmtId="9" fontId="0" fillId="2" borderId="0" xfId="2" applyFont="1" applyFill="1" applyAlignment="1">
      <alignment horizontal="center"/>
    </xf>
    <xf numFmtId="1" fontId="0" fillId="2" borderId="0" xfId="0" applyNumberFormat="1" applyFill="1" applyAlignment="1">
      <alignment horizontal="center" vertical="center"/>
    </xf>
    <xf numFmtId="2" fontId="0" fillId="2" borderId="0" xfId="0" applyNumberFormat="1" applyFill="1" applyAlignment="1">
      <alignment horizontal="center"/>
    </xf>
    <xf numFmtId="166" fontId="0" fillId="2" borderId="0" xfId="0" applyNumberFormat="1" applyFill="1" applyAlignment="1">
      <alignment horizontal="center" vertical="center"/>
    </xf>
    <xf numFmtId="0" fontId="0" fillId="2" borderId="14" xfId="0" applyFill="1" applyBorder="1" applyAlignment="1">
      <alignment vertical="center"/>
    </xf>
    <xf numFmtId="1" fontId="0" fillId="2" borderId="14" xfId="0" applyNumberFormat="1" applyFill="1" applyBorder="1" applyAlignment="1">
      <alignment horizontal="center"/>
    </xf>
    <xf numFmtId="9" fontId="0" fillId="2" borderId="14" xfId="2" applyFont="1" applyFill="1" applyBorder="1" applyAlignment="1">
      <alignment horizontal="center"/>
    </xf>
    <xf numFmtId="1" fontId="0" fillId="2" borderId="14" xfId="0" applyNumberFormat="1" applyFill="1" applyBorder="1" applyAlignment="1">
      <alignment horizontal="center" vertical="center"/>
    </xf>
    <xf numFmtId="167" fontId="0" fillId="2" borderId="14" xfId="0" applyNumberFormat="1" applyFill="1" applyBorder="1" applyAlignment="1">
      <alignment horizontal="center"/>
    </xf>
    <xf numFmtId="2" fontId="0" fillId="7" borderId="15" xfId="0" applyNumberFormat="1" applyFill="1" applyBorder="1" applyAlignment="1">
      <alignment horizontal="center"/>
    </xf>
    <xf numFmtId="9" fontId="0" fillId="7" borderId="15" xfId="2" applyFont="1" applyFill="1" applyBorder="1" applyAlignment="1">
      <alignment horizontal="center"/>
    </xf>
    <xf numFmtId="166" fontId="0" fillId="7" borderId="15" xfId="0" applyNumberFormat="1" applyFill="1" applyBorder="1" applyAlignment="1">
      <alignment horizontal="center" vertical="center"/>
    </xf>
    <xf numFmtId="167" fontId="0" fillId="7" borderId="15" xfId="0" applyNumberFormat="1" applyFill="1" applyBorder="1" applyAlignment="1">
      <alignment horizontal="center"/>
    </xf>
    <xf numFmtId="1" fontId="0" fillId="2" borderId="5" xfId="0" applyNumberFormat="1" applyFill="1" applyBorder="1" applyAlignment="1">
      <alignment horizontal="center" vertical="center"/>
    </xf>
    <xf numFmtId="9" fontId="0" fillId="2" borderId="5" xfId="0" applyNumberFormat="1" applyFill="1" applyBorder="1" applyAlignment="1">
      <alignment horizontal="center" vertical="center"/>
    </xf>
    <xf numFmtId="2" fontId="0" fillId="2" borderId="5" xfId="0" applyNumberFormat="1" applyFill="1" applyBorder="1" applyAlignment="1">
      <alignment horizontal="center" vertical="center"/>
    </xf>
    <xf numFmtId="166" fontId="0" fillId="2" borderId="5" xfId="0" applyNumberFormat="1" applyFill="1" applyBorder="1" applyAlignment="1">
      <alignment horizontal="center" vertical="center"/>
    </xf>
    <xf numFmtId="0" fontId="0" fillId="2" borderId="15" xfId="0" applyFill="1" applyBorder="1"/>
    <xf numFmtId="1" fontId="0" fillId="2" borderId="15" xfId="0" applyNumberFormat="1" applyFill="1" applyBorder="1" applyAlignment="1">
      <alignment horizontal="center" vertical="center"/>
    </xf>
    <xf numFmtId="9" fontId="0" fillId="2" borderId="15" xfId="0" applyNumberFormat="1" applyFill="1" applyBorder="1" applyAlignment="1">
      <alignment horizontal="center" vertical="center"/>
    </xf>
    <xf numFmtId="2" fontId="0" fillId="2" borderId="15" xfId="0" applyNumberFormat="1" applyFill="1" applyBorder="1" applyAlignment="1">
      <alignment horizontal="center" vertical="center"/>
    </xf>
    <xf numFmtId="166" fontId="0" fillId="2" borderId="15" xfId="0" applyNumberFormat="1" applyFill="1" applyBorder="1" applyAlignment="1">
      <alignment horizontal="center" vertical="center"/>
    </xf>
    <xf numFmtId="0" fontId="0" fillId="2" borderId="14" xfId="0" applyFill="1" applyBorder="1" applyAlignment="1">
      <alignment horizontal="right"/>
    </xf>
    <xf numFmtId="9" fontId="0" fillId="2" borderId="0" xfId="2" applyFont="1" applyFill="1" applyAlignment="1">
      <alignment horizontal="center" vertical="center"/>
    </xf>
    <xf numFmtId="9" fontId="0" fillId="2" borderId="14" xfId="2" applyFont="1" applyFill="1" applyBorder="1" applyAlignment="1">
      <alignment horizontal="center" vertical="center"/>
    </xf>
    <xf numFmtId="2" fontId="0" fillId="2" borderId="14" xfId="0" applyNumberFormat="1" applyFill="1" applyBorder="1" applyAlignment="1">
      <alignment horizontal="center"/>
    </xf>
    <xf numFmtId="0" fontId="16" fillId="2" borderId="0" xfId="0" applyFont="1" applyFill="1" applyAlignment="1">
      <alignment horizontal="center" vertical="center" wrapText="1"/>
    </xf>
    <xf numFmtId="0" fontId="0" fillId="9" borderId="0" xfId="0" applyFill="1"/>
    <xf numFmtId="0" fontId="16" fillId="6" borderId="0" xfId="0" applyFont="1" applyFill="1" applyAlignment="1">
      <alignment horizontal="center" vertical="center" wrapText="1"/>
    </xf>
    <xf numFmtId="0" fontId="5" fillId="6" borderId="5" xfId="0" applyFont="1" applyFill="1" applyBorder="1" applyAlignment="1">
      <alignment horizontal="center" vertical="center" wrapText="1"/>
    </xf>
    <xf numFmtId="0" fontId="2" fillId="0" borderId="0" xfId="0" applyFont="1"/>
    <xf numFmtId="1" fontId="5" fillId="6" borderId="5" xfId="0" applyNumberFormat="1" applyFont="1" applyFill="1" applyBorder="1" applyAlignment="1">
      <alignment horizontal="center" vertical="center" wrapText="1"/>
    </xf>
    <xf numFmtId="166" fontId="5" fillId="2" borderId="5" xfId="0" applyNumberFormat="1" applyFont="1" applyFill="1" applyBorder="1" applyAlignment="1">
      <alignment horizontal="center" vertical="center" wrapText="1"/>
    </xf>
    <xf numFmtId="9" fontId="0" fillId="0" borderId="0" xfId="2" applyFont="1"/>
    <xf numFmtId="164" fontId="0" fillId="0" borderId="0" xfId="1" applyNumberFormat="1" applyFont="1"/>
    <xf numFmtId="164" fontId="0" fillId="0" borderId="0" xfId="0" applyNumberFormat="1"/>
    <xf numFmtId="0" fontId="5" fillId="9" borderId="5" xfId="0" applyFont="1" applyFill="1" applyBorder="1" applyAlignment="1">
      <alignment horizontal="center" vertical="center"/>
    </xf>
    <xf numFmtId="164" fontId="0" fillId="9" borderId="0" xfId="1" applyNumberFormat="1" applyFont="1" applyFill="1"/>
    <xf numFmtId="9" fontId="0" fillId="9" borderId="0" xfId="2" applyFont="1" applyFill="1"/>
    <xf numFmtId="164" fontId="0" fillId="9" borderId="0" xfId="0" applyNumberFormat="1" applyFill="1"/>
    <xf numFmtId="0" fontId="0" fillId="9" borderId="5" xfId="0" applyFill="1" applyBorder="1" applyAlignment="1">
      <alignment horizontal="center" vertical="center" wrapText="1"/>
    </xf>
    <xf numFmtId="0" fontId="0" fillId="0" borderId="0" xfId="0" applyAlignment="1">
      <alignment horizontal="center" vertical="center"/>
    </xf>
    <xf numFmtId="43" fontId="0" fillId="0" borderId="0" xfId="1" applyFont="1" applyAlignment="1">
      <alignment horizontal="center" vertical="center"/>
    </xf>
    <xf numFmtId="10" fontId="0" fillId="0" borderId="0" xfId="0" applyNumberFormat="1" applyAlignment="1">
      <alignment horizontal="center" vertical="center"/>
    </xf>
    <xf numFmtId="165" fontId="0" fillId="0" borderId="9" xfId="1" applyNumberFormat="1" applyFont="1" applyBorder="1" applyAlignment="1">
      <alignment horizontal="center" vertical="center"/>
    </xf>
    <xf numFmtId="165" fontId="0" fillId="0" borderId="10" xfId="1" applyNumberFormat="1" applyFont="1" applyBorder="1" applyAlignment="1">
      <alignment horizontal="center" vertical="center"/>
    </xf>
    <xf numFmtId="0" fontId="0" fillId="0" borderId="11" xfId="0" applyBorder="1" applyAlignment="1">
      <alignment horizontal="center" vertical="center"/>
    </xf>
    <xf numFmtId="10" fontId="0" fillId="0" borderId="13" xfId="0" applyNumberFormat="1" applyBorder="1" applyAlignment="1">
      <alignment horizontal="center" vertical="center"/>
    </xf>
    <xf numFmtId="1" fontId="0" fillId="0" borderId="9" xfId="1" applyNumberFormat="1" applyFont="1" applyBorder="1" applyAlignment="1">
      <alignment horizontal="center" vertical="center"/>
    </xf>
    <xf numFmtId="164" fontId="0" fillId="0" borderId="9" xfId="1" applyNumberFormat="1" applyFont="1" applyBorder="1" applyAlignment="1">
      <alignment horizontal="center" vertical="center"/>
    </xf>
    <xf numFmtId="164" fontId="0" fillId="0" borderId="10" xfId="1" applyNumberFormat="1" applyFont="1" applyBorder="1" applyAlignment="1">
      <alignment horizontal="center" vertical="center"/>
    </xf>
    <xf numFmtId="0" fontId="0" fillId="0" borderId="11" xfId="0" applyBorder="1"/>
    <xf numFmtId="0" fontId="0" fillId="0" borderId="0" xfId="0" applyAlignment="1">
      <alignment horizontal="center"/>
    </xf>
    <xf numFmtId="0" fontId="0" fillId="0" borderId="10" xfId="0" applyBorder="1" applyAlignment="1">
      <alignment horizontal="center" vertical="center"/>
    </xf>
    <xf numFmtId="0" fontId="0" fillId="0" borderId="4" xfId="0" applyBorder="1" applyAlignment="1">
      <alignment horizontal="centerContinuous" vertical="center"/>
    </xf>
    <xf numFmtId="0" fontId="0" fillId="0" borderId="5" xfId="0" applyBorder="1" applyAlignment="1">
      <alignment horizontal="centerContinuous" vertical="center"/>
    </xf>
    <xf numFmtId="0" fontId="0" fillId="0" borderId="6" xfId="0" applyBorder="1" applyAlignment="1">
      <alignment horizontal="centerContinuous" vertical="center"/>
    </xf>
    <xf numFmtId="0" fontId="0" fillId="0" borderId="9" xfId="0" applyBorder="1"/>
    <xf numFmtId="1" fontId="0" fillId="0" borderId="13" xfId="0" applyNumberFormat="1" applyBorder="1"/>
    <xf numFmtId="165" fontId="0" fillId="0" borderId="0" xfId="0" applyNumberFormat="1"/>
    <xf numFmtId="164" fontId="0" fillId="0" borderId="0" xfId="1" applyNumberFormat="1" applyFont="1" applyBorder="1" applyAlignment="1">
      <alignment horizontal="center" vertical="center"/>
    </xf>
    <xf numFmtId="164" fontId="0" fillId="0" borderId="0" xfId="0" applyNumberFormat="1" applyAlignment="1">
      <alignment horizontal="center"/>
    </xf>
    <xf numFmtId="164" fontId="0" fillId="0" borderId="0" xfId="1" applyNumberFormat="1" applyFont="1" applyBorder="1" applyAlignment="1">
      <alignment horizont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1" xfId="0" applyFont="1" applyBorder="1"/>
    <xf numFmtId="0" fontId="2" fillId="0" borderId="3" xfId="0" applyFont="1" applyBorder="1"/>
    <xf numFmtId="0" fontId="2" fillId="0" borderId="25" xfId="0" applyFont="1" applyBorder="1"/>
    <xf numFmtId="168" fontId="0" fillId="0" borderId="0" xfId="0" applyNumberFormat="1"/>
    <xf numFmtId="168" fontId="0" fillId="0" borderId="7" xfId="0" applyNumberFormat="1" applyBorder="1"/>
    <xf numFmtId="168" fontId="0" fillId="0" borderId="8" xfId="0" applyNumberFormat="1" applyBorder="1"/>
    <xf numFmtId="168" fontId="0" fillId="0" borderId="9" xfId="0" applyNumberFormat="1" applyBorder="1"/>
    <xf numFmtId="168" fontId="0" fillId="0" borderId="11" xfId="0" applyNumberFormat="1" applyBorder="1"/>
    <xf numFmtId="10" fontId="0" fillId="0" borderId="0" xfId="0" applyNumberFormat="1"/>
    <xf numFmtId="166" fontId="0" fillId="0" borderId="0" xfId="0" applyNumberFormat="1"/>
    <xf numFmtId="166" fontId="0" fillId="0" borderId="0" xfId="0" applyNumberFormat="1" applyAlignment="1">
      <alignment horizontal="center" vertical="center"/>
    </xf>
    <xf numFmtId="1" fontId="0" fillId="0" borderId="0" xfId="0" applyNumberFormat="1" applyAlignment="1">
      <alignment horizontal="center" vertical="center"/>
    </xf>
    <xf numFmtId="0" fontId="0" fillId="0" borderId="7" xfId="0" applyBorder="1"/>
    <xf numFmtId="0" fontId="0" fillId="0" borderId="8" xfId="0" applyBorder="1"/>
    <xf numFmtId="1" fontId="0" fillId="0" borderId="26" xfId="0" applyNumberFormat="1" applyBorder="1"/>
    <xf numFmtId="9" fontId="21" fillId="10" borderId="0" xfId="2" applyFont="1" applyFill="1"/>
    <xf numFmtId="169" fontId="2" fillId="0" borderId="25" xfId="0" applyNumberFormat="1" applyFont="1" applyBorder="1" applyAlignment="1">
      <alignment horizontal="center" vertical="center"/>
    </xf>
    <xf numFmtId="1" fontId="2" fillId="0" borderId="25" xfId="0" applyNumberFormat="1"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 fontId="2" fillId="3" borderId="9" xfId="1" applyNumberFormat="1" applyFont="1" applyFill="1" applyBorder="1" applyAlignment="1">
      <alignment horizontal="center" vertical="center"/>
    </xf>
    <xf numFmtId="1" fontId="0" fillId="3" borderId="0" xfId="0" applyNumberFormat="1" applyFill="1" applyAlignment="1">
      <alignment horizontal="center" vertical="center"/>
    </xf>
    <xf numFmtId="9" fontId="0" fillId="3" borderId="0" xfId="2" applyFont="1" applyFill="1" applyAlignment="1">
      <alignment horizontal="center" vertical="center"/>
    </xf>
    <xf numFmtId="9" fontId="0" fillId="0" borderId="0" xfId="0" applyNumberFormat="1"/>
    <xf numFmtId="170" fontId="0" fillId="0" borderId="0" xfId="0" applyNumberFormat="1"/>
    <xf numFmtId="166" fontId="0" fillId="0" borderId="0" xfId="0" applyNumberFormat="1" applyAlignment="1">
      <alignment horizontal="center"/>
    </xf>
    <xf numFmtId="0" fontId="2" fillId="0" borderId="0" xfId="0" applyFont="1" applyAlignment="1">
      <alignment horizontal="center" vertical="center"/>
    </xf>
    <xf numFmtId="1" fontId="0" fillId="0" borderId="0" xfId="0" applyNumberFormat="1"/>
    <xf numFmtId="1" fontId="0" fillId="0" borderId="0" xfId="0" applyNumberFormat="1" applyAlignment="1">
      <alignment horizontal="center"/>
    </xf>
    <xf numFmtId="2" fontId="0" fillId="0" borderId="5" xfId="0" applyNumberFormat="1" applyBorder="1"/>
    <xf numFmtId="0" fontId="0" fillId="10" borderId="0" xfId="0" applyFill="1" applyAlignment="1">
      <alignment horizontal="center" vertical="center"/>
    </xf>
    <xf numFmtId="1" fontId="0" fillId="10" borderId="0" xfId="0" applyNumberFormat="1" applyFill="1" applyAlignment="1">
      <alignment horizontal="center" vertical="center"/>
    </xf>
    <xf numFmtId="169" fontId="0" fillId="0" borderId="0" xfId="0" applyNumberFormat="1"/>
    <xf numFmtId="2" fontId="2" fillId="0" borderId="0" xfId="1" applyNumberFormat="1" applyFont="1" applyBorder="1" applyAlignment="1">
      <alignment horizontal="center" vertical="center"/>
    </xf>
    <xf numFmtId="1" fontId="2" fillId="0" borderId="0" xfId="0" applyNumberFormat="1" applyFont="1" applyAlignment="1">
      <alignment horizontal="center" vertical="center"/>
    </xf>
    <xf numFmtId="1" fontId="2" fillId="0" borderId="0" xfId="1" applyNumberFormat="1" applyFont="1" applyBorder="1" applyAlignment="1">
      <alignment horizontal="center" vertical="center"/>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3" borderId="5" xfId="0" applyFill="1" applyBorder="1" applyAlignment="1">
      <alignment horizontal="center"/>
    </xf>
    <xf numFmtId="0" fontId="2" fillId="3" borderId="7" xfId="0" applyFont="1" applyFill="1" applyBorder="1" applyAlignment="1">
      <alignment horizontal="left"/>
    </xf>
    <xf numFmtId="0" fontId="2" fillId="3" borderId="0" xfId="0" applyFont="1" applyFill="1" applyAlignment="1">
      <alignment horizontal="left"/>
    </xf>
    <xf numFmtId="0" fontId="2" fillId="2" borderId="0" xfId="0" applyFont="1" applyFill="1" applyAlignment="1">
      <alignment horizontal="center" vertical="center" wrapText="1"/>
    </xf>
    <xf numFmtId="0" fontId="2" fillId="2" borderId="15" xfId="0" applyFont="1" applyFill="1" applyBorder="1" applyAlignment="1">
      <alignment horizontal="center" vertical="center"/>
    </xf>
    <xf numFmtId="0" fontId="2" fillId="2" borderId="15" xfId="0" applyFont="1" applyFill="1" applyBorder="1" applyAlignment="1">
      <alignment horizontal="center"/>
    </xf>
    <xf numFmtId="0" fontId="2" fillId="2" borderId="15" xfId="0" applyFont="1" applyFill="1" applyBorder="1" applyAlignment="1">
      <alignment horizontal="center" wrapText="1"/>
    </xf>
    <xf numFmtId="0" fontId="15" fillId="0" borderId="5" xfId="0" applyFont="1" applyBorder="1" applyAlignment="1">
      <alignment horizontal="center"/>
    </xf>
    <xf numFmtId="0" fontId="15" fillId="0" borderId="5" xfId="0" applyFont="1" applyBorder="1" applyAlignment="1">
      <alignment horizontal="center" vertical="center"/>
    </xf>
    <xf numFmtId="0" fontId="15" fillId="2" borderId="15" xfId="0" applyFont="1" applyFill="1" applyBorder="1" applyAlignment="1">
      <alignment horizontal="center" vertical="center"/>
    </xf>
    <xf numFmtId="0" fontId="2" fillId="2" borderId="14" xfId="0" applyFont="1" applyFill="1" applyBorder="1" applyAlignment="1">
      <alignment horizontal="center"/>
    </xf>
    <xf numFmtId="0" fontId="18" fillId="0" borderId="0" xfId="0" applyFont="1" applyAlignment="1">
      <alignment horizontal="center"/>
    </xf>
    <xf numFmtId="0" fontId="0" fillId="0" borderId="10" xfId="0" applyBorder="1" applyAlignment="1">
      <alignment horizontal="center"/>
    </xf>
  </cellXfs>
  <cellStyles count="4">
    <cellStyle name="Hipervínculo" xfId="3" builtinId="8"/>
    <cellStyle name="Millares" xfId="1" builtinId="3"/>
    <cellStyle name="Normal" xfId="0" builtinId="0"/>
    <cellStyle name="Porcentaje" xfId="2" builtinId="5"/>
  </cellStyles>
  <dxfs count="46">
    <dxf>
      <fill>
        <patternFill>
          <bgColor rgb="FFFF0000"/>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_xlchart.v6.5</cx:f>
        <cx:nf>_xlchart.v6.4</cx:nf>
      </cx:strDim>
      <cx:numDim type="colorVal">
        <cx:f>_xlchart.v6.7</cx:f>
        <cx:nf>_xlchart.v6.6</cx:nf>
      </cx:numDim>
    </cx:data>
  </cx:chartData>
  <cx:chart>
    <cx:title pos="t" align="ctr" overlay="0">
      <cx:tx>
        <cx:txData>
          <cx:v>Oil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a:t>
          </a:r>
        </a:p>
      </cx:txPr>
    </cx:title>
    <cx:plotArea>
      <cx:plotAreaRegion>
        <cx:series layoutId="regionMap" uniqueId="{4E3DC997-3E87-41FC-ACE6-F30E991338C0}" formatIdx="0">
          <cx:tx>
            <cx:txData>
              <cx:f>_xlchart.v6.6</cx:f>
              <cx:v>Oil production STB/d</cx:v>
            </cx:txData>
          </cx:tx>
          <cx:spPr>
            <a:solidFill>
              <a:schemeClr val="bg1">
                <a:lumMod val="95000"/>
              </a:schemeClr>
            </a:solidFill>
          </cx:spPr>
          <cx:dataPt idx="7">
            <cx:spPr>
              <a:solidFill>
                <a:sysClr val="window" lastClr="FFFFFF">
                  <a:lumMod val="95000"/>
                </a:sys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zHrZktw4luWvpOXzUAmAIEG0dbXZgKQvsUcotOULLRQKASQ2kgDXf+qvmB+bG1VZVZKqutQ9TyOT
Hlx0OoCLu51z7r8/r//2bF6exl9Wa1z4t+f1T7+qGPt/++238Kxe7FN4Y9vn0Qf/Nb559vY3//Vr
+/zy25fxaWmd/I0gTH97Vk9jfFl//Y9/h1+TL756ik+1i23c7qeXcXt4CZOJ4V8+/S8e/vLy5595
3PqXP/369MW2rmpDHNvn+Osfj85f/vQrpwTTIv/1l9++/Zk/vnDzZOFd4c3/+c/5afynr708hfin
XxOWvmGUMZ5hRHmBaM5//WV5+cuj/A3miFLKaU4KjnLy6y/Oj1H96VeM3hQIEcZzzFLEM/brL8FP
r0/yN5zzAnOWwR+KOSd/s9CdN5v07m82+ePzL26yd751McDv0l9/6f/ytdczZhnLOMUFQ5TlRZYS
Crvrn58e4BZev/2/hlT1XSadrVXarAepelxm2eAvcLfHajVLV+JM5kdu2+myJ3w9Jfk41cnQ5kOZ
mdHtwuQEX/N1n+tvTPlPtgaW/n5nOUYpzjJUFCwjOX3d+Tc7S+eZhmWKpm5wN3xUa9Fd7BPFopB2
rL3hyelfr/cPloD1CpRSzHCOENzG9+vtdspi3BpTZ0tyz9q93jCrfrJE9s8OxTMKCyAEN87x94v0
uzbIMkcr3e36rCefn4umR08Su20s9bRMKDmwQLbiRLckvvRjrrLST/twSihr3tFB63e429jtnE0s
1A5l5FMRgnksOh3ux2x1WHR2Dld8SPaXjRkzVNmK2KPq+JLWHUZGC75t8hGhRN1tRspNdCQsuAp0
aNNSR0VbEXY7PKqt35RQC2JEwJ71vXOFbiu6d/tzh/LuLhua5KO0avIlc6bQQo2Neuyb2JHKxFYP
YkUuS8S6rkPFV7yuouh6eh9JH7TAvYZX0qHZjDCKx0XoaYxYoHZL6HFum6hKzlJpy1028+9tlzkn
LEriJ2zX6WvwdKvtzNVhK9pdCkaYvUt5019y71ojwmblbd7L9NGxPH7qmRsuOpeFOvrJVFO+DQ9D
IOYjt1rfbTLFdUPS4Yq0eV91S08/xRSnj6tx3Vkvxp7dvq+zcJzhBzy1yQ1bsqLmfYK1sFQte03Z
ttgKIoqngtJ0+pLQ3XZi8zKxlely87QTEmyl/CiP3RzStl6C55/6whZBbLEI12Tm22HLet0JOC59
iyY6ncAp6UPsOvMp64ftIovr/BR6Kass5fmt2fftPM2o6wSJbH/XTK0v1zTki5jaxV1Pw9rMImZr
WMTYD2Dxog/JWmbSki8sid2V76ZRCW6XVgpfpO6eb6F/P8QwhCqN3g4iRklpaYZk+sS2vTiipTDD
Dd76nFQsk+ht0wzLbTLgZS3XQg5LhRJuxzuEXfulaWWqyjVX60tud/mxWdQ+i8kVqBzb1BihWW8u
rHPTO2a67ED5PpeRTJiKfpXzQ760w8Ww8LUOTVdcz2Rtakxj/xwwHJfuvH9eMo7eqX5QDwTNMQrK
1njdjSS2J9az6SpxzVLbgU7HXa6oE0PeZQ95EVZULjFRslySbQgHmfPpjq2rV7Wh+fgh7V3/1Dc2
82JJoqula5tzvqboesvm8DIwNl8VcUwzMcR+YKWN2hwjm5pDseJWKLJkx61Yu6PDeX4XcZtfd3LN
jknKV+E5ZvVYrNm57cFbuymGKBY17yVVZqz8tpoy26h8NydhvG/w5k85l+aC76ioIqGJCK/W0vuS
lRqyQF3oznwm3A5lX2h2KYMvLqfcL2IdsvGu6XJdKbwPh84g91a2OT8kaEonoaEkl0sal7tmQ0tb
6jl2myAdWAH+4UdrML3eF9IJxhAW2di4ei+8Kh1tmtO2ovSwLMwI5bq1kpud1jKmnTxkYSgEwkbf
JXtDL9fFRnbkk6bXZFntw17M6pBGZd7qTKtH34zhoRtTWWcD92WUBalaObEbPazdYdPDUqs98ZUl
YyL6flVDtdMct4diWYi+6fLQLMJuutMCITs8kzjsjchknCeRMdVdT9zY66JLsmrFLF5glwZ+nOCu
K20mSB9xsmOlnSrOQ9OaTwbP5msx2ywKNevumHTLVM8Z07ZcpJLP1LXuo1ZFe06Xcfpgszkp29jS
+zbl5C7Jt3jZDCS9aqPhF7mKm8g1bVLRyGw7smZkFV3b9VO7Qtqf8olDHI3FUC79Tt87s62/N0pO
F03ol5d97HFd7Dk6h7wnEK59d2ORp6cQMnRMlUm1yOkG8cKCHYygW9Z8TsfJvG0gY2mR+VTdTCqP
dbbteRTebnQq6dyMzxtt2pNffXNwaYR8XvDiqOYujgLNqlMCL2H/vS2c28TCWnQj9ZRfDyTi5zE2
6tJGsl1mKGvrtkndJ9+StSp4NM/F1DaXSyBJd8JTP3Ghtk1/VCnelZDc9C/5Pujbsdi6ay3HEYsd
az2WPppYB2t7W7XTHr42S6RLKSkaPmeeraXk6VQ3o83LxUt5KSeJ70zboXucjIuqYrDj9ag0u107
5K9GJKeDbHEjgiQzEdit+zkNnbroQjN5UWTaV47PWypMO0AMjnKGkjMkypR63e2NG+1wb5K+O05u
l7rM+Ny4at3a/i4fIDzHBq9XRI7FyW7TpMRGbVo67fNrR3HygIuclL3C5HHmizquu2s+LGh2R9TS
Roq+XfqknDvLbwtO/X3vhu4LnvfwMOUNfxyWTV6so5NeoMjHMzGMTGIJ1Ppy2HN1uUAx7kS6NMnB
N/MCNjYmf8+6PcQydjS88J4fcKP8WY0Edhs0XVSZS2JvQqpCGZsJf2l9WuRCYpvUcOvJWwplvCsd
IlqJYPtpEM1g4ixa6PdC3Vrf3IFt8YMEd3iUMdvue4T2cnGDutEtQ5cKx/BM2PSu6cDNDuDp+jJv
p5zB1kf/kLvFXigyzS/GGVrjPNmudxTCTdxH/Thqb76GoNpUQLtO33Eph/zoFrdcNTp2jyqs+wXd
B4UOPYaqcm76lN9OFrknD+UMi63r93OR7uZG9rM7jHiK75h6/6+7OJJCk/Zdzwyd4rdNXPF9Eyf7
Pdn2Xtl6KefKzGW4+b0YBa33k7vUXKzlcCZVqSvmS3p50R668l9v4B+bdpblvEhpUUDr9Y9dJBsH
76As2Hqs5mqvXCUvHuX1XOLykz/wTz9rW7PvzlvQtKCsyBhABYQYYI7X59904q2XUSYLdOKQ5URL
B5EVN0PXi399KoA031j1j1Vymr/CnYzg9IfWeCuSxep1MvWi/Rc3d9WY9Afj2aON7QV43k968e87
8dflspwSRFBWAMIADPb9oSLe6ZTuiakH9nHdPjb7JMzYVBz/BFb8cFl/LJSmnHJAWZiT13N/Yz3l
0gSpJNo61Ngc2tNwtGUU5NnaElVjmVQ/c48f/POvK7LXEzJANOiHFbv5FTeNcLSOCJTUtJawxj5U
sWrwEdW6bipWQuFda1+pAyun5poe0Gn72Ua+R1T/uI8f4mTISeo6DvvQMfMliqMXUCd+AhPxP71I
igqC8wxSav4ard/Yd/RrYXIJ0RgrfMBVW+tTVzV3rPZnXBNBkGDnf+2p+PsE8MfB8gI8lVKS5egH
Vy2mOXrMrK3pMZ5tX3aHogpVcuTvm89t9bPww0AD/BAZWZ4jkmJCCQHE/8Nye2aUmq20NTTW8uQO
TRWF9WK42ipAE3Xxk/RCfrbe671+Y9E8nxY5Ulgv1Eu9Pg6lP/ry3F6ayh55OVV7nV8q8J11EG01
/SQNvMbd35PrX2z77WF/SDaFGdFONyAk8qk/2Dk+Nf3qStSnbwPNMzFP7BqPwR20s+lPlv4n/sqA
c+CQhMDaefFql2/OPaS4QZsBT9qHYSjJyqH3SM1PrPtPF0kLoFpSilia/3CZfJ3mHTouW2cjmt+O
UEduVjqzn0TFP6zCCXA5DKidPIeFfgyKvgWEkKba1Eal7so3G7/bWsSOfw6E3/5CuN19Syc9+34b
W6n+YNz+9vE/rv9K5P3762t///9X1u7vn277F/c2ji8v8fqp//Gb370I7NUf678Sft99+Af271ti
7r/78L9H/mGEUc4JOOd/zf797/Fpen76lvv7+1t/kH85f0NTRKHE5FBjWP7KB/2V/CNv0pwBIwjk
HvBcBPz8D+6PvQGqEG4PWgwCbpgSyJt/I/8QuA7lQBdSWgA7mf5PyD/Cvq+5wP5xlqdAMkKhyDNK
0Q+5cybAWm5L5ytMGzvXdFeMnhcqfS/ylechuVlXamxztg6t562n06XM6NLXmqV+rKJn+y74jNJy
o4DJSmd89qnvub12a5ZWADy2E8B38uBYAZ01hF2ZAnskuiFbT3hpNmGGhl/yPk2/9JrYr0myhIvG
AzcA3K+r9mIlZdi2tuyIX3oRydjUct+7VKQsR19iHjGAtmz4sgdnbtq5oec9TMwL0+H2HSd6eHLA
HVw3jMtryLK+ymgzfQ5Ju5Rr37UVnHg76o0kWmzDQlpgI5w5TemgTkTicGwIYUJH6x/xnPe3SnF5
1a54Kneg466asOkX1+fN7TrnNorNuOZmlRKKQJurU+E7eTUbFS422aED1wMDfO3lYEW6x/1uo9Hd
eJ8xoAPxw2g5EHhxDueFyOY+ZG3i/nyOA8kDQPLJztoJJt1+u60uL7e1Xc46DPw0M2+/yHRlpwQZ
fL+TgiiRZgV92rMt/RJNWEZhogViC5iIC+6T7mljXmbl6gcoI0VqL7uF7+7Yzuv4adhV8942ydAr
MYySSbF6CkwWWXLZVXI2sTu5wgVAs3EZK+BvfX4ESozcpEwvH4cVy0W4PZke+TZ0Rqwh450wieuY
cLCZsyf7MAsrG1zH1iQXhfYMKEAdT8Sr+ZyNOj14PMMhdk26M5BbWwLkxdQbkbWGf2jRai+BIgIm
0Wo/igUDmfbOrmR9wZ1JknKkwDYc5r7J0hqxZXzFYUMCwGMc7xLGUSi1GofsaDtwyVeSYrjhTKNb
vynAUZ6a35Vf7XmYvaxls+UXg6RNNUDM3tCpH8tm96jimaYfIp5TkWlka+TmeOR8SA9oIEBrbaqd
6yIu6n43LrvCu52vuyVTFZOE1qbbCmDNefayjonehGPddioGld41JBZHnY7paaLJWnfUkYOUZj6O
WWEPey5dHXM7l3TLp2O7ogE41G0bDqzt0+Peqf0aOqI1F5qOfT1jvh9buI9DoVSeC9VBVGmSxntN
9rYiGLcPG6XsYk5yfCgY7Z4yss2ZaKduueF+yctEFT2qm9y2n+JA+7cqDFMQEwnQyOp8Ooymn08Z
UvtVQDY8FDuSZ5Ky5lisU3fQJLNKTDMPh42r/jlfNDskzpGj4Y5aIHspXYWiKNQy0/F9VxTjTdqv
05EUbDpiTrdDijd5CO3uL/jmhkuejmQQ4Ez6PMPtXw1d0tZjEnwUs0p5FYrQt2JKwJ1nrxHQRQ7s
n5oWVuuIrNCq3YXsh/VgQ0gfcKPxnR/y8JLFEZ0BVqojUch9ZpMe3xrX+sobFu/TnGRvW5stT2BD
etEMLaS0bWKtyJImP4R1trcxc9OH0POs5C5091ojVGd7TzvhZ44fXd/yg1nW6cqSHi7UqeRzopSU
ApgTBOS2LPApDFs8hzjpj2nH5k5keCDtcd8Sr+t2Ycn6/1DE/z8tz89+cvFV6pOtd98W2gy6pv+6
MJfeePu5/a40v77x16KcvykyjLMCA/4DRutVWfqjKBf4DYPODOQZ6LMZ+XO9/qsil74BQMULjuEv
ZQDn/laVE/oGmvO8AC2OQ2mGX/4faXKwie878L+qcrAaSVMCZMMPCC7o0Ha2aXWFxoXctnZuFbvo
VNoae696NzbJBlkrWV1doCGwt6GfF3oiTTJmN1gna4QyMd/ifvi67/M5ZfPXLq4yuV8zLtvS9sAX
VXHO26823YHSXacEZAeANNsD5VjmZdo0yJ21hDjVwrWEmMOOUZ+JJEi91UAWxvnRqU7uFTFoWN/b
YjEB8mKHV/I0F96bctA8+jIDoWgp+9VkXAxZb8zltLc8Ea3DcnwY1SzDed2J2gVxc5N+nj2a+q9z
cO18zNJWU+DENVsPMZm3STA+9yAITglzD3Pf7bR0rosPSIMVoGPggym9skt2QGnCgrCGWcgrHule
LHs3E8gnEwKqes9zVvph8lRozTGqunHIga3R3ZpcNEDw8hK2lpuzoo5ZYID7pq8bI31TTuugvNCS
TSNYcnZoZGJNdGvrrd9JXwXgMOVFB8ppd9NFvu3vvdKolc8oWP47c6PrRDfnIxdusMl9NmSyFQAI
ikQk2gXQGzID/zN5x6GGK+BhBUB5VvwuVbdQMZB5aX4f+6Z1CAorXbfDFFzTfQQCuDXXw5gpeY6U
vlKbs9/7kkJptCdDVSCV4jQZq6ZY/f5hzNMO11BDuK9yFxNsBE8GvzsB5XF/MI3H8shJRPvjtKDh
U4vinAKW3nymakdnm9aK2lHVAXsylIOKaTz5Ypf4ZLuNdkEkBnZ/Y0Jh50uLUWMuaV4MurTbPqHj
K/mi6yKRar7QVAagz6Rt9Zmue0cv5lwNyz2lw1pcki3FptojS9X1RPdtA6dyvBWoSPIzDRYPJ8mB
TazSPpuQ2JHbvi6x0Gtl49xk2Tk0dFAX4ChdBixk64MYin3ZH0AMzOFLGo1jHUzO8V1vp2aqp8QU
+ZVeabKdUwtxUYVMZ96DvLktG1Bg84TYVdwioyXImWtbAoyb9QWHhtIfdJFvql7UOG5PoJg0/Wfc
A2FX4Xluh8sdD2D2fU4mdhlC3zRPMvHcPybN3nWHyNtR1ix4/GFKmmX6qAImM5QHcID5PgPpp3ve
mpQXdQgLGctt4bwtnUS4OANVv2SXWeYnVm0J920m9m1YdxFQtsQ6T81u7nWhjDq76JoMZJk1aaGF
beE7A1DO3RHlg+OkSixqe9FPttPQ3DnWvzbeeMsr0oyTr9G+cnTupsn6PoowFXk4tU2zLVdxmhv9
oGXY0soYlOUXUwBl8EBN0tGK+HXoPkiQAi6D7sF2ls7mvew3guu1cd1Spo5N7Rl0vWjgdotxu8zz
GdTO3RZdWu6TcUPNcUhYxUmxfi0KCOAr1VkH7tEDTIFOMBajOxXT1kAMEa4tOyqQy2mN0jnNDrOH
PX8iehv70rYwTXGB2Fqg88BUNJ/WtetxNdvBtgBzcGMuqJbgLd71/VC37FWHmFC6SqAkx6Iv55UW
AXSoxboFJGxABeOD3fs+PLOxKB6h2TB9ubsclAq84hTcts8+NGaecCl7auU5uDxsFR4M38VixmWu
pxwlrAZpu4Bc2/fJJ60odwKNETQPEptVwPhAd5x1NjxwSDUOXK/pYpkBZovQ4qNxFjKfyaVViVlq
yFtjW2Ed9OXkpAqgnM3FZUqIu2riSpzIUGprwwz+oijdPmfriFoBQGe+olGtY9UlYXkLXBCpt7lZ
7wJPiwkmAnoviYhL14Sqp02eVPuk0+Z6AKjDqoT2cauxJrqpcy1jeDIzLVyZEbTu1UhpaKDf8UGf
GNq5Pu0w6MFyMRKAosdO5p0EWWPaIMLHpkk3yBGsny9ABjbu1DRZ/vtiCZFXNlPcyBP43Th8jUOb
bO8COEEEdjULuBy7XdU2xncFaUpJ+J1EClR0fAm4diiRWy4YRJLYPXlch+JhYKA0sRnSH8Mkio4u
7WHNElbqYHORhx6dEE3ak/T5cAFYOdYI1CfR++xjdNld6IujC/G+g1woWg9Ok6B9rpZmB3UFQk90
Ll4nFF9p2w6QRNPlXEh3yzx+P2r1NsNbIfBmXpZ2vR/2AKx+RiRcRHiRa/Ik8/y2S6Ey2W0p1ZaC
fAnan4iUFFdoGemHlLhUaIfni9Hok5uVugQVBB2zIYWyYgA3yCGB6AiDKtNEv116fll0dBY4aiJG
cPA6W6P8iDI5lQXcSS9dPGa6YRemt/yIiZf3EUIUmGTX60xMi7O3C85BicFNpEek+i8ys65UyaqA
SC8Aeuj8qU20vFJr8DWD4Idf5iBCTxbqGJB8BUwixNtNKQWF2t1s67aKUcv2wYPadChMdmNME5+g
nfmYbDgvuy69AIngMWkViARw10cIWCWaTD1xP+BbZdd4bPwSBG8BWYzM8wPKRvISu1Xf7u3ylW2r
OnAERPdk2EViYV5gt/w6X+f7mSAltHfpUU/rdhx935Sx75+M1/RhU4t6n9jJXkSV9ZVfdfZxi4m+
dLsHOd9FekqdBwEYu8/bOAbB+ulqTwZWBWyBxQBisQwxkcKNSH8OM7o2xlwV2ILsBWnTDb47zE0/
lInP8ppvxZPSchA5qCCC7CMvNwDoTO5dDdUcJkxgwiNy408rgCMytXdguuWKgk/5BYTmaehfLEQC
wOL+NLriFEfzftzJZ6+GUzfQRZBgrttsv2CUZxXX4Qokta7UZOzOgGBgQsDdaYXOk2TPNIZzQPMB
gJUUHEbElnU9KPIKkZR96hI9nhYlv2jWYeFWmx2XNdhjt/GPM18T8Gl8ZMueA5Hqj+vcHQsmSzUB
D6SXYqkgDTxA//1W4/Qy68erAGBbwCgAkDFFuFw7WZoJcijpZAKgN0vLCGL8oUk0OiVJCiE89/ku
JLX5ETs0HHou+SPdW//WA9L9ADTb/FamEb1wp5q37eamDmZjxvw8w2iDFLjZIlRth/W7qY/QJTGY
irC+KzYRUqwAaa70qtmgRZ3HaXqa5n59x9pCP8BXzF0Ri1i5PlPXCoZAQH5d+wO03cVLz1B7SqHJ
OrmN9zfT69TLHJvtRm86lg12+decFvouuilWMIc0+BvoRTVM2EwY1Op9nEHB3afw0SueqJM3pMiu
17nfOiFNs1lIZ7sP5dJt+3gA0YpPZwd99GebQFdaUq7jUBV5Ik1Nx21+mwETAZl/jmw7QxjOsZon
k7fHbG5dd5Hm05r97k3L4lUXcd5BlqD+E8xg5dNLYVDLjoM3DtNq2KSTfcn9mORlwFwWghVY3rcm
wE37Ado3QbQuVtECNRUqBMNs9xOaxmvHRvR+a8cIlaCnF2gbYKBAD2MxwSHinlcwytYQsfe4he7K
ACKC4Q47hiMLU5zLcZzADFSawUCHRCI/rdDXEFFMDf7sk/xDV2BXU7IygWGEpwOUMt3CSE+d5BEo
pHSK5QyoooKQXYElAkXaLK4/dSHCzM+goQKDEn8AgSUvQXfdhdcpPy+NRyLrOnwBCeHRMKoe1nUc
7pzc0stWbhkkYtSdxxmd/YQ+wogPAkGEtGXbBSM8Td/HMfudmj6/Jcy/tb7AvyvSjxfeIijPIIZV
MGi5nHCSvPBhzW93PD/5nX1e5rDWdtHbRde2qlQ5crdZtPHS9rM9BgjZa0WKAOVUtSVfzPKu3zYY
Cdp9e4AOw37d/y87Z7LkNpJ16Vf5rfdIg0+AY4uBQ5ARjDkkbWAKDYAD7pgck+Pp/0NlDSllV1ZX
dy960Zs0S4VFkAR9uPec79xIux0O8S2pjCp3WJf62klM5KHbKnEY+QSyhw/eIzoKP1uiWacK/RNK
RyNTHnW1wQWFog5tj+/d2AIlZewzCsditd7v/BMKObtv+iZMeMFv9dUM/kFDUfj9iRkkmDjut+Vz
1PjtSUxdjlIcbBRtOn0rg7zHvbN87cdoyX7wUarJ12PUGJm0bHzFyQDwb5E7fb0u8nW6M1x8Dfso
4Sw6iFwks9Mk7iFdFYx9I45/bMT8NJEFp6VqqwRl3xrnc/RxzHkT/8CrtnaKMt0LHjeGfqRM4J73
IhLzob0JQpwzP8irBjhCvOXBwVPB3dqxu8EbX1H7udjYMh3W4qXq7CG3gGqmMbj1gvozdLAPvEHZ
ACriknN6jvCPEAWPjS/3CwF+9U90SxCR9J3GxfIPfEvWy93q6udmnr463wKEWbpbVF63g/PH21Ch
CGB5za7w0HfItiqWC8C+ofZvKQ2OdQjU0NQby2Y2ANOTOEULtu8g0cWLEsch95/HQu1/YGABB4fT
ROO4H7ycxzNvv/zgwaYRCleOayQJA/SIP8iwKgCCoWqhY1LgTXsrZQAU109sDdIhBBT6Axrzu+FF
FcHLaC0ELqd0ArTyOR/NfqqjOWb+2O2bNZyPYxlN8YAj9tgt+mHc1nSoR0A2uB0yMuS7rqI4NLzq
LpqbFndGtCbDXEWZbbwi6Yx7rarpDP+YZn3kYSl56PKuQJoa9PMw9g9+YP192xZ+7JaGZsLvv0SM
2HiR7AHEX0JW/5lX0f2sqxta2gsXUfIDV1saVTx0A+t21dJAfa5x/lTUg2zxD3it5w1PrB3qJKjo
tMTaTOFZVzbAX1IqKfzAnVsVmFgLwND+VPpJrtV5NhL/VIKNmTz/bhPhhTt7ZGuDdyMHDrSvwwXt
S8CqQB59x/faKXMcPCxzihYt18alGwlff+BwYAimWAbRYxsu57nQt642JEZPcahY8SoAwvoe1PJm
qz9BNri1wr3p2b78E5urfKqx9OUBZ153kIPyM3CKOkVptCQWWn1CFlSpDsdLvOJZxD0QJRynIwjS
zkE0qHX+PLerzjrTvBCvO5uCRQ+ctPnRTfiTvaZuB+F8SKcias+Ai7sj6rh+DyiU48IJp1dUq6yA
oVAZFIJyOA527mxCei4MNIeV7cQ21x1kHGNNUkVdXiTbMuTvvevmI8wBAqawc7NCM9rlnyGQrlMm
AeOIg88EbkXR1LOfRWUPzHiugQZGKp8fvSqnJ75ZghLGQ7QAatWzkthEuXLfPXxpe+fPa1Yw7i4m
4Plu8mYbQWlypsbZwYGQcT0ewna2BxGM5rsmnrgZoWQcR79HzxWQaQ+iCfuPqs018VgESuKX0KjF
E5rTpJvxNXsbELDIlzOPJw2bGTIFwFLQnFHFTrWp7S2n3vTBkGBo91VNcGRT4HzkGJGI7FWk4JJx
D06WJro4NnqpsaOiOh+OjcnHJNiYvfiW+peN5tE9tH6nHrtqtetRjxs7bwpUKR5wM9ysZqD7Hhzs
XUVQ0ew9cL9NzBquYaVB6YJS4EgcoKE7oYRYs0GN6/cyD5sMbRU51FtLIB6yjaZSjB6OA9Dhnlc9
CG9zZ0XMc8/ohqyAKF61WYI055W6FINvn8hQPLTbfHJKvtDBDvCBUK66YOA7kLUg1Lcdvm900gH7
7KqF7novUDEHBByvkrwYUz3kRX83jUwlbLL3fCJVvAp5XCt6x1ezq1uWtaHf7wMrvuqquyHoDebB
+2RWAcJzHW62UvtZFbRvg6kuHWnaTErlEgLFLA2MbRLamwnt3lpjlQW494JgB0cg0+hEU2Bt/g7F
6e2kAGyHQfVxmNW5RhGZQGcEJFxPh8C1t0Ed3XihyLxhlfEsZwePBIqiyaP2gYtyhLg31ykpfB+3
ZFRksgWe7En0DRXfFqBvIbupKVGXCJ3BRTQUbDdkhTYeXaNw6HG8O7CvHXS7dkz7aNLnpYQqZ4zv
33k+rxJaz7dzhD7Ng1qMx2JEXJfePtDteeLwJbf5idVVVhTdw0DzBmYJ/E84vQeobnUyKu9Ec/vC
upEnZKsBDMHJzgJvxCHIuTp2ATMonvPjEnQ8XgPvPhq3N7v0UTyv+XPFcP9yOn7wBu9S1QCyO6gs
ieVdHgMt3FeqWVDmjXdTE+Jmy821qbhAmn1vZ6znML8LS/NQrTSDbb4vnHvUCxexaTqYhiHO9an2
jmSi755HT5CKi3gLvM8kkp+IotuxUjC0Bw+9cFuDaQ7PLnC3Y+Eft1K+rYvLpkK/WE0PEEzTgdoj
L7d9sy0FWKEmq+Rw2GxbHfOc0CQMl1vHy++0sDdmW2911cOYFQ84dh5Cr3gpwv67EPqmhQZQMBQg
tXGXntbNvtrQmbhw+D7XckwiNr/iu02jQeJqlxnNJ3yWuXlzsnroXd7FvPGOXE9xvpX3wIu+du2c
eSvD9rM7sfQH27aQZvHdCsbSqjXpvNIysaJAxTE8Uq9HBzlm28qOFAI+r9r7hfInrQTIRAG0fKuD
+6Xx7qDU3YZmRq6Hmy+153/QQXmpXX+YbISLWrzgzLepbW2fbOs4Jt0i37oJ9rEci4Sa2YfYGgYX
gvYO3Yhr4zz3WGzzmu7HHPbZ7HGYq7hgOxJ2r3aE3E5aO8TdgGKx717wBC+ymm+mbUpGuR6q1j9F
MyqqPl9vEJLYSd6datlnnEM72YiER9/XCBA438TY+W8GREVcNF2xiwo+xe1QHqEuxotoP1u17FFU
vhTy6oS279oNd5DEzoWevig3CixK/VxXQzZsPBvW7gLg/NJrBXTXrikEwrT2qjPq009VUD3oKk/0
BvXFjJ8R9vBiX0TYeLS8FnB2z5ZNxQZ9lJ77y1iWb2Gnntt6UPHa9MUBKY9v7VxA4kYjiHKGpJ1R
R9lok6g1el9t/j7WYtcX5TNI9M/4oNUpKNY7ZbEwr5WSn5/LHE4h8ZPVeF3CNGcZLb0yE7R7bmi0
n9em/cyNiG4mo4bYXmsWuhBszap5WGsLmlF1+G2xltm8IdqQQ/6gtL1Xi9s1nhclvtI7mnfPdWBf
ebuIjLb9tgvD4GvYBd5+soYn3SDaHfeKR6g/XxpP3i4e8dC3hdeCczupnNyCXC/jZe4eBNSixPXI
rJAFD1VMD1O5YnW0xfO4zB+wVcuD6qK97OmzVPo4bbqNh9VbdmW4zXK3Nna5EX5UvRdAy2/pNpYm
lvWoaNpTWeMrMex2yju7w2OhN3BTIAnAMkI95PcJTIH6C59nksxokz/IwhNgVgiKfpZv/BxAXn6C
X7M98tZtt0xPNi1tALGB53J68tREjtCx1rMJ/OGLgpo1Jkvf8Q7VST7v8slfP47aFIcejf8p2lby
cRj48BmyyvvcO8gq4VV0mcsczojALV4qH/9r8iR36n7QgEtK6z3LmTX7BrdxGwqdhEgBFcs03cql
D4HEdBfR+dDsJ0eTzSega4zos14tKfFCKMMV/OaCYpfmPo6BIIJQHmGbQO2YY7QED7zmN4QNT/D9
sExD6XZBU7N7xdiIEJD14Tr1OsXjgnfdB2tcQ1OPTR/WMRTZR6/tJEKPCGtt8s2ZYMDDrz8FVfje
oj5OprIWCevmHlZj/lYMZaplaw16n/U9UOEHV0rvg7DtHkbSkPl8O5jRf8wJeR969rUEwR8Fm5ey
EEoBn+s3tyKB08EuSauetnGXo9QmcDmOSEAZuGrozweFr2+d2REhjeew9AJoheOHsfbOwCgudiZ3
Y09dWhgbHAqro6QBtZMGuNTjoTQ69pRVMeI+O9J0pzBC2sGrcND32wdoFxcTDp+17z8p0W8xmdr3
LXD+HRnmA+H8KV+RC/EslPuV6WPJgiPDoltdz+NyRQ1jcn84CAgV2cRHxFVEp9J6npHv4Hj70Eru
uWt7cDodpDM4SJ/8a3RBNCHf9dSIb22vmrNkE4mndemPuqDlE+sW9bQ223wjKDY9lct6kWOuofZ2
nH4LsJBTmEHVBbaRQLJhCFrkA/uogThcVk9zT4s7MnntyUYW/Z71qYcDlPf6G7w6IAaLl/vv0aDn
WPYR/D+s1gRhruU+0KWAhD3RjBlTvBaeYucR0MiRbAxrPjBrR3a4fIM7AVX26IUtv9/GgKfLspU1
Mn61Qa+tVx/bqVo0FHa8PcqAHVugUOAQ5ZpByII606pxeqDrtEKk35CcwhnBwg7qIfSOWPuOHFc1
QObs0UGZNaq+D5HCJc4adu6ZbR712jRnNrfhDWsdPUSRZ77ThRWnmbgeSSngbnGpaosXJQ3vbt0s
PXxNpXyuZbEe663pjxErlxuS9wJsMrJjEM7YmOIEJB9YPQE+64bgKj41dyNtvX1O5uWQs9buCR+G
U0vgldmiCQF8RYaledcFOxO66t5zHQ7iSox0TPCUphfDWvYaXHsuKzs80JmhWWi2EQKCJ9TdjJzh
kU/jlC0yUCeIV/5uIXCjYsPmbic3lL21b6ujWMgIeqenVTq3Ene6CmubBF2uj7lXeIlHpVkSv1j4
qXcl+25E0VLgaCMzCR+jOiNjgVocKHHUPhJtnR+D66Jxv6EUg9rzQuDXyGQuFvWJzH752oqxzgyM
hy6FeQpFqF62rwUc13TqNXtorsKuIQghyppVb6WGwdlHlX9bmdWilpUSNQoXF1qFy/0QgPlLdddW
QeZD+dq5aS2y2ooBR58Uj264eBI6yTXDaQdY9ZF0NdzwcLmhoy0OZB0PTa63Os4b6HUxyIUqLeFF
6kfR98Ls8rGuyswr5uYbyRn5mttoAXIX1t84C3KVzk1uP+VQIl5nhnhOPLY93+J5U/K206wkoBC3
6hNp6vVTU/qtQNIQyPopcJFnd9xEw2piEHgt0jANmoZ4XgI7Jw32BITqblgK1HcDwT0RzgzhxB7y
JkTIzengvghLnAVBXgzLYWtLFHq9n5Pw6OhyEOoqF3a8nvEUS6pOIm+jF4levU0d1ww8BXA5k01t
br09KVwU7MLphx/cLKiklnGs93qaHMuQgxl1qiMIgLEVAKsyNTSw6+toQRk6IAdMkI4TbZEUfSiL
AyAvfUNWWY67kc/jOwRYW6eGWLg00xiNETRc2n8AuYIbRonCK5O80+uwG2nB5I2WwJYVwfWXqnDe
QwEOySF0XrU9AkS5rqayo0tqGNuaGnpGQ762jQeHUnoNTloQ5hPC5maCiioKjlYWPwS7wYLhKkPl
GyrKKWc1AkIcF3Rqm4kHWeXLxpxKXLkSNpMw/W0wF1IBd4MO/FmIWovbpZ3W9dbWovloq2lZ8a6p
hjdCJuJcXPRiTnKgGqZfxxZGSx59o40T3/MANUW8QSW0p0it5kGWs2cSC7EoqQYwEIkn2w2aCWiR
KWZ2lN1e+GMzpzYv6jajCzSk4xT54zfuUVgc/uY7P9Ul8rhL5BCY6WCjRnzDiTHW6otZgRFm3RhN
ERSEhoEGMVHkHsmIgtpvRzOdJsrkF5gcbk0A/0xrOuU5ABw/8KS/G/y8vi2iefs+1iua/sDv/D71
ckxc2PvGC2VWrnroUs+HzxGPalJl2i6mO/PF0fU8X5GRPSrvobq2ZiWa0UpadppaC7UMa0i43eJ4
COQhiBAiPHNvasOncM5DL11WZS4d9IwiCwogFYkpdDFcJsUKlrmIAUgIp2uQcJ5BnZyH0YvEaapN
dx+u+cYS5LROI67ZBR3WtNZPFWq+4ZZOxYyCZvMosJ0gxzKE8bZ4KOsbCR5p9bsej7PauhgsFMCR
hUc4iUmAQiEjc8PMbg49glgtqJooayrrfSkRTWPnDnAOlA8yQ05qc0Ts1i0s83gMWpZIUeGD9q18
mL0WAAlInWAGYlOXLMEKhgxZqwi2kvHzKE86t6xPQINsgbbLVS9yW6l8cMWi3yux2e24hGXZIy/r
C7IbAw/tvG8LMLQVirb8FXMSVnNLSquunGJkVxhm5YQ7es2ZRRk0N+Zj6F1LII5IcoUq3EoI1NQG
7k0MwleJL5cyhFJdDUESIhPyilqXyRiBxb54CBq6fV36Kd+Qkc2B34ye2j7UVQDn1OWN5DFGYEzv
pN9MnShTQjMcl5APlw5s6XfYn0jOtiX+YtZFm11jgsEUrxs1BuVX2OMy7aBm1Am4LG/95sNF6ncF
6Jpw70dzUSZ+KZHxK3oEVVCHV1Vxo2nlvnMD2uHIBs1l1nZ6jmJkW7fmFPptMyR66cBSNaLiejdH
YxnEylT0deYLd/ueh8JlIRX55xIi7/QJMd7R3nReRYe0qESPczwcligZUe5AMPaMd0Zbrpo4wJph
wNJD+9jMg3/n2tzUSBN7jUitG9opdpMGZ4PDHC01cBV9WAFDAZEFZaH8ee6SGtwxnHCHvhC1nmHi
jMRnP6Sq9LW90ayIOI7FAccnzA24FKMOCex+ePpNOgHZBRNcbnzd5XPfT2/wMOXnHEYjdFWi6Rdq
Iu8tr0U3p5HTHI0+FgcC3V3Eza4Fgi0eoHiwOvGFq0sEkm3Iz9XiDRdedU2VKGU3Cg+bA2wevQUZ
cpy0IzuNERqIdAFiZtOxKUSPO67d8lSTYHIJNu9YnluWMyBlq6hvdYEfnMxADKj03tXwp6VcsS06
u1xQ061qxywD6KUaTw+nEdlknpKu3VrUnawuzxbyyBbnMhi/GNe3Ztf0eWETqx0TiYOR0u8d67na
l6hRRnyabfkyYv1EENd8IfdU1QCmwL+u3R4Ybv4e8cIDrzwURu69iQ/RLph92L7AmntQW8PaoA6b
ylYlizLBdWzEPNz2kWJ11ldCII0ZLdtlDDEkINFWh1U8cDcANOkAoqCDbn11M1AzrhmoGZwcrBq5
PW7tiBz8ipezWZBPoUsMfldkHKqgTcKlHec9hiEEKzpu5ApuyhbiXMKp6RTY5R68wEvduqtu5Dnu
krC1xN3oigqvjCXXBTaTCdx2R0LeV3seLWK6HikUaWGCGzv4NzGmn0MdSFBBjPMJch0CiLQkFOTr
H2NMQCdLrzElRVOVD9gNoyU4mtiw45PXxXiS9cH1v0PEPwWB/jhH5k+prdBHmIRCjGZRCA72l+gU
YVxBmq9ZykPjP4YSqiPreyCpdWt3kKURMC+4S2s8iGQRA8KWfwB8/xZE+uPrX1NhP6XGQh9BGQHz
k3F6zdP8/Jmh4pWbE3j9sW+2HVHlfAipAy/hY+zEf/5SSG5FQobggJGg+fmltgWFZ1d2LCV00HfU
R0PuAZhL66KWj3/9UuT6tn/+WBQwMQ8ARgbAG8Qv+ZxCYXfPkFxRZjiQthMUxaJHgSnSvPf8czVZ
CF/1gBLI4fDtIMHHkx/4/yay9qeEZYi4kYQU7eOygIjwy7tAtW4mnBosLUZD32sUpnOy1p6Ou143
Dxbt2PZvXvFPSzjEZw2iEKFOoNrhdTDSH5cwmuNcYU/iY7ZBGbfV/A3wjZ8CAv5QDv5DXwAQ/OtH
/ecFxBCAEgyJPOiHkl6fwR+yf4NZS97Pi0hhyzQpStItxmySEHwgUh1//VJ/epw/4tRBEDFkrhhS
3D+/1P/lwUa/Jyp5EFLku2TEEB77+fX+OeJJyZ5V2e+zm1Zoi/8uOPqn0CFC4oThRkZ1h8Pn12f4
vxlt/J8EqqWEukeREveRqeO/bMDJAY5fC15ljRFs17QV3deE17gSbJUMkI6SYpBbjHzlq2uKPAPJ
0SAN05QJQmjXjmCFQR1iAsNff63Xr+2nvYqm9o9v65evtanzFdWTqDLXlIA/aoAI22QKbEsPoyM2
MWLURVHd6zyi/2ZB/em5/wh7BtgyjBAE568//8Pa/euw57884n/dIVziYJcU0QisWlTOv3w+H3qF
hslG4N2DkBikWi8t6jxMdMrL9K8f5a8fCPsPKUeCOwVzvxhjv6zYgYFuR/deQXYmcMq2oB4A7a9d
uGR//UK/fiasVOQrcHNgOFQQIcn985OzPugXxJnKHVkdHW5FO1ePPFh9wD1gTubfP9b/j8v+j78F
X/E9/utUzu238fMfMzz//J2/T8ojv/lhiKtV4ugn3L+e+n8Py/LfIoxQoMjbMyYilDb/SMviJ7gg
UXWAceeMYl7eP3I55DdE869BWoRoUBWgMPlP0rI8vK6Gf+5wgcCQBKEKZh9FjrxWWD+vlnVU8xIi
apACFuB+ysYQAvpc1YDZpA0nnQRaDp/7tl+8bHA0uI9I6X8vW4QJAFeAqZ5z2XXjDmLQeAosK+7X
Vq2YHTRi8Avg7s90XrdnZ+hk0FxAU/R5t+wwJSe6myC2u5Sr0GxJM/YuCeawukG7OT5RQjFSBtjA
oSezSlvkHTNAoz3Kkt6yHYYB5V862E7fJIYHZiyfhotZ2XjaytG/8ZpgvXTdUoMgBNTpF0X4hvxs
uFOY+nMZ+0C9B8gSoHRfxw+E1eoStG2YzCGHm6EYSJa4KBYH542zWxVId8lbgTwEjxQsXg4bT5kB
9ld1nem1aH2cC1EdXCvtN8SMEa6kvHqBPgQ9Tw/lp1VMiF+UOaRNVD23U2OCx6oCM8G0sx9NvgSf
iW6hZbUdOv4N2/q4Rl7wWjvFtszQsj2PpOOniir9hIF4AuPXuqCDSdwX+xoBoKMah+DGq4PtpuDC
qbhb/OYbSFwLdAFQSoZgGLBuDUzrkfhDeFuqcIuQdvTWe4UALlBcoO63rsDkoSlsQPoVCJGleFjs
Jpprc3KLnL7KCdwk2jmdnwBwmr3GaQYgawUuFjl6x9TU3wUUqrg3df3HZt7oQwiY/wUj7ySkaR+p
JAMDqyOu/ogwV/FgtDZf62XWN1tU5nsYa/I71/WMSMoWrcCZ6wrOSNOot9ALIh/QMJnPaFwAGue1
f1yniB0VJp48zR7Wb1KMfnPCBLDoyOU8QZec5yc8CA+mxegvByoJedwwMg6z4rZCfHHWi57gPCrI
T5Z2bcIiDJxL0An3z/6yLbu+Crs9RhPCe6YgGZEQl69NMS11SpnZnkLkoB8QxXH3KIggi9RIg2Ps
2yjyDDUnBeYzeJCpAGFOEHElwip9MIg3WP0sC13XnOa1MIfei+AnNQ6kAkIp/Ru+ffSEgGm7KS7k
OoAO5PShh5IVBwsCxmDzVX3jFXXx2DeY9QSNMUQh7QhiIhzZF3NjyoXsVhCxL5GN5EW2TYNFgwYW
sE97NS+EuHDrB4e5qfTJmRCDtmDasYMUvDJgNzDuii1leSBNOd4ZOsqvEqDKri788LS5gmFuBS/C
05JjCfKiYixGeQLXOPSh++ATF5M/lN0NhkIOu2X25nPnwHZ5VJNTjmVNbloCKmnTfOMYKedXKqG8
E/eLJ1kWRCX5ShoZwnhqsb93iKEEj/Ta4ydIm2OK04gQibmBoWLxmIByfihh35UJXDYY7bSfP3IN
Vhj9bWNzNKJkbEAUaQz1sJsDlbLJEYkK0+L9FujuvyKCAqMchsz05maN9CxOg5DGGmPMPhnwJ/B9
Ro3hZT6zZ9/mpUR2nbGjE2r5HAae+cZb0T3j6y4OyAQp6Kw2P2PqIfoKrnryUMKZJljPXfOO6Ply
KmBIngMRsh3xiuBjM4hmjNlMOge1HT18TAW0iWTeMA8wnzGfUGktztFokMJGPvQIOKlKoEQ0aQeT
Cd7UVC8owRxs0WD5MFNSPq3Ie6VgttrbFTrMaeaV+LRWIUtax+dPACYN5jLqNaAfKtd0sF56jrRf
7cTVOWkW8okqQClLAq29854BTSLVHq49ARcdLuthEJOq7qDDbzqWrdGIfrNQb5mE6dunBYZPvo3W
A48/1SUsQg3x7gH5tuZku7XHZJUpso+zDMh9D/YBmk1eRS9NswK56VdFZIz5kuOKc6UtXzC/UxEg
OXrIIiWq26XHZEnsgxHnUNvI6j4fuPeNDRvgBzVDuUjLusf26Qp/uAcfjgDaQMQeIhJFFKnLJ+hp
xVtYKYlRqBi+hI+V49apbJ+DJUYqFXWtdP6VLWHLWdhaIq3Dx+KShwOcdoguR9kN+kJABGypI6E9
8TysUzEN5tFNjO31toQZ6PkgyzdIJ3yrEd6o1upclBQqsYCye+NVkAdBTa17RUN2hDUoj3VQwWnx
KtvuJih6+MUCkDd47j4N8zm4gfripatplzOdOazRATmTtRzrS2SRoQ8EGFo75jgzSMe8HQ7P8KYo
YMSXjbIHGGb1vlddf2iJ7shjo8MwjKPOtXU8jAbGeMNpdG4W13j7Wq+2APZvK4DiYAFBKPmIHcPg
8TFdTnSFPUP37LoM491m0JcD05cCMNHHZpnsFndW0hVchtVPkrUa8yEpPohZfOzRpWG923l1Sd4E
o+UC0bwPm32PuCbI5t41+zas5XuY2/odj7CJUq3UhDPWQcgSBvnIOOrdlkLwxrLNtW3v8khCq0cO
/zrRUE/Vw6BWnNxTjYg69uPWHETd+4fGRKC8uhzfp83X+W3ZmEZCCAM7rqZqZ+Z9PvqkThFUwbXj
gSWP/UKjzIDcl8ALWY7BFpApI/7MH+cJ4bs4KGx4Bo6MMX9s6t0b+iFikhrZOvg+Q8Ra8BdhMaWI
2kx3tV7a+wreaoDX72AGRCbvigx649Xl7EZcJG7K7xsMkoswpW9EMrT3lk4mSERN5zHQ0QfEzOr3
QuEzk7Lcvl/lCxz1IyB+7pa9RcLuceNd7yWhB9MrLtq1PBVbjQDCj/L2Pyr3/x8N1v/LodeMI/Pz
V1X862etv/3X12/6v5Jfp9/87Xf/Xs2L39C//X3szXW8zT8z9pCRMHwEWwdjkH5odX/L2IvfQOpi
GLV/VQ8E5mtBD7O/j71mv6EUCAVmX1P8B73ofzT55peRWijl0b9iOBr0pTAkAarVn0v5oBiwE13I
0vnDnKrDdsCYtFh/Zsn/ykC2n7vM318sROMMbRJT9EhwbXf/0J//n4iTXF7f+U9Nis/RmgSYHYBe
yfflL0ooD5BwpguCluPa1Cl2DxBdL/R2HYxReJn5nKlgI3uLGjwbCnDrQV+r96L084uC9YxI29Rn
IajKDG0XvEPhB7HYcsymdQwZe+ee8J2qPaZT19mEAZ4g4ClN5nWZ7pBQio6RrZoE6S1ASRppCvC+
TdIq5AFH6KmH4L/ZO6/lyK10Sz8RFBseuJxE+qRJehZvEKxiEd5sABvubc6zzIvNh1SpW6ZbCk1M
nIlzZqIvWqESK5OZwMZv1vpWWut76fnoZKbPRhTYjepK8J7SDAzMpOagrWe1YRvRr6Pc8bZDK9TO
SnX2dEmc3rDriNeMXLWV24XJxmoN61TbhXbyNCF2kZO7J1fZ1q2c/QmJxtRfl63rXRUsQ55s1P63
Wu2h0gy9PjduBGjLitMdHykPQhv9QROPzl5vsvm7jzwlDtCbIa5z/Opb58bzh5OMyVNe+jJbj72y
H/XWw8UdYqpkbeDsqnmOPpt2ToogN5x+IytoMEgYXcXGUG/pyEbDmc+TN1mH2k59qrDM3HTpUH1n
YDV+UuZ2sJHEFJ9Q1yDa0xonQtfJM5pFVhvrKyFltrWa3r7XR9N80qCU3k9GPTxWfYJvvJ4htlEm
NLRCefqK5X66K8aSTxFOkh/4cT6v62n0FnycUkPQTVI7KaHN/R5ag7o3IOG0wFCj8CHV0/qxCb3u
4Ntat2VmX56abBThysFm9jYtE7ZcG5x7C+XIGUtHs7ZdK9z7NBwfpWtq+xr0aB4kHRBm6YXGXe34
xb4EO8NDD42Ou86l1Xqo4WWuB3rEFFsDxoqtP2+YwqJS2Gu98o589817wZP+Zc6LHIyQUQPkZhR0
amJn/ACcpAUm5r8tdut63Tj1wMStGGmJoK/SXaqgFlB8cBfPaM7Y2FsQhLaqVAawXf3Zb+u1VNaw
aWvZ3NutG9erIinCt5Tq62saxdpLZIzTYzW2xqfNXKALAM2IZJunqr6WoHofzLBv9nnjx29+UaEa
0HxVmDetFYEVMDIfdT6tD5oxj6uhZv8Z+hshQgda6Si6nVADW5lqNDGxx1TeHeoIq9pZIAW+lnpI
EYaHnkF4qcDq5BE+vNib5ZuMxVAGmVNRAicx/tK+ZBcV+UXpobEGxxqoootAxbfpsPIHbrmgxG28
BkRpXU+idr+oDGn6xkrDdA68JPLPaW/XJ9VTU2mlad8xbdRu4lD3yjVeYucBh72GHmDOTX/bzHrn
btXcghQpEnQdoUrEJ3aD5AO3dvtQOlX2FNX8E/wwUBu+ZuHILZGun6dQL469Z/KLllnbn+Nw8m6r
pMIdK2ZjeGq60sKlZek5S0kOs7tsWjpaPu30QIiCjcprBJubZfHO0hzjPplVfRxxsh1Nu9KeM64t
nd+nr75rxkjDos2RWKO2iWq0E9D9VQRLKuxs7EN11NR3fj6037qc4lcoYBPQpNUX6XglgIApSddp
G+WBor0sNhCfc8YZwkFzczCVLz8HDfeMTBv31kklEr3Q8scvoWZpGxPeO6rTxcshZjCCMWJcT+RQ
n6WVHZrakCc9meWmRC56VCKDCDDq1SbDtHwXNqG7i0yuGzarLWechPirIdrRbb/cG73qr9oegAFn
wSIkj0tQK1l+bym9CnzMh0cbyP4VWPivTc8kpXZwZHa9K2mQURTGMeIa9IAofErKphpky2GALLYt
M1wCltMlW1XN8doMtX5Z7eJh7iVo/pyT1hHpfI0wwNqUGeVebYIzmyLBhFbvureijKegLvueVrSy
T67V9dfLKjYYemEd3c5yN+YY2kczlnhTTDUfah+xH+oI9FNlrjZRP2L6hwWD88Yv/Pg4xUXN4rCl
F8pHoFhCGSsDlc1dzwOQ8b+hgK6o/oBqkaPGdhLtqqm66dFx7UWXKJMbTNjmtYiByplRjwO5HkLU
vFIcTJw5uyhB3JvmCYAAUXtrOMNYCeauWePWtDczyoaTmfeQnCmF72tXZscw4bhRqjf2Yxn1Vz/r
o8Ipzo+NFmtvHXttRmzOsOHVwa8zMtxkuaU4das7c7TdFdOjFjNmWT2VWTI9N4QlYFkyZ8bbnqDD
LJvmsY4SvPFt5EEKYO61ynBZ3Ihex5aMv0YP4MOoQGtNL1jEV95cMYzoUMTvC/hEp7J3fex//Wze
JCYAgH3tSxD3F12W00vHvdLqubtuXDbfozGxnQ6FMTBh4x6FbtNnZw5fG+tMg1c/7qLuKEvbPLg8
JdATpOWI7GrADWJK5KkCjaZXCQGCzm53Tc4Dpk+n9BGJeHpO/Tz5ZkxK2/DvtNNYhOXd3Mflkzsl
7t53o+TIYfhNK6ri2ekwh/glopwU6BpzrTFT69bT2mDKwJ3kAC25fyk3WMpGATASnF4yo5nLMlND
7O/jNKkcnCxw7wNjZmgTI6PaTiATtrpXaCvoIFWAv0ZbxPvTl2qQ8dKXDviGS+ubN5Txd9zZ7Xke
xAJdSPUXbWjGqxGUwAnlFYdt7OnxO86gQsMPmKLlMKxyipD38vUHHhQP0PNy6TGzOX2e0HTvauBw
d/B6Rnj62cCTZWbqe1dg+vpSmYmxS8w+2WuT4n0D7nGOZeiqLZYz/+pXJfr55+rv19vxC2P4n0Wh
Z9kCVuSyLjMMFo4/F42/qkDDugnBiTc5RNeyXzWP2aZ9OkR7a5NstGDe+XfwXpqVOoi1AdK13e+T
7V9RbJeK/1eF6Y/3APLXFijulxXrb6vgeJhywAKSE9hPg8KLdkBd0IPzfwrCwH2Byzbrvvmavolq
WjuCMBAwMSWJt2GS3hVeiG3qqbbuWitfVxEWtPDKrOutNOa1tJ+qTP+5ffu3+64/YHAvH9qv3vDv
xv3tgDCdMAtc9DsG+uND+2TfFjfWptrlJ3sKNivtvTp0N+jTHdStgbb98y/tgtX+w5f2q9f/Xdvg
V2EKLYrXt3G5oPMPxKbcxrfOgVnCc/6OtWWn9n/xmsvf+WevuXyJv7pQvAaUTWUtjK1rDJNUKwCi
E5C/6X1zU2219V/pNhai6h9fcCGtgTJfZA6/a1e8VNbZzHoPerN224E33vbbaQPsY3ub7dsg2vg3
eJeOqOP3gbUFQin26V+sT/+wj79oR9gfIbDwLMhfv/2dS3g5CeM/cKXuyanUpmbeYMcfsp0Of/7p
Xhbgf/h0f3Ub/u6X1flsGyvkG+3W2fsr/r2dsWl3/qq6Gd7ZKm04sa+GtQkXfH7uGPausvWC7r68
i781lvjvDO1dtsX/fgv58F527+XH9+aPq8jlB38ZXhg/WYuyAMD3hQL4q/GFa/3EVpq5M5Bey0ef
wh78x/jC+0lfdgysiJbssGXA8I/xxTIMcfjrmNa6NioTlD6/wIt/nN9/ltoFkOk3tw2AQHcRdDBe
WU5Sj2HJb69ZlWrmHFvFvGackh8iUXKvjpkTsQ7L1XXVIwQya+GpvU6Vfzc0WXaaEaTTXUlVPHpW
LMBaJQVae1ZQm7x3AFjRnUzUh25sDtvccG3sm4az4LWSnagLXsAJbYGTDNEozTjJBMFgSZ16R3r5
tV6i9sUB2KfHqbSzwFddMewj/G7vbZGmyZ5Rb/ZkTAUWOnzzmNYZUn5LiaD5wLztXU80ACevxcUq
Y7z/DPc7gGMAvtDtNZlXPBeqLzdo9bECxBPmstxPZpaPfo8k1qqURxdoKe+6ErFzD6A9f5rdqfw0
kO2h6YRw+x67aXtE7e2tx1iD2tVXNNt4LRqmtItp05HzQyMH3OR8XFexXU47FJNwEDBBSN6Q5zrf
Kcqd77lnSobCoTQx7qTVOKzmRDFICAeDufUwWG+gJSxkoL06z5qmH+EDu98Li0i1bTiXOZ7PGtm3
PdA0oA+Uci3Mub+Log477CR1SHwuEVpfkKBmmLYuXNrY6x/cVHXbsXX0DxJnum+dsqvrcrCLg57z
B37q4EZHZoIvvRfVEwhYAM1DX11Pqtb8NQ1PwbmG2vu29Udk//0o3iWNRLuyrKQ1g3ykTQYb5AF6
Gr0n+IzdKyovSe+vyzcSl7w7j6+yDUSoYUDREI5/ZeGdoXSMRU8TqhU3fhGX75ZtWC5u6358c0rN
uUOOazP4d/2vjEAw7VagAeAllnsaR3mtJ8UEXwpCk+/RJE+DUHe5maojIr7o2u+i/Dzn7C1Wjl66
H1UOG8dmWAFA2e4OChsbfW+4TcZc7VmyA26r9HlfNa0HVDTOTiiaNRyaSc1suJrJGonsVwcV5z5T
DQXakIW3ZjpK3lDafYrSz3ZmWmvY6Fq6+5AFZCTog9y+ki82OGCP3WDWW+sJBfB+mmpgU0D/ur3V
mNq6BHUIKqQwcUu01KnAIsxaW6V6xSSOVCN8SWCJUA62TmXcWXWqrBUjlOGDPUv8FsHHOabFnH3V
fC+MmV20GNjnZSlWjxCk2C6kxjUUNPltAJvGvmVEuEthqfR4w1olZMVcZxgxKfEBROXunNMvOEwg
QG9AdVn1jaO9erFtXQna+iEole+8SU6spX2vpvSA69k/m5Ws33Q7HK7DLgnvjKnqX1G4RsUKBV5m
BKEA07ly8Qxx83CPr3oiCXcyU9ZLL7IebiC91Ksyqxi/BUsp6CFguOcVJg15woLDJpwppEvRVJX5
jEG9mG/GSwrdvATS1VURPSb6klJXN2nurd0iFZ+JWWUwjZZIO5O185W85NwJ3Fgsztv8sWM3+1xD
wQa3W5SwNoSZPs2OCp8qu2GZ0ywperWos+fSjUd5zLO8f2lRlVdrIyrtd9DN5Uvq9MUX1t6QDhJ8
PFRcZJadW9LbBjxxuqkdcpqo5mj3tsQ5WiNPv8HBkPRrPHYpi0R/aQfIqsPhj1x/eOn8meV25g3G
A6iilnyqkLQ03BEz9nmcWI1HspqWnnRIqYCxXLFNRTx5ga2sQsAJ1+Czprav4RVLvRf0X9PW8hoJ
HIp9mg0wtdHhIAPiZnGrBP/sVXaFd5TrHj2FirXH2LO0J3ytKfNS9IgnsyJljb8zfJFpRTvXWrFq
gnTyuq9gxeczkswFwzGAKQZZwOTXzF3lbBk2GRA+Ct/loVFymDhpVd4lKE+dNbut+HYc8+QzGapP
Ky0HEI1Q30ItFxh3inhjFQgIVl4/al9jbRjS9ZCqcd8lU/JKM+/+XLb/rfLmv9rW5WcplIne6N8X
LgB03r/9z//4F2ULP/ZL2aL/5COQMjyEmFQgiDD/sXWhbGEnYDKzB27jo3Gl8v9Rtrg/CdvyTN/R
9WVF4ThUND+2LssPUZkj50R1YqDHtf9O2YKe9ndlC0W+ZztMBSwkXPxvKWt+1V6kZqFNxsy9QipW
/wpdyb/CGSCebYBa/rqzkOXAsKzXdj/jYAllFd6wz8cgm18UDXPEanFh75osakhAWo9l6NwlfvfI
HhBRsq1lKH6U240HpUr8DI5byN1IUg6pZ0wBvrm23l51uYnVvKj6+BIHKAJJPODygGwi/ypJCH8D
2lrLXZd4pk4P3zi4/IqJe2Z27NeeTajJGHUy6Vf9COhx35feJnPs4jWphvhI7cbZ0RZjlGw7Nw0Z
C2rCiDdJXhP+GFbTRHJiWG1U72hfozmEmFVZoW7t6UGim4YPblc5yruK/QK7mKwiYvJqij1M3mEN
qwwHCmQvuyR/rDT9q3aY4IeRXhgT2hLYxQg8EB2q3FRFWt9n1H+3c+2zoUmqRhL6xdjDtEdsTibw
mImnl12/C6fnpXA26ttWdxg3dqMbnlgsAJlrGmjvcGCIOrSwtKVJGx04Z+R7a5Na4tdN/31ghP9Y
G6PFw3wOzzgq5ZVVZfa4iStHrCptzrDixuT4lV03XRcDPJ8MoM8erY3L80JpRzI4jc0cjx3oT9fp
jyU5k3iFGhkypgXQla+KJU9gyuqYcmuahlcgJcZN7xeMWbKuNrZEbbRA+C7hBEo34hR0bW1/4o/G
4K+negRRhwcr62e7aa8bTYXFmvIFjRLAC45pbG4QXRkkXXkpUy8M27b+EmIuDmqeTjdqrqpd5jTG
oSSW4W10xmEzs2pZAxa01rhyFCsCVz+HY5Q3e0cDQRdIRW0XdlL0q0lHQw8iKmVWbtgTijaphc1z
XMVAtS710mhOxXvUG9mVKK3hC9TX7iERMyPHpdASZUfN1Zpd0gYJV/ZtL9vso8PYDQmBQg3Vs/dU
LcUbkYTRxsJ/TybH6CHxEEXfiFUX2uHZudSADMw5wqdZWrejMZcBWq7qqRe5xHddUkPGc9lti6Ww
zM0pOiHp4k4alrqzHPkTrXTduzwSQAWAxTUrv1PiSzU10XESkbxCugD4aF4qWnepba1LmQsTiHsQ
JH/+oumxOhZjSPKiylTEc97J02uWXsa1hoxnTSxdugdE0t+VmBIpq1HpQmuqFREYfdG44dK4NJ+i
SuZP8uEozfNwnpZzIrxJlqpdJAn1+6Q7W+WE2nMPT+oGtYu6dsQcUXF0Nt9poeF99HwUN0U72ljk
lm7BXfqGcukg3DkDdDFNrhbElxajFt1kUb4trQeO0G6fL/1IX+r6CztWwBveRGjzurk0L8KAPTsv
HQ2I1vRELizOdt2Zym9+1EfPfNN0QWSP5U8I1+McokrXfwHWVU172SLJqkGt0qosHZWr4IhbSP8W
RBVHa0AEpc+mryk/cgvn2QpEI6uNPNPiXbj0a9nSuRn91IONsQfuYEbnWYWEq6gYrIFy9i/Nn770
gWz+aAmHxk1PYg6L5znjubGzU0UfsvSReTZFhxz8Ou/eFeku4vjeuHCYn3MLc3ZuCWLasjHRvtqX
Z3y3PO5V2+DU8LX5w0OFtjKb0qZbI/TkeuwMw1i3vMZDgW/GWfec+ADsyDE6lLE9cvpcio4R4aLE
fG7Lh1yW2b09TSaiOVUSzpFmeLJXeEiTF0/F9QtQNHCMyOaSQJd69ZgsZU93qYAgq1ENlbU1UqRj
+M5XJDjkciUTYjZWMej7OXC6aN5OhjXC2pFAfSNdzDcpvf/OjdMw3FSGUHhsNQRCc597iLB04QlK
6SI7uzRX4JQMecYkJyFDcQVwTWllzd2Ee27lohl7No3M4RvNRXtTtjP4g0IT2eeY1BACfCdfW9hO
mHRCaA6tgkMjFyo7D66sVsCqnRW2tvhoopWCgz93G8No4rMPd3vdoVY8FvlcrQfaf7UG/5Df1Yp4
kHXbLttF/L/0e1ky3Lgs7hafUATClZQYClGMvOKcgEIBjzmo+tHifHno/VT7aG2ZYtOWmXvf2dAb
WHZ4wKAb6ALs+KNHAI/2PpwLJq96bzn4XLP0Ne37Xqy0MbN2Km8Jf2kEmRwrbtnhyhjN8Psgmvwq
x9L8GTl+AucWv/zNFHf6m+oi44ZjaL6GvQ9c3IHHwl5ac278zOV4JVLTedNqp3vjeNV2htZUW+SN
/gJjL/S3EDbJVdaNxU3MBf6YRgN7QCB226K3+h0RmSGUIM8/9EBQ3xJia/EvD4YTrdkl2fAo+/Ij
A3nNf5ToJ6sf9dfG4ZoIWonfNkxN7wrxCGqrRRzArkM7GmmZPfijY35p9cZniZYXrcWOIjacAI1A
+BkmoSKaN0Gd0MAZf2gNF1Uu/9kec6S/rXJndIEq9cMps1EAg1SI7wWG7L1X4Chc1fNk4BfX0+pa
gXtr1wo7H9ZJ+vYzAw/ADLKVDOkHK5Yr08uta61Tcgdwuf4xsf9/oJJeErP+fSUdvLfv5Xvz/Y+l
9PJzP0ppkrswgeF6c1D6U6kug+lfzAhokUgJoQCgnmaepzPT/lFKOz+RtsgalqBMRoSYWChw/1FK
Q+lFvoTDgR+jq/5bAiZiwH5fShsYfXTMgeR/omayfzcBTBbsPuzDZj1aNcJY4yKMTdslBUcselkA
gBagZjS0iNGHU9dY5dfoIrFFfKrfJViKzbW3aHATrROnGRv+djBy+Qj4KPnCupmFfJYi4CXcvMBN
1bUQzsRkPRc6RssVp/74BpEbBTDNt4aDBuLAF83EBm80fneiEm4+PAcW81LgIQklW4D9L+w6STB2
qUr4OGkXBsQ8hVmg6Vb/BfPyeIwuGuWYKLovWdPTJzulnRtHyUo+DULTUHGgG2X3lBXEgmxQdtig
84ZCbin5Oh6UqcWGX7fPoo7ZtmppZ/DY6tP5tjCRZh9nqouT30mSMuwovykmbsZkYoWchNlEfeow
j1l1sZmCiLeg14GGbHZ23TTzZlRNw3BTX3T75KGq9AvzOkB3oq5CbAGWLkBZOfGC7hudLY5rtPvY
wt8sVshvetJQSWLQ0Ma1Rumbrt0RI/sBDuMENxxV1G0WGfjX6BSqJ3tu7MU0bKtyI8mXeO3JvqpO
Ggic791Qlw9OUVuPQ+OTTdJQoMsVcjfjJGwZQeXKGsN+h3QQ3/PryA/rkiLULYFC2eh0hzIiZAjg
KjAgJmQRgNlqwnmtLLHVgBNeVUtIESZl/dGZl+SiLFZio0Ppu47hUm64mIyzPoZGUHUsTJoiSXYQ
44wgCh3YZnNRFod0SUmylrykeklOKpYMpbKx5AN5JuVXy3Kindlq5rGO0/zbyPbyXC5JTJFIR5xY
pDMt3dPaWhKb5JLdBH5r5CGYqaMr0+gZzllFQsqS9QSBgIu/WRKg5jmUQKHm7DByXINqmciK8pSs
jrXlloGVGN3ebmt73xiNt+mqzr+1cfM8JEv2VJZlyGfYwTtYpROaIWqegYkOiVXM1iEmZsP40eZw
2s0l2krMdEGdIO5Kj6zpql0isIxhVtveIBYLlGoHpFBa9UMYovdlnU+Clj2AbUiXWC3nkrDVdjJ9
j0192I1xrB1MHZ7xrBMdojVefhdXWOj9S2aXJ2dY8DmCMtAv3rEp4Z7GkZe5oDDM6dpbcr+sJQFs
6lPoODYiYVSuJISZkYvFHdTUNilbHZsN6W2YdwkWq/HXowowz03ijfvpkkDmLWFkRLd44Lp7a5Mt
UWUxK4RrscSXNakznhQ9XzCWuRipgbNhk3li2vUGcjjXIs5WC2FNDGYR7tBauwgQB3+bOnVz7Q5p
vqsS6RwnKv5NsmSrwWnN38olby3sQ3HSDGXcl5c4NmBytc1Kn5IJDHrUnLs01o6s6qEdNIpja1O1
JSRaQftL0IpvyU9AGw6IuNiJ1U5dIuHi2rHuomGIDhzWw3tyCY+TFmZYpMv29NylciI9aGlNOw99
UWQRiL6mCMzQaSQkwS3tLDaHpbF11fdmaXbdpe3l7uWrV5Va+7h6rqIypD8el1bZRtqFbwPKfGBN
GRg9cAzrOjba7xh8MloYNJvgqUQ+Im2mDY9YpOwZOcN4dkpvChieFHcRk9N7NiqAA7s2cz90h1z0
urbFkYuqOg+K872ukBgEmq1VmMIvowGUhyElz4hAq0py70q62rCpaOTuQDQKax9fxgz9ZeIg8uSR
QtWw1wWr+ngzSgVQsTayyN5UlWIqGC9jjAwK7+uwjDbI7W6aAKUKhYnbYNhcN8sgZL6MRC7TEbeE
zb7LfDSVBrodUtGQ1QfgvPIv+SBC76rWDX7BiBP0ZeiarFkZdRXv2ssgBj5re1Uu05nOAJW5MjsJ
lJZnBqqn0ohzFDkloHgdJwcKsWSGXnAZA40GfQv56YDrVyRB4euotTpE4zot9gzuPqwaRZO1fsD8
fSi/2Bc7R7k4O/TOMAO1uD18r8bZo5rx1Pm2vnEmR7+tnOr74JTRmtjy/rq6mEdgJjEi0EmBQlSW
7lGatTvy1vGb0LIGqSSWkvUyWry/v6v9LzrMpF759yXY/yiBikv124i2H1NQfvCXcab5E4NH21v2
rfiasZ39swZzf9IN9qnCIo+czf3iFf3HFhaXJiJxk6RUl1t3+aMfNZj9ExWTY/gIDdCWGzh+/844
8+Kr/uc6fxmMIvgUNu+AN8A7WUq0X00z/7OM6L7xW6Mqw1WHNbTJQtJ1BI20+TtFQ2cXaAFrZazr
pijCK+jlgL/kNHVoWwe//saxzcSLrBV1PWKrXtt6712Dk7FPXukNmOza+esMi+bUk1DIGmd2sJUs
uKggm0c6U/Jv7OcylEwRfQUiLRp7ySq50OvPaEjbPYoof6PVEF+FSJw3VaY1OSVmf69PmngjI328
kmDP7m3RextQmNHWa8KRIc0YnRNtBNsoE5G8NiTuUF+Zon4yego58K+XPtuJm7MZ2dUVdlzzVM2Z
5dDR6nTngIHp1KfBgw+hmq5dqjYt2gjGZvsci7fYVlPpoWs0+pCVBIXhJxPJUgRtUtdj0ENuPtDA
FZAmQndG8ZkvstXL1kZkUzfwGDbym4YCtA2sZcVTRiM4J00QEhIoRMz04XjI+3UHIdkk37NiylGr
2GnY7OW2dohCox3Wrq3S6w7/zT79edF0WTrBniq+VMsmCjZDdKf3MZOOyJmbb9iliY2hoBHadmbZ
VAdYcOavbRw5xAg12aHShPkcsVHbtgTk3UDshkZFYKXOxEyU79Kpe+C/Ujf2sdmb00GjAn0E6Tlc
ub2Qr06mUiK8DIcDfhoWV1rM3rvNqvxzLLX0sa+T9sbUMfZBUINuylb+uyLI9TgIrbx3sMq7iF2T
7KSlxWRt59a7Ic/L/yBURJyg4cY31LJzEHf2dDe4Zfo4pUK/n3qGxR3yhnE9iKLmtYeQMXfINPyr
bsYVkUeu+GzGfJEQEHlCTr3SP7zGbwIzaSl8vDBCQeZ3Ux4gg60OUFmA4Hvp3CK57v3wPurZ5WVm
BDk4nXF7IYXPUvxZGH7G1iowsuaugROs85vD1JTIDsGrRMeeMLRHh8SWc1E2sJ8HphFeHzlyRXmA
iWrCKZoc6kYMJKBUiLvJD8NSu6LSbqdtYTfmdyOGt+MKdBdbBRfvmt1zP28SaEhXrc6YdiWHof4e
DZ75AoJIGxdgM0B1isCvigBb2Him/kWlEBVXSpTgj8kXAj9KutJb1/jhq0/7983UUNhqut8HRSyd
PcNtsnLDrCZpsSkBFCc9lrRxqtEv9kv0HeF5n6kxWQ9ykDb6jygszx1pZ2d3rNX13OEj8N1yfgKU
4B90M3R18K9mez1qfkZ0rVk/aUWX90HUanW6g1DV3luJcDK4klnSftHCxWWLcHk+xbkJ6HRKnA6+
lp0cbLtBXkg2L6Mdu39ndDqtHXuWO7iHKE+MOUPjxlbT4YDqE2bSkZ9nd2x4xMqUMDGTrCeQHVz5
RgtBpK1Sv7E3BJhBrNZt5N4IjnfY0qKAESGbcbjo5VM2YgZY7ALReS5HfT/Xun2Pzvijn6l64nBm
10CJJm5y0bBwSFhXEuaRMyibW/80OtYITxM1ta/kvOH7nALlKzvwOlIfRo1drFtwkpQ2vSsGNp0+
uEf/nE8A1GVYJxxpUP2ETy0VsGZAOUqHcVKe27yCVDduzSl5gTp2DiFZLbPOHC/l0Eak3cSQ4YM0
duZviZUaVxn+y4c+Ndik1JGV3HOYRdjaIyd98RgRU2dGNspvxuEUZi0IpNwwienJUwTDx7xxnTc7
abXuxgA7+iM4wG5bLzkMPNOCBhjWIRNZiD7I0x8NXbnpeVagyY7Y1/Ubs2lLf+spvkSHcKN9Hcn2
Zpgja90lzrDtPTfU9z9HCNQl0WrABqV//Fc5AjjJ3bdmFHeEW2OPzBjFp5Ep6FqM7DWSjvEZDzDP
/yxUgGq9e5ztWIfpsuCyM6LdzChLDppyWK3Nk7f7q0iBRrIlqhNc2ur/fIwA0UhqrWeWvjIGni88
CIpjXE5il6KKx3QeJ0ikSQLIIs27Tb3wTfV46gdO9BXwQoPYxuGg4gE3QU7wDbqSYFAAZTzSGaFw
ziR9T+QsYmRIBm6sdCEvEy+4nWPb+PhdFgAsLO5Z2vvT/48A+L8eAWCMxOo5XfffKwLAIcpzxdgM
cPfCW/wXEQCwMurnuSdY5j89AkDPSXc35f9mBEBtCOb9ibrKR3/tOrJYu38RAMAWgTRNmXT38b8E
/2sdZHzGS38O/i8sxfg0utbn4TH2FZRoZH2Ul0QoNy65rrbRbhIgmwdNdztWQn6p7aO8ktAgEnlO
C8u8QyQ4EwNRs76olioVs+frrCvrAZyjONVLPmVaoAmrfKpm6ZEUFfUWh2eZmx8eC6lgTNOYNp4d
iRsm/kJoeczyjI0JTr1Vb5LfHig89y9REhHW0UJlNnOpUfH2rwN43Lsy975EHmOKXB+to+mmLB89
uwZ8Cw11hRMrXcu0fw5DrxGBZoXDrV3X3j0pCdEr3rzwPjY7cjAwo+mbDgnqLu7K4QBgwNiVQ0Py
QEcWiOEb7kzK0NAJPARkVVTWgEksyoqgYryWrxirNtoxicEqB8g72nXout8h2RDKZA7nUbRfe8tF
uRV68kGJYXIRlKafFCtpMOgzgycomdfUi8T1pN4yPkp2htliNs+oaUSqBCnAQ/bid6nzzKE8BrGl
31Q+XiHKwhe3k30AeRiJSDs/M5QnKcImmrU3qn7Vlb4HexyTKoUHGVDiuUzTHBA5EH4TssM25vm8
R54xM78w3xyGmWsfRXEA5Do/OTj911AMYFtoeDA17K4rBFXdNkOWetbFaK6knbywlnt0fQ1FKMAX
SBwoNCO3N97ZDwD8d3KVbAhrJqNp7kAGT6l3YFIa3dZeXvCKcwzSoB9m7aEl0O/G98wxMLE07bME
sje/eXtfkG5wKkyP7M+WC7XMIx/raKozSalm46auE0VSLED0K2+wGY4VZXqfDUWxHytiCmyq+O/w
WIdzJA0Xy6YtjAeq0mYDTrVYZ9KhmZjwoS2Fr7yNacf2vtlCKBrBwrD/jYhbyqtmx4S93DlQVd+I
qkIFYkyYlokJkASW+Bj/eFKePayYm86EN8NGY9TXSTcU32qkvdB9FNTUKCl3fmq356SpCbaq4Qbj
N5zmq4ZO56teWyYQgXbG5PO/2DuT5ciRM1u/SlvvUYZ5WPQmgBjJ4DwkuYExOWBwOGbAATz9/ZBZ
UqVKLbXV4m763o1MMhWLjAiED+c/5zsVRej4K7IjjioeJX2mPFvl2nglFgoADJ6zvdlYzQWeD4So
em7ex7JxLzx4CzdeMpX3fauoIykzMO+6HVzaXULeIInFN+pL9JAzdw+nPOifHaaZau0ElltGDRmO
oGU6+CqZdlT09pd6MUIYxwUojtQJUHph5dkYao0PUNZY+n3XK8Vlph3aJJRGV98rvNFXvjejmFFy
6jzPucagxkhSPxSeXtwWtrg3Y0DJ0ungZ8p6gJO6DHvP7fOtNJZ6B49N0GI6yHpP0bqe7GuKh55r
XSJKtrn6QHAJ9s2QD1emXw/YS0zz2PJZXyRkrrYtrrXbCtcixmG8ufmhy82FExJBwY9kbtVFScr6
GoJe/SYVQKzNyAAlPZdtr1CFl34HMLIasKqk+fdCSu+tkJl/ZVRr2osUN9RzrAjThtZ3XA6Y0l8l
KK6XobXryCtThiJlvHTH2hfaLvf9/uxDWDlTvNcKumAk/gaBaezKacyash0m2ktDqXVrp2LXYKPa
ph0Ymwhyn34zqonyZOzQ6cb1Y5wxLQAOjWsPLpqoYozx3qaBdUglUOOoN2JG+iXx5btlUf3ZVLX+
zHxqvKBxxzuUfqrfssgaHzp/85XD23oUbUer9iKsNrIEGXtI0aTtjbl/LcHtFOBQbPr35iy1nwfT
7J9/keF+Txr8RznIG3yaffdf/8nA8x/iOJbve5brYhBkimlY+hrX+UXS+r8JMQSfCHmT1IRLq5O1
DlV//c05l06INMjek4EBoP2ez+e/rqX+b869rPmxf6O4yrelKt+6fx56rz/3x9DbChzThKzJWNm0
bEyifxt627+hdRqkThAXUWLXxMnvgqv+m0Hm98dsGz0W5oTLZ/e74qrZvzGndsHmET1Fb1pjf38h
+OKC+fj1AXWBtFq6axuWATeEp8RZw1y/PKCdAP4pkZoivVXmdYZakHqnPLUwWNyWZBIKZmWNRPfE
R+h4MhzBmJGLL62rJRir19QJsg9hYum3Jqv6lhgg80IJo0iGhpcldxiz8FgNWAefKp8gcDXXldjJ
xYPap3XtzWKY+kVMBB3RgkELC0MrriggYsyt4qS+lQMdg4Ji3kt9kez6MxXa5xFi6YWvp1ArZmOZ
dlzSKdbqe0/eW9R7g9D08ItlQWNfmanvZPs4NhfKiCH8olmIPcPgYbicFEtEVbf2lW9J+41dg8OJ
o5n5PZwN98HMs/q2GqgTprza8g6wXiXNWX6TbV1nNr9D/KfPjoi1uOvTBTo/lTVlNLuL9z0WJWlM
DaP9BrpesI9xvJEogFcQGlnsvOc5CQncuKW1bYbFvWTu3Nz6pP2pIVk0xr2gsS0M3hZwsWIu3rTC
IrJdsGA/Atdk8pIUw4XNFPMGdcGZSFdb9Pq19OY9wnIfb4pWn7+E0wF/8PRSO2FxNi46jG6KDiCZ
XdS+MW1racTbiQIVjgS5Fa/KZlnwC6lIOLjDEDw306yeqBgs38rBohOOB8nZDtQYzFtRSn1myu4U
nB9MRCqKNry9Jkx1OXsNV3ZGjbTMsMNtOGIaD3ZqK2TvUctekEbj90WSHe/7xTjB6mv3VLH5VECX
HHDIGQCXde2WI2c+Uh0DQi0IvmSTkxThtW+V5w23eVtRaE6V2Te8eEQkbLXUTOv1dLcwrfg+Evg+
z/BGzI3ZYuG0qJ1+oNbFJOo0zMdAthk3KBoUXgEqiYPS8yTApamyb4OwppO/lLD727HjguB3I9K7
XBqiCUnV3roNJDc39dpbnzanPV6+0Y+ceICHJiapaZuW52TfBm4pDziip22XZe09NMn0Ke5qxps+
Y/BWuk0XpjW1pMHi5rta43hzmUNf/DKMLn/B+LhOM63VpMendHTAGKBXzINzKk2HntN+Kpqb2PZo
NCP2tQ8gkp0dramP2tSnbw04TIJpCcdPsK8LalTZ3YDMk98sXQ53Pe/uWdKd8rFuwqHpJ9VrS1Lt
ccCxse+JlWCwLr739D3uKNDxcfUqh9N5QorNIRxsDnN/XIKgvExylxR5ZQta8KbKV6E7+EaUZouz
r0nCf1v9vPeV9LML0c3TgR7j5trXq/lBUAv1QEK84cjnMnbakAS3in3tprqxG+3UkJFTq4Cgmdu2
1xBYKmuDi7d3QkVLKm2yIh5lZOcjOXvP18fbJtCFv7EksM7dEBNPecsGDGs7ikELvK8yfplxZuph
a0K2ADRIDQjloc1aQqtKJyAllUjsMIaKtznxq2tzmcWTDZ6B3he9nK/7do7bnQMf5jBrxXSDxWk8
kdp3rlnviuDRyhNSP0KBK+DiYor8pDOOP9EEmvKgQkd8xhxpj5sOL9xaBVncGmZmX9KcxJ+gYHu2
VGOn/W3HmBUOXW3R1GFa9fjmBxQMbbDrjZSP0LT1qhVyNFYKEL0SOijzTU0+gbKxrutfsGTCKZGB
Tc+wFSdQd8GXtJ9jqppz3mU6Dbd9niUR69k8RMwJi0dXUWGNsXBQDzD9/PtMYWHa5olr3XqaVRlh
pmHDAd1mPVJROh+rWCwfle8Wn51g4oT3uimuR1Zm7gd0WBgsYOPyFE+0vzh6TUz+WMGmvCuazHr5
p9aMBbj2I10Qxiu2y3yfWlMNgoVWi0cxOu5hsqf20NC+EpXgRKIB9CeiLyVztuiB13H6vRnLoTgz
LdFJaWVxGVnY77NNAM8IG/QftRtzbet7npDiJYiTmJJhe52Z1z8KOIDlZc9K91hG+kw2JUZQH6Mn
xjN08cAN1FOsmm5LJ7k8aZQ0mJuYkCTdJ7W9fGudXPueaX55bwdG/ukZvrGv8Didg6Z3XvTS8La+
xgUaQlxVwnZcKzwcQ4kJ16qVHHWr9r5lNHIcbL8zwilRZjQtcaVCZ7KNsNQHMIUMeJot62F1XfVa
ypihZNOjcsmRjz9bPzQCIGflLubzYDDvH3O4eJ7HE04DSrwAy4EE4KWGT0RoDC4k3cq7H7UgSdIt
+5Qa6GzTJIt2iavV5zuo0vcAtXyXxhbDo1nv6W9lInjI2zq/GE1UBEGl3JtR13YcaolMnscYPiTB
uUw/LI7qJSQiQmvMhVyKVpsmcx9+rRcpFE3M1eDwHWVMEY1rqfFASuVo5oDlGjG2Fz8LR6i6pw6r
6zTGproWidmwLzR80Tzcs1/c/No/MoDLo93Dr8fnHyUkdk5ooM2FhRUcaTgxDdQk0Dx0Of7RTJLO
5XhU7ZhizPulnoQ1bTzQm64S/NTEcDcL38pH3KnlTcHvhZ8y9H00N1LQOMo19bbjcnkyjVyeyrao
r7i5J59l2S/fAmgHe4zj1PUNRoHTqZD71GkBeXh0sE5t61mbyrKqw8+GExpAi2Pl+82rDgr5uzlU
VYSvHoO+5Uvyhq0WBPXe51zx4KSjddtxliGlMsY3YrSaSHrx6i2iJa+gwvIC1yBNfSmz4We6ANdv
qlHeDUVWnpwuz775bQ+tloajJ82UrD4LfXoM0QbjXU8H7Tw12djtJ2vyvnvTHL+58bicsmXivUpt
azl3+qTfaPZkHxPGuyKcJt396h3bPAddrF/na7eKLvLi6Mc8tJufBSssFvq2UZ3Pl5O39ojfPnnl
okro0Wz89pubq3ncFNijKnCZlX6yOYIfk0TyBco4g73TpN0eIZhO25y14gaISLDHD+xFWpB4HDA0
Z6CGclEHWKg01SuJalAh7NWbJFcsqTILkgd8dMNbkLbTZaCGducnfhrRWbputiml65t8Vj39v268
mZwsOMVWUx4HYkSEFRp6NOclvepmu9q2LVkXLGyTs/lR8ELor7qZs1YOofWj5aWcA6nTMcdYNayc
1RMZlMu+J/rE1E0fGI97fbIv+YNP2TQb8H5kvYoeDdnUn00waeXZDx7HFQqxKFcjXD4Nb74hxLzJ
3dQkqsswvjXksG8kRfebOB2RNiA3XidJCseInHS2xelsF1tjNXEHjK/yTTfo2VFmXnpvCrvbeSVu
XYoNeR5AjBX1xs881mGC+lyZlQPbDv8pHecrQGerhlrugrRLT2QsgHc4Ls2CTJ8dmMw5aM9GkoEN
JFTMaOotdXB/1M1osIUZGtriQNeh3YeViXqw6T29Pvr853cfR8M1IQ5596OARtfH/topbAQImVvm
FU0A9Zcx++YqKv69jwb3UEHBnt08xnmP04JOtSAkYwDj+Ec7TcOo7hPb5sh3Hl7d+8+emgFjJ9Ld
KNNDVblsOh4+uSkJpodApO03YdbBDhFL+44SWW0ne+2wGdN+fHIzJ37ogAO5m6mQ9rPeewkRgzl5
mT2uOCVp9Ctl1jCGKIrMv1M6Nl/nObmMsOOqtx8Mb3ktAZJPBNV1chzpj9KbpSX3Q4R5XO1bBOAV
c40u5eB7bNYanMBsjHkD/k2+D+M8H73azsgciMa5xD2m6JoaC3BalJi9M6HO7WjJmpaT0UA+ZLOY
hQNN6EdhTpu08JFjqXXf0CVhtAGd+nt3zqwHODtAYgXjliGZgcrdNE1/zsyyejfHodn9f+Wgn48f
//WfPy1XDr6qf60cXL79x354y7P27Z+1g/Un/2bWMpABHKAYwLVQ3zlp/KEdWL8h6nD8xJFkr576
P7KnBqANFkAz8Bx0Ay71yAq/SweGjuLg4vGyf4dp/CXlgH/PL8IWwAzX9HxopMQ1dDJBa0vAr7oB
dKyiVLh0tlV7F4sh1Gk0c+Be//LO/DfymfFn5xVmNPp2Oa0EzEr4lX+yhBUeMFzQk8lW9cnWACfG
VWDnNyrMkwL139rHyUwpWHDVl/8D42kVPv4wo/Ge/uk3r2SfX4SRKki4Ihn0ak7GZddHWH+Y4FBT
/+9f4J/1wT//lvVt/uW3GHxiOrX2vD57s6F2NwQxGv1P5KN//KzWlwL/0QDAgjUXNvKfRUhs9qWc
Ji6u3dZzyh3t4dv089+/DnIa//R+mfQ44AdEcTS5qq7//y+vRPiOP7O6x5HuJJTYeVRxjw1MTBDa
2kC9UYdbLceTvWmHodW3fRzkr7AW5IWQdvOezN3SRzpe0IdWg3M98+BdOpNlfuEjLnZZGqdn8lBM
e/JyXjhmdvnWVTHyt/C65NolCwjRIouXswca/QX2pPaNSGR7OcRmdjKxfCB2E/oFe255YVso49zl
Wvfh0r46bwqV2kNox8K4Jnvb7xvfFTelmTj73vSxCljDHKwCS2zN22Wd0jZxUUDpp/Ty5EKQKA9x
7LivSppmcikd+Kcw2WfVNl+r0NxtcZdNkxMa9A6DKHA46luymHZ6EMc4U2yV7epY6c6uHyDgU4CI
Z7Z3k0NX8FRTPKaf2qWyt8hwddgBP9ksBM0w9oJJGY+50WjNARgHLra6IVGA1p1MzkOjmaN9aNNA
P82dznnFjhG8Q5e06FFVgoGOvgSAwc2eIMuEwfzCa1pmfoPF3T1sK8d+NBcZnKH+zSFZy/kZRYmO
bPShKg4nuwq+JmmRBLR7TtmpRX3uouG8J+g7jgsUaIiCWi/ie0q8rZ3kT4VEZ7E9DgRQuIlqRkHH
XJXez+mYvBZ9UZ2b2sA4HozNvkDguBxLTZwNoakrP47lXplVHQ11U+2qQOg45FsZSoEOJbR82Poj
EgmlJh3hCQHGR/twGizHvtHYkda5VGgEvXrQEmt+GBU6VQVfZUeZuXlJpKa6J3U2P3t20txruiMu
aGOvOrSrpclXl519XLq2+BB60l9odrXUDybOuIOggXff5yNHTw6xwYmHjo/fNucjKkf71palfSCk
oCIbXuudQCB6x8MUH4fSza7SNLG/q7THuILT6NoC5XVn0s+xEyMgIlqtu/pmssY2auqxrK+mIbFh
ygwGh0NqAfpwKpzkbbb1Ak4uPdDOWc7uZJx0SQ0I4dnUAScydneDret3rWP193VrlduqEbok5kNF
PAdrZb8bejKx3weibzDyA9wHT5kH34n3ZXy2Y+9x6KDRoY/GoXCzvaIm2cRhM1vQirJAG9+6cer7
y7w3QA+rzq5etGKxugj10LqOGcGKc99z6d7qoGLErrJychYyIy1MesfEMkZ/JoRVzeJUpqD53wdG
5p9HtVazGV0Q6dQ5gmUEXpl4+RxadhdfDbadloi8sfVcN3BjQPynV06XTU8obuYN01t/xwwwOPXm
0FybwayYuCcw+OvKGvqNYfJhhgJQDsGBDslgE7cEHuh8pvW7szInKtHRO86W/Xzr9bnxWfud+emB
a/ooe5OSBULxW6Xsnug0ohn01Sw7rcgdHb1VBruUsxvXBd3sd0lal9veTQGl2CPE3DY21wG6lj0Y
7lK1u6TPnEvBvePo+mYH9DLPjmmTBgdp93Ma9mR2aVWNdd5bczTv82DxPg0kmSHEolp+yqT5+LGQ
/z8QUrTZcf71qet+eP/vEorrD/3twAWIDCE8cECAucybfz1wgRtjJMMxBxi4ztyGw8LvwxpOVQYn
MAYycOh8DkN/uOP930z84vyA57E1Aj7z/tqo5h932PXItZrsqQ7ESeLbxp+x580EmgeWQxBJgtKb
spllmPtWymLZ06S82LA1ckWrLcChQwpJI5xMdV0uVnDMuL+G3iJfWrNjMAOfOQRGDIy3XuporqAz
6CilG60wvvolZeCjDK5WszqOpWttAxQChsAsDRn0rQjaafOmL4tOw7w0I1J9WpgLdT13OcWibNRb
Xkmw66bleVxKgwc1v15sSfl2ERcHAbX6Ko8Hjdw83LPa+DHfIfZOGkft/Sq4UZMJ3YnIYJT2MAWW
ms7fjT1qDAe84FU3CcbosK7K5JLYjMa/3lGXjqeuwC1XG0OL85Ag6nHwaYupnGAJBdmmo05p8imI
vWCjacJGVqdzdeANR9ceSAaS/Nl4efBEDQo3dt3tz3luPMmkrIBSSXpG2hQ4egFSdSmm8sMxa2/T
pqa2rbERIK+8yVhOEb0X17VX0mSDtZZbIysl7HAXBc4ld0xhDHira7rWee0o+tGAzwckcaZ2dQ70
DO9AcJJezZbcwqgqUj4liV581eeDxi6gJXfQnqb7GZND5E50RFISRXl7TwsDZiBq1EvHVhcmdLh9
CX08LOL2cYD9v7E9ymMyFLLDsGKbOZ7UnwVtiqubll7XZExDLvIyGhmI0UUSEM9GncgXdR4okaU8
Q3+0VfWGfZ0Av5N/yX4xOX0Q8EPJ3MYmj5o2eslGY56A21d9xWvdDzOct1QW10oVD6XlLwdTc/1o
nrVkp1X4KJiSzRFu8+Idbec+NTAp0FhhbKcO50Y8IXeIugzCavRvLDGThO/xjgGcXEITAfKy6Kls
yqz3fvHQ9UeKrPGtjxtTJwqrVvBeXqKZAb7J9rBg5wNFTmNkefZ4yus2iIwhlzCdHMRNz14Ofg+W
e4iRgsyxunKoHtrkTfaUAFw5F41La8jYHTW6kplHTS6NyPm7FSTPSd+RHVSFHw5dNW+pb7ZQcYt6
p3yvuxCBV10ACzmzfqTgaPxHPpbTyDw2mvJ1isqtfJOhndCdnV5xkMLBkFt26BfYgXVTs09a3aFd
zUmwc/SqOC70+G36pHI241TfNeuGwkyXHlFsRpHd2c99T4JPptZVBZYg1PKZ8NmYg9NPgUqnpV0c
h9h7AMLvbtO2ICLnrq/IhgUdi+bOn717Ifkq2LVIo8mdTxC3Ttj1SwreIZPkqtjV9YyL3aRruE9T
7Mp2jV9syRkSwRId7eLOoUcJH3gDEUXOb9riGdvaW97hXaSoWvGDUdl+GOip2Lhd9sJjPe7AL3zm
CFqcs83hJIwcDwc9KJjAKTRhlBvGg7hWk65eyl56kWlP8941ahwjgr7zii6aZPKPKarzxh2Q2RdS
1dlS8JXSMjiyrlXuybxcLrGeRra+XFc44EK4O/l+1nr7tnRGoL1Ma7e2Npp7ONCEbZhOPwxQdeHL
l/GRY0W9k2jux2HJqLfQlLk+NyBkg/ksAMhvFvSYiGXuxqc2KZSg0D/jKXZDHvWWg75SP+Dr+P8z
3nDiBIeiTP2jU6Vt1LX1FvI3lhu7HO6RkI5m7N26U35uFr16Z0rH16oTkLZpTn5ViXHt6uoJ1nJ/
0vU1LKBZl+WULkyMIP+3szw3swEiW4E0skdxC1Gx2gNfx3aTBDqhHCc5LDY3kSxvF5BKIkH7Wb3n
7jSGyD1eZGUwOYaGvieg0rdBWdJQl4K5CLoevIiPdMtRjb4CkYNmmCCwX5WmCfVh6Dg0eq2TEB+a
t+Pi6LzNJDPWS1p1konFNMIfupNwrPwAQm7eVZw79+hbIN1HPblEZm6Os7fUezSyZMtYoT6ZwMl3
a8PhrvN9hp2LRyUPI+19oSEAGgvJQQIgdYgyGRwnancPDjD8u1ToHXtb+8KwXrtIzYbrJfXmYUDb
cEQb9ZujJV1E2ALQp9LdE/cVl5q4qd3xZ897p/Kzy5pkUhjMSBsEBYpoNDPCOjqNTcpI1KGqx/iN
LZmBMMOdo1nr0xeTs+ZJnwXPQEy7M2Fwjv6XS9WgEidGslzWFNPtnUweGd5dzbPjnbuFaIsxF9qW
RfyCebgkLI0Bi76XzzSOk53t6/a2i7X0i+9ycilwNG2SzrgBN/rZYDuKEPqrJ09UbF0xwXqtGpcI
r6iMDIMZNRdGrgid3UW1abP1kLvfgdGy+Cov7qZOWShITtlR4i/9afKd4WKpswoPQEx7H+55Il54
xKze2o1zva/n+HHh+eea34HNcu3PsYNBZFUt0R0q5GtneHWEeQwMqlBKrpFh17DhuXlfhcrsh61t
TmYElua+WMEzvEgjMiz3IU3lfaDzypjYp8jdVRM2XjdEGVUlkECVuC4IUtUeXQbZmM9b3HLnPBjx
9AnDRbJuHn1ffGpWc6XI+V5h8L+lnw/GdTzhI17KitspM6DaLW+GsZ4iEhzeZooN9J1yHLbOrLPb
ZUCxe5dCtDwxz1lpXM71TFuLsAzW6llE7QDVGEDARzFxmxjm4YkgTU41vch2ejKAh6zmKsKONl1p
fGs2zRhcd+ZwZ7uqiaDpfAmoEJHCe4an871IgaDz5WEyVWgkbPFw3o2ZIHnCJR6Q6LhxOrbWGqLu
1jernFQGC5iQntj3df+IYeGKwRvwGX+Md7TNN3venjQUBQdD3pVix+SaEkOgi6EajfmYSvO1m6rn
tOBvpijuFjNEdgj6/nustO8CJgMFeiajF+FjihAN0FnfZuLbN1s/S/1TBS/hBHxIPMKKfclyK32J
c21nMKbbcnxOQPxY74VW6hGfnNy7wdKG/uC90q/u7e22TsNGmryerguOPt1sWGndeKeDDGOePaVE
NtgiprbzdkldtNzas2tPDO7N1HOj9QgtH2uPMj68nxa+GJO311RPVVp9W3x7PHoQakip1dW3tk0I
s2sTgHtVZ3gYO8FGN86HYcisvdekY5jGObuNa15x/8r23po2byU9oxEDEn6s1j4MTtHbKR67F88t
7GdfjfndVCffHJGSG1qG9M5FYPia3ML4dCrFGgeLKH+Ndc9IN4au3QxqqaidGW3K1WZwdV7n61HL
XnpqB+sWCaLdYBjinx0Z32t+uh6mgh1De/9aQWUNY+WboZu1D5plMeNxzjlz2zCk8IZFWdLCLK1X
GzN0sije0zhj1544w4P75MCpzevaNxpbLTPzSFfdMSbPcuGaKQOXwD3GbcDuKOVNkflPWts/66V+
l1HKAbwDIyx/BKHzvOaIr8n0IvN4PDtb4wRgM3TmuPBTBf1Ll87/nVZCbm2osf/6Whq+FR//aCL8
+RN/3EldsNQ4OX+kq621d+tvBkKHol5zTSRDfTF/AnV+v5NyW+UEBqCPfl8o2Rho/j4EsH/zddPR
IU9yv+XYCQbnL9gH+al/UH3XyLYLCgVx3je5nHr6qt//ovpmypKmDYErKgQUpb4DM5slw8fUBa+t
0ZXXXeoWW6Aw3q4g5BqKzi0uTNaIraVa/bSAnd3FQcGkck5SWFBjufHMjP855I+IlONjDdX67FPQ
eyh67X4i0og+pr9VfW5d8S/M94tklWkW+MOlf8sAwdyYms7eURv1oaDiMxJ40q/wODzV7BtsQXUM
9ZrblxMAMBQ4cTJf3Do855wsive5bqgCwQjygGW+OUqNdtbEhUU7FfyXGFZKJy+z2emOjQoOTT2/
NCOVeUbhLpuqru6tyj/qesMVJCClwxLxtbh0Shq+fBQtuDGLjr7eR4zOJ/FqL5ROMnt8nFT/5sAo
C1XKl6zFfIlx0GNHrg5Yc/BWWuulsna4BdALBSYB39TE4af3WOWDuPxye3ndztkT6/RCZUe9i/Ek
buYiphMj6Q/AB0+zUvdDMr5JBEM70C6sFsqc2+1o0dnDrei3nGy3GViGyBeCvhMiymRkqEe2MGpt
UpXtR+7kIU68j9FiNVJDcJj67tIuAqpzOrXPkwwGss81IC59N2RUipg7GNf8Yo/0JGZJ3eFXeCKm
TxeRN/IDRXhh2ucZFLfAMN/rSSFb+7vYLp5zzENRUnmAKgxocrXoaZKTw1Fk7XyiieQhpv23asr0
gD3ncYwXZtXrvoaY/M20UDQK4Rxp9nrWVXzpZuK+xRUeG9lw0Hz3pjbszymOj5j8Hkczvre8tfEp
AJna2s+i7ondCv08FWm7aWanXFl19pWmd+W9Wcb1WacE+NC1ChCLdWLsXYIywbaaQ/cZel5tGsQB
n6Aytp6fw8vQs2c9WdotCPM3Qq2g6BJD3mItfNANrQ9t0pe0NbrPTU4oxYOD2M6OCbR10N+A9C30
wrlJCKPEeymzbKR6zjbJAMXlBWkVE8Bjx2qf6AF2/snYWBjnIvLc1SWIySEC68CuqjugTbxmPuZB
bR+cVmv452Artf64rFkSN7J/fApNukSZnZrbxpA2/gFCGhrNNhUQ7GFPcjfe0s2ahAWewG0RkDdP
8/K1q2wYqdl9UqXE1khah37ekbCiWnlTWnmLzmBOlyXQvVBW1R2ZcHeT1WSRnaH/bpfxl5Z4n2YD
1hOh5JkJfbVTnuNHo2W6lJSILMIZ5IXzSkHwY7K5jUBfEIVG022CtQXSMrEBQ1wInxMt7Z13mVuK
SyIPdTQ6vmQDXj5KV4Hc1rkRF4DRNzbGtad6KWG0CPdhSXinSlhDfLn61VWQaZFFhIQqYCANriiw
Inb8wbWWViHq77JbDENjY9WqqNeLVYBIglCa/HocsoSjUmVtCZ9fE6mFdt4Mjw4DByQ1LiEjjdB2
soxwpRAFcqpNwf+dnUSc5MC1UuvpUyZ6/d2b24tELcc41SKZ6Pduaz+k9nojLeenUSd267Y8Mhyc
ccpaPcfl7DRSd9VlwV080lOregzAtqDgiC1m2mInJRINW3NH89Kb7fZBCBDCwJs5vQ2ec0z0oo8s
2VMU2hvzCYXsztCwJ9IArW4DOklZmNL+nAJf34gxqKg0n6wwRbEJ1HQ7YCF8zLqC0RCk9KjRCX7N
dT1upwDWYtEqcAVuCl1+Bi9D5Vm7kQaLWs9pcCN7cV4PKjvNay7j9fHnG+8a3ZYskrFtdS5m9B99
BEyqNkC9nmNrRYMV1lfhUftljs+4vt+lXJ4pQnDolXVvAP60kbnGtdqimyPLh+/TVwNGrw7VYIZJ
oLUoHLJ9CQjNTY55bw9oaZVrXfcjFN/M1w4Zpo/BKY+i7B7bZpKh3vbk/5X7lcDn2kCX3yM7Reli
UGWWA1meYtr8hK7QXNpyvtH1SSMG1aOAeuI+p4VuwxuQhR7bBNd2I/QKDqZM7AagXM4jkfrdkEmG
B4kVIblqUWU0OspN9ewXM5XcnXC2rFWYEvtEbSj5YyDeODcegeWprfU9S+8XXMq97bWwjuvvsytv
dWlcilzcgCfCvG40n4MQX7VLObKspix0vOXZDFb6lI3iSGMx6DewIKor1aFX1b30CmfHTlUfHd+A
TJvZ9TFl14rkYt73Ot0OKuebMhjZq27kNxptWruk4LXETOuJobub2FNAM7X62WhNc0dai6fdWWU6
LoSRrMdLDH14YyEtZxql3J7BXduufW0/4lTa8RY+sOrepho1il6aPizsvM8kI2tsW8TjZpFt80Ww
j1MABnJqvmm5AKA8LnK/ZKMGAdm6y4Sm76DcV3uu/jvMbMXBLMShACkfVv60hLo20sYpUKMFHJgQ
Qn8OwzjRotHOPh3XYhDp7vExEbaEshxmGC/wHlvmNnAWdxdLNHTSbg1fPuoDSIflpO9Ga8eB+xtJ
poI/p/42NR0Jx1y9UGumzrOtqbOsiO3X8/K96eKbpWdeDqS1LtxLtliSfsnw5PflSVNsP1kQ3Lua
OPoO/k/piHdvWTHY3vJSxUUQFk5psaVWZpjOnBa4PrSRJxBksfwxQ1IUb1ZW8sWSah/4oefSG8ir
Gprae0b+wBCPeF4+fc7lVG3UVL+BPCZO4asPrW9Q4JZ1M8/+D3tntls5kmXZXyn0Ox0cjFM/3nnU
dDW/EHK5xNlonIe/avQn1I/1omdEprtnZgSi36pQQAARgEKiLkWaHTtn77WJNdOKD6fsmy2oAaK5
IHtvB684jWN8w/nlo5LVsEV1fikLTpMdGDmCpClkQhOH46icnRk0TxFuuQWylw7jZwudbxjxhPhm
gRcsvLZ0UNlOlqXrCYvjolNz/LdWcaKf6O72ufrqDGJnQF2mLViFi3Ysz8asgaYBGS5qLZFrhoJP
YVf1aLzR9OewDNZe1X/rdaPduU1/sVStr8A5xGvVsxAZEjctI4vXzG4F3Y6Gu9cyw66dqVz1Jlqr
1KW97GaO2uAv3EFapMtpsSWbrai3ehbA/83H4xCqZF1LgF56kqzHkTfQrR9VP+5C1IPQg58jL9/Q
r9BOQU2hTObZzAlUN+SkxQQPTtMitrJwHbS2Whh9dCUYjGtTfkh6gdcute6yQAY7ZdvawR8Ao2OD
XBmemql83TsgWPJUBPsn+u5i28IgQp1Ih1UPeWvbeLyxVH+iEw75XPO8Q9DOw2uD1QouI7oGrL/L
YkKl6Fbls5nTEiaj3OPpCa5kme6sCnGKI1jPA/i1gRfCsx2brTOyY2n1S8yiDfXrEDiUSAF/KaUI
q81pjlgGzO4qPwE2+2SXfID2/InkQJ1xBn3L5pWY7KY7zDmK+r+IV8DVHwYsGmsSUQz4vJaGDtoP
1iHHXxSihFoRjzKteqvksXL8cBlNE44JMCV2ab9HmTjPWqmFSs1mIdryEIf5zhYAzpOk8ReuHXxi
gpGbtvTLdcBbjDpCDefJHzYWKAhowc9uUb1CA2Ert7LHttB2iGohLU4XiC7IHKe7UNTP0eCfDDXe
1RH2A1u1uz4CXFuZwVsVp7d9BGUxTyUoNM7J2dzf7oTZvTpR5q7tTuChdXuIO5r/wN59H1Qoio3o
lBTxTaINZztK5vyI94kIDQ5Vzkoa1aXLO5aL6cVwvWMML3AJTcVdymGAFxWYVyWD7FDQoDd5ileO
OXxyIKLNDOZ31XWEMY7EagZEsGy7cUjW8Eb11dBzE8eZwDxHlnN2yQAOW5W+tRne0NIf/KsQAuiy
ydA2Z4x6VNMgHRJFsbebWOwFCaFXY5o/2Mr50ML0s2isufHDQIUJW740DUc7NlbyqQ8JCY/Ci1f/
/QfVSOZsZHz/vh1wF9dv1dwS+FEa+Nt3/d4SsL/gtDPhsTG6Mzjf/9AScL6YaAaZQZvcXve7ZPDv
LQGyrZhcI//6bYb9Q0uA0sOZf5pPy4A94K90BNj+/kVHgNHH/A9GE36ZnzsCHC/Q8yWuTqCL/WLE
nXslSHjeeKjfFzZ8+X0wiRtw52DFfCfa9D0yhzEMrgXenEVdGhb2QRemWRgtmKxnm1oHkOClrbvN
m9rb11GaIYKqyk2ifJuKWj61c9dBtbm58CY7XssS+RG4ivgpDAGoOoXf8vDycILC/TRi/2Oan9r5
8Q0wWLBuwncyK++djmtJc9G+lPOTbs3PfMvDj8KbPdBBrT4EjwqO5I4hRbF0eWuwEdMMdBy8DtP8
Jo3zO2Vnuk6Ll/dMm9+4aH730OgvOwKUVxD9WVx5Qa35TQWgiPIeVIKKxZn2NLEG83udfH/D++Ao
eeV7Xn3dCZ5bW3RYILx34dkv8bxYhOEJpdxmdIML8uqHsSc6Q3xfX2j4oydkzcnn1SeY1yHJglSk
WU6YTXrbqejrMK9ZWVDjjppXsVq/I4PThSMZPmttuXLi/tRM3Wxp3+d5XG07u3m1WSEFK6XOilnP
SycEB2cXNFZJwLghN53mfhL75BMBHiDUm1dfVuFiXo7LxP1a9eNdG7f9YpZVUrT0n7ZNfE83L+dD
rxHFMS/xGiMNBsEWy34GyjfFrLjwEfGv6yZ+cOdtQps3DPrhd/m8hVi1/x7Mm4pid6nZZUwwboRb
pScXyZlkGyrn/SjU2Jk0tihIrhzZy1Pely8uW1hd1lvozA35SaJcjiy/Yt7vEErtHDZApD0edXv4
xrpeounhFIfjYIIvxs6ZzXuoNu+mk5f5wJCLaCPmrZYtty5FBdceC2ROYbWm4cEQDhHQIp13a41t
22b2xfiXQ2ekFc9QVLVDOu/yOds9PHK+5hVXnFGuhjK5aqEALHD2MKvzzWmRThWSNlnh9aCSYFxq
ooa1tZMRFptKWbeGVx7gcR6QBV7GeOAAQH0CpxWSmWVhYwU5PNcuMAPqbT/XM2i96ftW3s6ba51s
rnqGuf7RNVGi/aIm8uiBY/RkFkUi02vU5LBR5xrKnKspOuj6KnXTtZOXO/Yzxkwlco54+pbNNZg1
V2NaS12mFxE5NVRqY5vz0+fqzSzrc2VyOGOtQw+WkbBL947HBUWfYs7iUQJOFqWZ5aK/dfwypa3S
FsvAngcEs0RApDOkI81vxkwKDBwUm7yZH+C95pFGmtFyw8BaUZdyfy71XKiGfvSBJZDw+OJkzKVs
rXWYZMSkc/Lxnpq54K2EvWT6wfksFq+ShJJlr2ELn8tkKGofUU1Nr9HECVtBKe2XfESq6w5T905R
byOiYPI+l+A4qTgUuDoBw3OBjoXRXKqYX5qwAn/JN70QRMKohsq+KmpyVdh9E2r+SfjMHzkFZGX/
KOdjQcn5IJ4UBEZ7U3FuaHLzq5wPEhohaePCqIdZB+G4e14U+gI0QLeazu/rqag55l0HcSQy9rh7
iEDNm25DxjPWVzflYYrbl5ziYq9FDan2g/nsjo22gczcHAjyRlw59G9jPg2LwsvM4yiGi9mU6RY3
aLjkNDYuhk7vVmNXJDt0kck9I3N18UkCfcF6sw5q0uQnT6fV1pdr07eMDUrSfBvTa1gmeZGsi0Qf
LzXEtg23CzOXY98bAWzwLk04Qpbug1t2n5w3Af8KuQ7r7j4VM9lhsL4aTU3dI7K3iC6V1lkXl+yd
BRFu72PjvtpD9ulSs3VZfBaRpy1sjfN7NOTf69d223Sev2LSLk8KqPc2LZU4aTgzb1XZUA7Gendk
UB7flFPsXNuJ7S1EU1Y805goyf/RHrl/7RXx0+FK4e+lKiVRBMbGN5ypJDMVKcLc0P3qE7ixTkyr
2xtE0eJJcUgDMnltcF/k0MfSclmLSeLf0x4tpftXeVVR1+nZowdCfG/Qgl1gf0UkLoPL6JFEDlZg
WJN/jaExYuYHhr4/EVg3d0uG8b6peZujFihgGlBw9ihkl0nWF+tAFTuRYWfVIS3njIPWce5Ve99U
AgmCilecqcZti0N1BSSR3m+rPzH2pcsd0L5gars2teqoGvuGkfm1qrLVVDHDqw2xJ7IRSDzldaz3
96Q9QsYJxzNrFEcGk3arIs/P8+RrX1q4eCVRjsP4rInwiL5o1yh4mcwdj2A81i49XIjHxVnzUUb4
rTRWINTlRif+ZhUi9t0GXvHS2cM3lrDXhBzEpDfw1KFH4bdRy2Hi+cfNk+xlkt2ijsCY2chqlWTl
E+mFGVQiGs1O+hL5nOHDBm1UzLyMVWQTToT+Mb89SDAtXltdCDY+FkLdF4HJx405uvorVqjtGLdH
GopMggnoVHobo4iTV3XnPXhmdgyRyPLQbww5XQIG5krv13ZR0zQctr1f3nUdOXOlzbXsKD6klEFC
TUd2vmT2dS1cD/h1VG1RHt4gPzy3erjrG2/D0fRQV9XWkc6h7tkUGnIFacCXdA2r8jAqWoFWJx/G
jK+byakuMkCvgXMri8ZdOS0imUxmr/C1eOeRoPCJ6ex5DEMiwkhdvdQXvdcjHahPqUTu16Yc4pu2
fBeZkW48Vz/5pPVZhXBXXY93WNC8NEMEse0kvqGwmyUPMFridgivRVagONdUc1MXsoC4baX/H1ai
/2pAZ2uORf6jU8B9AYn/pyPAb9/y+xFAkKZLx00AAuArvoWr5PepoPPFQG8Kw4pgjJmm/A+lKucG
SMA2sGaLstz5Hmb3mzXIhAtN+4KBIOsuVbv3V44AAEr+6QhgE6QBzZkdzbGcX9EzdCsjvzTNnrVv
Gg8qDtGA2UY2ZzzW0UPXwOVch6kTPWql0F5M3rdiUVch9EwTdcMqd8fkyo1ktTPQiFAppoNxlchC
XE9xXx67TuPE77IlPiDTV/YByI06YkmWJxFVGmo/WBFZ6Q4QrTrPPJA6Fe11d4w2EULWAz3v8DrR
c1suLKLHbobAjfZhO7TXmVNeA8nf4dk7QZXQXuOGBnGb9RVDsBY2QoVFMF/0pVQXgsbyszuNtN3b
xllapd1sfb90bs0+LE4mloFtbWCGqQ2ZPtIla8Uec4VE8WPYB92207Ui4B6yajk247K3XfOhYWrk
EsahlwfLyLrHwSn0a3J9hooP6yMsjDy9J70N1Rb6uTpiQSxobmxcTihrI1Y5m4g01aXk/33U8F8c
Q0Ryc7Dv4H9WY0OqZGpHJ2VKbYVUx1/zQcR+UF4cUDKBZ11ZqL3ClVQwNZaN8gBNDAYzVjYMHBab
fHBRCnVFcWH2V158IffZFGvX9CQ1Ahxoc3J/Qb3o5oeTtOG1ivRQLEN0Ilio81Icc6frbxqHpUIE
5ry647y/qCymZEnrPLsTUkd3MnTOkym9u4CZzBaB60SQq+88agY98Mim5bfMpGq3kOrk0a3L9pjK
Kd4I3W5WNc20Axzl4NGdBSSV3vbvELI7fyHrvngEIRU/x1ldbC0CnfiFyzB6kBJ/uDmZ2sEUDsNX
c5TaI+cymixt5skNE8aSaWhqa89B46MKcuZEJOnOwwm7vIP7EMuVZvXjW00H7hvCkuycYDNYs3tn
r8Ukp3Pre/I+6Rz51dQreuda1tyrZIzf4QXRtxTCj48BmO5zPAKOoO3Fgl3itkBQC7Pg1SaRY4uo
V1vHTUDjFQV4s4GDFVi7WrPLpzHVh2v6PWyeqJHss9to3W5wJ1cuAro8uJ61NOD+MfpkI1MPnt/4
X7EkhA9UdPmbTfZCtY5pEKB9FXl1W9RpfKSbnGxEOkRn2wnMS9YyS16jZ43fbV/VKNCD4JxhKf6o
4VxsQm9EjJILfrsiN8ubzm3bkTF6wokh5/jH0KNw/PuA54XGs9NZd5U2kEVDOyI/x3xLwDEYAQA4
O3XtWrF+8Hu0LWQIjn6yDCXi1yWO+uHSjgUMlNE3tqlbuYp4sdH71FWhPYft5D5oGY2vfWuGqFt6
DeMI9TNHSmacnruoo1nI2vRO90QbH44aRMBNJozyMUNc7kCok8GTppk9kuPM3MjAQ56tSMR5cwi3
uo1t29h2BUGQ2dyC6AerOTRe5t50GK4f8pTbtPLUVK8FQLQlSML0cYICczcYpfUQtol9Z5RlCi3N
Com5DvXqrtBKmW9AsHFskrypxwnc2QRDcho+hyEsPjpSYUjTcDxkeaPY8/SnV4QBQjZOEz/TMLKQ
lkCRQ5KJZbpRvmxllr8FXPsM1Fdvkb5zWFqVTRo/1G40fSMAp3gn/SPaV4HvbScjpY5oog7DWxGf
I/zHV+Q6Vpuqr61Tb7g+At9Gx3ceNurNN4T/zMaCFIMd5Fl2I0N1nthnldqGtuSNQlOV0vqJF4Hn
xk9BjPKbQY9RXaGsQAVsBsGyLJp+LmrFuB1CEAlWFWh3f70x+N9TTDSreWydhtu/byBeFVXz8R/f
Pv7j8iabN/nto/qxk/j3H/B7IWF+0akksGPoAofx95Lg90ICjzFqeJN9fNbWcuW/W178LyhXkfuY
CH7oN/LFv/cSHQoJMFAEDOJb5Zkz/lIgBO6bXyoJ1zdmW82c8uXS0fy1mSj1jrMZgsyVjyhYo8lH
AGYZsWQt0TyO/pb8mfFm6CrnHnJmx8JbBfQFm+KVTlK+LgY1nYyqDK9Mh8MZVizzyf0eRtrOuaSj
mBT4cThKCynMCgrBGIQEgPsUIdswTfUHplX0LXQQ//Zm1CeILlOTnxzZq6NHUtYIMjMnGcnGq9OQ
8OjqjyYRdVgPBDxzSPpZ/4S+0ztwXuweOtcgRnwaE6IAGtWiEHG72e2hmo7/tie4BIuq8hhk5n2W
PqD6DDjQ546xHUTvv8HoUtjfImsNTMm5FUxZHvOh4IgdcagwwbYxelXmMzigbIVHYTqMGiwJdAvI
Myum2xvChoI9Hk3O8ihU2d0jwxlWsjG8bTpmxrPeCJOYmjKOFk2iUYqkgyB1k9vTezM1Rwtt+m6m
tLZKT5xn7JnRdTnR+ZcNcKI2c4+6W5iPtREhsO4YgzdJFmxgfuBaTSp7EyES35t973jbnP5IyISv
8KcFWH2gRTgtF0oXzUrZhdhpFlot9im0M6XeP9ZA8NEgD0Zb3SUmraVHaZHyyJzLW9ssRGv0ijW/
b4CcChLSUo+zYR8YVbZtauWvBogWy7YwhwN07/AYGgNdZjtR9lOQda1B+zlWRzD4zippQt1YZZ6h
3yMnLl8s+GtXDuHtTP3wYa68qaOBW+rkozlGYq+EloZM31uCSsMIA42XuFc9bGaUOC6iic527/gb
dDt98p1nTSntJY3YkzipUTQihw6I48jdZNul1BKo61HCVRM4i6WNsKVZSFLlbjA6eKswzayt7ZSQ
f8gmdnd1mfePJZ0DBN2BFVz3JHpdtbhFHgEPAV9qctfd90ZfPGS4FgQC0tK7pHolt6EHFrclNwpS
UBk1j07oNi8BeN8NkEAGNwO/73NRG/0Og0s4I41LVHmT43DWtTRag5M3T/Ym5zbxe/shyGIECkNY
rn0eHH4y0NZD6REi0PMg7EicLi+Q/AQInNruF1ZUBw8ujtujE7KTLRvNs56RBvqKM+jg7BpftSdS
1oeNQylFlJ40H4cKb5ILX4S5Grn1Z4d4rY0V9kBRkTo+xcrLj25sR+/p4FsfaVprTzIZ8VbWfr3X
zcy9uFGVvhqtH4Lm68a7po/UQbMH6DBjYBLlGQxJsJVCppuu6Km7PNtu6XT4WvBNxW7RbDUWKTKo
pfJW0qr1dZDl+iEbI7LR+llf5qSojSEiJNz5yh23sEkGOvJReg1qLHgrxyKP8VjR9NKN2ueyFnwx
GDPWZyKEpG9oZsmpkWnyInKwg8o2UBuUtWO9eFaRHwlybj8jZcHAVyQhNou8BbOC187ol3XViVNb
Odpz2fo4nnrCqTG41RjZNB7kd1tK9AwRnog3mQ1zsC6jh2hdDgZqhR4IdbwgGsx5lZjpr3oqn/cs
BvQETxlNs1kb6kCpEAAJ9KPsa2DU9d5Gn/eu+5N81idHwFFMjEtScOxhS4jojPhYKRYxIVHpajAb
bQFuSJD0gpwqxKHeWfRkrQF5C6iRHSiBjrgvK/R3nczmmUjZFd7S6YrySfOx3mu5VW6o6xkat35w
O0k/3ZqWz7mGp1/bFX0aXFuDRPaSRcbWSFX7Ek95flZapU5+UWhbLYrIgqWP+01H6w65rpAHYLnT
wlGxdTuRMrYXdHTmtqm2iIWtfVgYegiebcLsBp5LeE6tpD2EfZBfMe6qlrk21Te4gYdtVDSQ1eJc
7kBNqX2cMS5ZaLUwH50m7teVmfX7SlqEBI8zgpsBCMpCgreYBP9PzfM3ospcslBS/GHNw1z9P/9P
8Wuh8/27fi90KEysmYjiGuApwLD90DHxv+j6zFJhcPp7DfTb0NT84ngW+yXlh0H9Yf6jztG/0Naw
3bljIkxH8C/jr7RMfgZ0zIpvwKuUOC6+Xuod/xeYCmHqU8YAxCQDBLa4GhbS2Afe/Q835V+wVH69
CONfkh85xzEe9gwYMT8PZmUYZyFWUmulj7RfkufG0LZ0Nv74Iv+c4WXQ3PLoInkmjA94Iz9fZQTu
oNUExq3KNUkqm35rHbtjsxiWxtI4F5dw1S7++IrzvfmR02IxvJ4Zu3wmm7GBmD/2Dwr0KInAgCjC
PnL1maTonaviGDeQ0/T65Lcvf3wxof/Z5SiLf7wcEOok9o2hWWn9yOmWgoHmvUqdEdJS55tHYena
vqAkWNGfM9fWOOUX9N609Wnm3k09aX/KGn1E4r18hOmU3oV1ldzALwMjxpJz1fkhYHfbBSBP0+5p
qDN7VZZUMhqEsrYgNICGWJ/e+lZEY2ueU2IdSVXf+8t69KKrsC26cBHTsVCg9kP9OAws3EkdBR+o
ftWm7hFeLmrq6bsGMcGd0KTzLC27G7daU6kbkhU9BNoAxbYd6Y5MwRppXhsDh0Pmj2nTLIogb45z
d2uf2XZ0I+0cb57vtPnGYfOFc1HEB0gg3ld8ncRDerWUq1Dv4ksXeNDPHaMgj4lILBxjKCZv874B
sF61zUviSklNzVn60IUINBei7rV45TVqhDyhZd29kRAvbrU64UiuWdwiqoIM6kYaKq75HAt/1w41
MlynpDsgQavvjb5LmS/R4H+InbC41lXvbMq2cndOi5J5Qbri5O81c9A4IRvTKqRyvxhEbL/1yhjT
ZQhW50Agl3XlpXn7KipqKQyxw31gED9NGLoL83LG1ryTzhDdDDZhm0vqVP2B/ndEyJsWNi9VZ/oI
dEy0/xnm9jPJ2zbONrdPL1GsYlIVAm1LYlMbrboyzB5KlNX3OHbzb5ksiZhCKL8dS2s6RIlG9JfX
tJecj4isqWufgbHxOcJJRQwBgyJw8RelobcwotqeFhhLyheTDskFhzeRkTbT6hO5VWginIJ6ZBFJ
30Y4Dnjvtq3y6ptoOAm0Urdv7DLR6fxHReIsJlnVYEJT2waf5ypqHQtd0jKhTbULtHbCr5YNFbp8
x71WRZmforIfLrR4sltY0uZdqaxqyZDOjq66hm7o0tKbwUJWkSA+0IaSmgs3onarMyDBie83No3V
vk2PopbFeWYL3aRu/EGB0320XRgg8qoGnioOh0jFXZMQUqEVKD/jmdhEWh+Xw44gH6wI32dZJ4AX
yV5d4TdJH0n6qwgiSYj6sHHB1bXnyCXyMtCDzIoPaL8Jn5Wj/VkHQ/Q4hW21Qi3eMOIxpAlonoRX
boK8gsLBQHswkaF7NGEJjYuGVSOQt0QqHPEA2+4pjy3IpQN3xOjt9tbj3Xuz8k4i3uqtJ5r40EDa
SQ/uRiWTs47DgYMkfFNSYYX+IUL84oXmqhPmxyUEfLmCo0T+mJUhs2QiuCLlIJGI6Q3jEPCAIzZw
3PGdPEEQgBACb+JutHnjAPbbQ1whQTU1bYtKcNpEY1nt3Yx3rwy9/NEFarwNMcxBlHTDb7WS4E5x
YH/0KsuxJg9RdchU619nhjHS/rbKc2TbGN0RDip0DibIF7S+yyyaHoKeabDtqf6icTORbzLATXSz
finDYLxuYz1fsU0V+6YNo/0YIZNHbpdxCuewJg6gKwKsB5qoFX/JOtnGYAq2NXX4Zejp4y8imnKL
viNkgNCr/DROE0O/qMbqp48DkApfSzH6Rz6RTlqEdyVmILi1jNje2/y2mIWddMcExmc+YBXlm12P
DKsrlyaeNiQ7lFXNoaDbt2M6SD4XAKh9Q2bXViQNlBndQdA7JDwSfUdx1880Jlux3TggH7wOJDm6
P1Yg4adLklefhcHbEigJPcB2iq2pyBFGuFm9QjcPh2VbjtHKz8nBdXSll0SB4GQmTRAbBCX+EgUy
pTfcVnmVhzmhMB5hs2lsz3OGeS336hj9rqW25RDFu85shqcWtihwITQ56IjS6wYRyYNvSRvOEcb7
IoWI0ZHAu7VaLVj6ZRBf7Fo4nxHwrK+k5lrc+dC7bdKRpj7DiJMdQgFGV+ydKuWjv6jnAF0tNCJs
24iVYjPs8ZggDAe9ka8GWaVnRiAABRKBd2oMbUaZKmcIjVISxSEclZTXtOxviFBGrM9e6C9inBOP
Li6o64nB+w3eb3mxzRLVGIeSVZROWrTURcfYpw09LOiOH0zDqYxi/aaURfpOEU/RNCZjcEWIJpjz
ypHKWtBZ1eAGxPl1CnBoyRYZbepGMBiCCpt/ZUVFsdrREkD0K+Q895ZDuu7J7dgRSOe5NGvg4I4o
8eKlM7T2Do+18wkLjBmqCtI+XEBSdF+Z6cdvCtstkoMGzsgRPnu4kVKXa5vBb7OikkxWauro/ZvG
kQ+vP3l6BZG+jcLZVZEW19HEX6MIjOzmjwuWuRz5sToSZLei+IMhKBzDIojg53LFFbakN4XodLIb
fG+PqsLeIdZCJn9S+P1aF/3tQgK1LeNFJNizLPCHMizIY1E2Exdyj+EtseV3rli5qz/+MD9XsJTa
JMwwwLQcnZJcp9388zV0zSY/dMiNVZUGiHeR6FwjNOG4ngTRn1yK0v6X++br9D0xXBqsjpyYf76U
rPW4m1BqE1jAaZ3qEm3f3/Iz3of/HX4U/6Ie/7NL/PKnoVmDo0FxibKeynxpUeCibPyz8vjXe4a5
mlvFEYpjDNm/1i9/F5nYnULqrq809051n0RPrzz4fH/8h/n1j//rRX65W7UEpiYB1a2SMqAYmdA0
roKq6m4VZdIiidDSEaPw/Zr/4xn+X7ywEDU5nv37Nv/yP/9v9a34+pNG4O/f9vuZV2ADtunc+3Tr
DdiMP5x5nS94gPmGmVdKk3+e0P925vW/iO+gyFkhMNMnBd/1m0rA/WIxhwYlSW+foeT8XX/BOzwf
BP+xMnHmdU22Bf4FptQ1xffM5R8WjN7Fbc4hI117HHf38S4+TO4i+my1P1mYvn+Yf74Sha6lI3xw
YKL+/C5D7TLR/6lgZeMivQv9vErAhqIGA1UyDfdSOgWSVlWgepTZWWdAcI76CdkpTEd/z3l9etAb
1d/LYWrPUBSNs92q6EJ7dMQM2Pv6hdAybZ9OCJ4W5CTld5r0ITbZMOzSIEKaaQcOOqSITNkkwyQr
5pzZyKgAWudwKi0Zxe9trcQ2gLcU4TcG8k8kq2Fh00rycEucqPmVYAwT58pIZSk0JZ5Gcus+9InQ
1EU0x+DGutETzzzU9anuy7TctJNfkdhAeC6mwXbE9RfSE7SyQAPjX+lk7caVWcT7GjDU7HG0Ka3q
2FO3PiMTjaQSEcBx0TtaxmyP8O7cepeIIHqIRtN69SN/PBHDQILSiMUHc1gTJpseG2qwANdOtjCE
FrMd+280YMHDhgUcZYbcK4508uApv77R6P2qRTG6ILKET/29jtxxiHY6QK1lBcMZrhiqWVRU39EM
ltdjK+5ReFK4TdxBk1FusMjszr71begSbao5NzQfnJupVulLYkzWQQ9BTDCqlfcxbmoa77qPqcgx
whB2vYHqYGlnVX0kGL2/VaHNGcBHVrpjVJEeaIv6Hmr0BtGaX3f5k2z69hUoyXCXIAtAQYk/HvrH
DPeQLZq1TFc4ycjYGq6Qvrn37TBY96FVGRvgU2W5rKjkz5w7EyDjrp9fpkn5R+VY4kabASeRC8Bx
gfiFIgy4/LRjhlKeLB1VMW7fOrlu28a4xxheoiB0UU7D1yeBtk+owOwhnfIFz7R1DGYajFNo/qrN
6mSP6z081aHgOYlnmgyhgWKVeB0wlKRom3LZQULcsN31V5Gd77UkoIkx1cYG+814Owye+Qr3dNg5
Y9SYG91WZG0FrvVqSpltbCp2AtACM0WD7KcXQfHNhyti1PDYnxGGjGiOOkxdfnLmxIU0NBA5vJbG
YtpVgJ22DrGbJeUxrOHSLEliCczN5GFRpMjzkT2myRy7K6McIhmx0nJcu99DestSpk/T9+jeYk7x
TUzg77x9dfgUzSm/mldO7+X36F/rewywNfj04PHoZ+spADvGvMJG1WIGZn4VKCe+HzDImhtiDcyb
YSzrRzPIRrxieIQqDAcakxZFZ/lJrxOsXDXNd8XzrVWP5jgUD/1UdV9rtuA3zSNpmRPfCELdijiZ
lplpntzvucxeLBHE+Q2MsgMtibZejqB+Ngge4BCt/vr++F9NGUezl04qJcy/3/nOb+G3t+xD/rL1
/fZ9v2991hdb8A6wi3ruL1uf+AJYkC96tHzxwwhqld+2PsP4YlHGAtvGuaL7xj92Pu8LgGt+DgWo
+NtX/sLG9712/Gnnc2zG6nTw8Dna87D85/2onVTQtLBt136ilg3at8LaS1bQLtVWckKSZTscmQ4O
Bt0mKh9U4uM2V/d5Ex1ZyNZWp2+6pN07MUxH/yom7GWcWH+NXWLqiFOszQ/391/Uqdyyn7ZqT1hU
AoDDTdMCwT3zJ3/+hbEf1wWjR2+lObHzZiCNfewCwg+8xJr1ZaK0z+GYpMchMvw1i/e48qwAPbKM
GvJfHG+6JR8N5DNkYOZb/rAeLHTaZHT4e+K56G+aWRytPc+ozq5eOa+BAfCEqt6M4pXjeMlL0rCH
LyTkhE8hi/oVZHT/DNkXF1Ac9ck1qT7pU2bPfuneZma7i1RL2JERwqqbWjc+EYHYHk3DlEQckNCw
VCPO4rwfNOjBTkB4CeDiBPwAqJOc7dMbwbt5gPO2uJbGF4k6piciO8DXMIVad9sMEHWk7kSfThVU
QKZcYpbChrJgwSfzNiOZauTzEIuD9pkdHeOSvhFt32zsdKgBO+S1T3I1S6nQvHQZlLOaH2HimWTa
Jb3YfRULFP1ENfbWdUy053WG6HtvtMa4NZqcRCgLnTcUsmS6VJHjRwvlaPpzKQc8VIQdEOveDwFr
MuqGDKllCZuS4SLuZOYPJw8jBgjGUh0LIn2uojYIrypgLbu6c+MbRxTJDSfG4Z5mpr2rKuEg2CmT
AHtPMFxyXcSrVo+9B6DA5gmYarA0CEz7NnfVEDZVxBKshS4ZVZZ/o+0Sa1suiXX3HvtyqnZRNDl3
QzIjenlLboAADo+QIM2rqiqLnQVx8YmRZ05LU8gJ06b2FbbHtLPxzh/jlmQQZs0G+FNba+68LKnY
Fkwa3pQs0WtP71FfsVhzxI9D/kaZnnfse+40vQ0iywf81eEEY4PUCVQCgYJwNLZtVrEJxtjpSbvf
tirI7uMSGfT/Y+/MltvG0i39Ln0PB7AxXzYHkBRJiZIlWdINQpZszOPeGN+mL/uin6JerD8o0+l0
nqiqyHN3IiqyIiOybA0kAex/WOtbWmxOgZyyidfjVnc8xu1zPitvD5M4gTrtJSsSPGwoGaBnasgt
X9poIuC3toeNwzzpM7SI9oK4zWcSHjaHFKsZKJZ0OLhLggzKA0nAhF48ov8OT2JKOOcZ58NJGTr9
ttO79ozNWX9Uoydfo2ayrnI9ZECOiJ6KakjV7Gw6V4YAD2uMdqtl/Yj1jNmfJA/EkBy7vWrxNyeW
29/4c90zDBNyCUZln9KV1Bcz9UtWIZ3BDq6gfGCHR00R4pvrVqbd9G+jZaOXTJsYp1odFf6zH5Xz
Lfg47wFrH0b+CZbrhOQ+nOHjZHalrUryX1/9wazOEzGz3g0FVykDEPR5AqumGW7gD+qfdUw6YtPX
qdZc4rBKv6GEt/ONGwtSkWuFK2vjTcgZSjiut7lsuAzGitmbg6rwZMzCeHdrqY1k19noGaQ9gids
G/Cp7LdxJuSahdqgKENOYeXOpEwRuodrigir3J2cm7ZG6Wpo8KtZAExXksDgZzmF1l1OxvZudDRY
sAkX48qHlLXRM804+xkSOqAduCGiQdMv1iQ7F855G+0mISSzr8LPVy1MXYoRk+iidMrwVIlkJE0u
rHTMuhVTy2IjorZU2waGDC9nsL1trvkTblvHvWM7gOgnZjWxp9BND9I0zPtkqK3nIoQw4QsK/TEy
jW1c9tmlliJ/EnHZ3NHB5ZuktOXWoGiEIuuoZ8eV5j00SHz1TgGcG/had8JyU17QwwBMKXvGYUkD
P7CwcXcvNXX3HKfoBVa45IcXlF5RgT5qDv9NsoLxq6prOU/MZRQlmD6ZQrc//vxPrV8pugIJFapH
tXFX8wZV8VUYuDuxqXf24d8cXv/uZ/1l68k1lCQWWbvbYa2viWnZ4B7JtgH9DGcNfq1V/bULPMQn
Gy4PuBvx6t9Nxoylv/x53lNhWKZg+sZMDCaXcPW/DHq8Nu8lG+Bs2wfgmqy1nq3yDTu7tf1CL1Lr
a2wV23/9shcu2H/9mS72AMPTdWhgf5nIVDMfKQK1bAsqdhPtY7yCK++gVu4uPqJVc//u2/zxGv/0
8/7yGuccgRlkkAzT5mrTR5vwVqzne0IONxpwuu0KbiE0qY0VIDglQuo/s6Dkh/yBSnXZaf/zinj9
2r39pRr+/Wt+VMPw4FB5cqMtTDgEndwjP1SeLhA5RiMOhR2FKH6tP6ph8xMTxyVlVjcWsSdL9j8G
Qfonn6Mf2BsDFSKGBUaUvzMJYsD0y9W6UOSYBOnOUgvDkDPcZVb0pwcCMkuCuiNDsv4o+6ekcbtv
I0fOwTba6U4XdXIRjVkCobHKh8bTrBd3kiNjddyNVRFLhPGdfYrAaW4yP5nJfxptnu6O037HaB5e
T2ViBSi98i+tEffXIErzfYQ3lElL5dASdiZkudwNYjbIx7asltDoybrXhq77Qo/fbivfTR+aBmka
hrL+eTKslhgtORaBxrPunmCHamMblfk01KwRBkpyagazG+4Nj2hSKuTMPDrkNj6X5GYs8aaL0c20
/N3AxhSscg3tGFVpdDBK073NCBCMKPlnEE/CYnnvhn13C3yyzlfzjPkFS4fJswStEiWrkZbjSukT
sTjOTN3aTT3ZIDoZsBm8HSsKYty0Np5H6m5vKsF4wGJLX1IiMCv8aQj5QIr2aEaVlk0vtKl80wYf
5DXwNEGkfKV/9k0hziH1eZDXUp1Hm9Mvx0T5Zk2N9zzpQ3xS7Ui6LeD6ttlIcuI4XrBLoC+r6WJM
RWouUNusumt8L/raq5oFPApe/UJBA3szTRwE5W7l9ScL0yOkEdbuMNgkD82xq8omwKDmu7u+651q
Y1md2a0jJmMS46ljWUFiOVnKOKFi/UC8+FOUOzojECt+V8lEOItvd4dOK1rQpkUBdLZtprehg+S+
Iz6e7SagEHOfMnDAPIw65iBMkEVrY+janJ2iHd5OMqwUzlg7vCF8EXg9qaEjWE74J81jCefKWvsh
HpBqEcUXizw+n5J5TyPjP6Fzr19bP4X1F00JwNO+9M9l5GUcvgjuqygbjopo1ADPw1J05s41CDWb
lzamJ+bqFh67bICOF+Ln9p2Kzz+sYbiT74G2E3Qomr3rqPHQqBJmmtyUZWQ/VNL1Tgzd+vOQZtoO
lqi8FLruHXWh9B3ZkdqRfaZ1dFSYbHXyVVb9aCM/SOL0uurMNMBekgTsHC3I1hgt0mYiGYTrYpvl
80xEvBteNSRdbl30q2ima41EwYVv4HlwBuC0kQYk18XIFo7q1VnFxCFDaEb4UtqWOguvxb9tQQAy
JxphpsPJrphxs6oSR3nM02hFFhTmfqMgs2TuGlzAqEJMMpQvbpMlX0lxY8k6Vd42dbB2lq3Vbxvm
bUtibBGMoh3PMndhAIzw8qysg1jde80SZV0lmLMTsSv92X82p0i71hkSzssHP00MkOLiJNIqJYIv
C7tdRWsKNKGmvV3namLAKwvbQz8TVrm2RrEoXiYqtwL6GqboaCRVMB5T44s+6PLbkqFy8SIr+maL
0npLDGPY1kMT86wIx2fTZdZdhrwRo8/aeA6LKUD0iyNESGffR5LtaT52QC3yYj8UbbzGT6ztwiZj
xDb2ur7FIUhglMm7SBjEeOsqsAqdPiwxzxOMXGJKQkzQbv4IFwZ41JS4e72Pywf2q8UZObm8Fggk
sfXkyVsktPTiYj2659qfNoNry51b6Tp4RWiTttnU9POLaYzHzdnT5r5ZZUnjoW+tB3tD28V6na5R
f7dTgzGayEvjHbo1eYq+3r8QyxcfUlqhs0tydMwn52lbhXvpIBoN2JTV+mg6qh40t+1FGOYl8ack
OUngfnSqOb1aYwUVSAk28ENy7gauELcy9UOp+d71RIsbNOiWmH9H+ambUKAPmmvd9EYWgcydIAdZ
sf08KAN9qmgzWAPc7BPoL60+FBGQiHywAH5kJMCi0Gwcc0czXDBZKRR/zSD4FynMoooxF30MhP3m
vSW465pcKLoW+0NKg/QDWY21KGzGyIZ9ZMWueuK8a571DzEOpB2EOW7pau6VNi2CHdtmpAkHWGiP
YUoacmInxl1kPAt7SG4cazYPnc3yLM6c+XuyCIIaUev33SISSj/0QtNA1NQAzXhno6F44q4TapMu
qQUk6qA3MseJ9foiQupaxX/j+9If6DlQKWWLYImRav/qpklIJ+NmPr8dULMbpj0q8M22+sKPy27a
uCw+64WT32HqJLvKR0Vsu1X4Wo2iuC9ag9Zr1FuSIJBRiXQa2Zp8qKsSObv7eZFcOX1b3SSLDIuE
SYIHIL3Ke9IN+iuOahRbUwH3bxNBZwPdZBYezKY+E6dmFuO7bRdzEPVTf+9+KMHI8EUQDhSq+B62
0DvMCUQM1gkUZGFTqJ23qMoqBuQtUhpSnoh1QHZWzWnyGd4ZTBBHM3pClGRyrgskVSvSzOdbHbaY
s54cpz+gjJzBQKHL2zmawK7FoNF/baOs4rkDREJmJvysMGzPldDH7eQ2I/61Cq6XZH/zUJW9TpkS
NhF4AIylK9SJ9dHqMW5uS3yYz8Ps97t+rgo4U6jc1XoSuFchEqTaPWO2+jKabXOGTDECu+2H2xGF
Cw7AsDzJPJkfO1icgW1qw81H2fifjer/WtaczIL/dRndle9J+Vq8tr9W0z+/9kc5bX7SbZ2wUV1g
bv5VSwxe2V/qbATGbFHthc30+3DZRoDscJn4Do43TNjOz+my+ckVy16SwhcFMDPmv8Vk/piX/6n3
W6pp36Eic4SFDQtV3196v1EMfR2leU9EWkNilt3K23ks+3sVjw3mSA96qGpQT+UFq40V3ccAxbK0
vRysqy2/oOjRyQazu9d5DIc3YflyzziLuCBCgmxAbCz1b2JL2leYGqJz1BuqCfpm8nbUA8SIZlVx
jtiM3KVxNGL1rQgoiJfMaW9oPsfhHJ/pN2CkJrXlgfEsEgYz5mCQTzASq3IwSyZ2WpUXTyCM5zOj
1pacEg6YE6BfEDCN9ZzkHQnbDjM03vx4B0p2vJ46w+fwBzQnFSAXYrbqu6pwzR3GKG8DFsVcmZOr
X2M5dxb4i/hc9GoI0LKErz3OZXa4xniQbTJtx1S4mzmcJvKUMHyEfgiaCNL+bnYixHQ6mWzUxxUM
FrKG6gWQRgKKOup1bV4bc2xgFUjx0mKPektmcIlMGaNL4vIsWqKk7SeMMAyONFHFt+NkW+shFBLJ
sHJYCHoeZLZh3KLd1L8Aq6KmsIhzB6cQRwFug/ge+5NaM6weqVJNCJul5noLZsNotjCZhnPClD2o
ExgXt1Hskzkri+E0myUBMVFUbo22iLbaNDFmanSj+JrOVnrucgHNpx7n6T1KlGVsPLsJT5FQ+bZi
yHyDTpcOR0eedGNbU3vQ3NY6UXNFN7xrjEFN2xxOER4yJL0WKsAVqR+kZJB/x2dnRnwxaHA1XTB5
kcxg4guBHgmibwTN0yGDCUJsc/dNpLcXc4wRK6IyIg4SjiePTGvsSGCbBeHKeQjWNuKlwawJk+zM
iq7deinYZA4NPX5ojZI0Jyal1NpFOcIzacLUf3CqjBz1VPTGJdRHeQc8kdIr09XMgZgh1lzlvT5+
K2Y7InsD/3Gz0WK4nlvATaYPonXu4UBzpPHbe+6A/BPstEHFt3Zj+2xWYlkpQy1wb/TYEvWzVuiq
+YL/Has/uulLbAx6vpVGXtyosOqfcsVmiPCh0dmxRzSvMWhDSsl0yE64kF3nrTW7+pY6pT5piZXf
p0XG2nCMXOfixTan7ZhM2otqFM59LzEw86BFPFapBmC5akJkcwkloxKYcGEDtZ/J/0wRm4UUWh+o
5C6vq2Q1JZ5wIMIUkpEUqGZ/1Xfkadk1wu5h6iJcu0kW+KUb3vRlOO8Jw/FPikJvLR0H+77dj8YT
hkkIwgDTA+7b8j2LhE0l4lCcUwt3d8RqlJuB3E1+R9yPryGK3cNAwHVQ9lZP9zX6QRYN+L0Rqt3n
alyywfTpNPlt+yLilHxJU2uroB5dbTfHUr1YtOwvsUd66KabNCJURJmtoZd21TY36vncq0hcJ2ao
v0Dgaa+dZHLOotDLF2Pw7K+DNw5HUh20+8Fx0gepp9TSPUtj0hCmzNr1mtORfEM3+QSkzAlAcNZ1
UCYZ2r8ii+4HLx4gudGn1uWg0/A2mXs38/dhc3V+9nUANvFUhk597xCnwv2elcYlJosJIGk7+EjV
chC9BJNn2vVsdc5WQSIw6L2ETDbWKPvbjKHrtCnzudqMRlhcuSFAHjkZzc2UQdBtLelC9Iy8vZmM
kNR04L7gzttu7SZs4GzsU0HdV+W2t8voxWuIXlUslLbtuOC9m1yn5sdI9zjA17ktSo/JqyzklwxF
fAs2aDCep0i6d7Hl4C9DGVEv+7MumIBXPgPXj2jxfYDSRFh07IOQuni5wSw5Hdz4KGFkPMB/AhAm
mu5kGlqHQiSMbSgXXffeZUS5khSHUWA1smrdOXqk30T9As1GvNseW/qBL4R9+OYePakE+p2SUtrZ
Xrh1FgbCXAn3BREpA0SrKoAkxAsvoUDyfWaWkhxdkwZhVS1khQgGJY8l0ZZfu2Eo79nLTOci97MX
ssY6AGZQGnhe6+/hQm4oa/IkN24izBsmR2HA1tU/Vk5NK1yjz6k/EBBIN8vAUXoTrZta9E+0+xjx
8cZVJ7fWvRuL9+EBqRutZEHlHPAj5UuxcCeY5zSEsIE+h0u3gCnUgqjwtBDggRfieAWjtjW7Zjhy
WpTHGJXJjuMX0kU52zf8Ws03enPnVZMdGUhKbZXT3JrhLJ5iLQKYHVXJbVk0vgZhW7SIFRbERr7A
Nro8m9l3hPNRFbl2qT6IHKRJlWwY2wQeCwKjG2vhd7RZV92YrTrJruKUXigf+cL7cEY64JXn1DRH
Awpm5j6JuR/pcz/HtTU8JiqqbpF/5OfaiTm447nJP4cZ6b//qU1/m/D+Xl/+S7nfbZeU7//4f79Y
3H5+3Y+6FMAPNSZDVEazCFepdn9MeSk+fdtmD/Dx//5ekSIPFEiCsf0vqlrP9X4OeK1POonbCChc
kx9Dxofzd+a7wvtVhbxUpHwPC6kf/yCv+Ks4uLMM2US9Nm9SK85OBlie1TyIy1xIl3TBqLsqFqRG
I9IrcszeeB43hBNjQ3fIWVpHnG6riMBlotjaL6MxfK1DKF1OJPJD5ir/S49BYWenRbOaOZMZljEL
dC0L/qP2jjIOM66BV8bq+o0elViQG5ZdFpLyFYhzOHMjba2WAKer3Pe2mKZt0c/vKU9NSiuYGiqJ
sYGDFl5aNFfv7xuu/lUs3H7VIa2Hl4EDwGFWlZsGuAu/PJu+RqaCQ28buRYxCab+3DqgdAv/41ZC
9IFW+jucVG3NxCZbU6cgg/Pye60h9aEHoLNmF/oAIJt0R1bca1viRg6H+EVFITTpuT4l4Orx8M32
eeiQVzWRzSzWxV082ILswaIICOEGxOi0JT4jB9cN47gArbh/MPGKrKTXPxmRjPaGKMxdNLrEHTJ6
QqiYDXuli+w9sqB9yTBXj1GVD0+FzL7hm0CLp5nf8K6Z6762n7S+KHfJpMdBsQBdO11cgA/VB91g
tWkv2NceItEF/D4tLewvtVDA3IUHZi9ksHRhhKU9dqBw4Ybx2Ru7wa1ONkgx3F/CA2VnLaCxUbUb
6AqnweqyoLbLt36BkkmILBthyBPm942ns7H352hbRmBIpoQkCnN0DozBk3UB78ztEO1XCwKNLcKt
+oCiQUeboaRZZvIYModeo3u8qoR6Ujl0fSLLq2Jjd2ZJqe4cnLQdtkvbdx5n98UqxasRYlr3kO8U
oaRE6+59FuQrbAJfB42JhjTG96k0sdwk0W2Tl8dcJd0GXQiTAM+4jWfy8nTVvg1+cUznxcTTpAHQ
7nibsIPl2MN+3bFA3ehjsSeZ/NrsKJSHPF18+7CovJFBqW1vu9A69ig9CU9hsxDH30yT+MKun1f4
Ju7lHH13SnUMhXY7qeaaBcQbu2nkLcN41SsH+mRjgWxzxqPytfwJoNdxwh+y6uJ6p8QSMoHMdYW4
fK/18xPZ1y+hOTOpmZt7EFr2uTZIpIvrvac5DM7UvPYkdwYMXAaXjnlsYm2fF2Knt36Am+nO7/V6
FRbl0a7G7cwQOR/SuzGejHUB+nHl9/5TlFpvURdnWxM+Fbl3ap92fFCIHlZGttAxRjI4Zqf4MuBv
OUAruIV9fWn8MuctJN/QMq3ndrSPcSLOrQ4Wb0DMyUTRO3BF4hoovS3EDLkt7YrRK2kMQVj2dz4Z
BYnr3U+J/QwxC8cqqtpFYSNAtLZ7WXnWdWzk+m7yu3SblsN36A091w4rl7Yha8Zz8vKsGmID7NwE
7yVnf+NGibzV47TDRsRQNZ/lKRxNfR3rDYPBKgrZtJAw7lPtbD1n+s8854+t6OL35ZT551vR/63y
f/yfUiVvvxyavvX7F/44M5dDEF047m6sdr8NbH4emmIZ2HD4sbpfxH9/zHIQCjJPwvaNfpDVJdl2
f6xGDf2TsE0cIxy3rDLJxfo7J+dvm8+f2gFU8rh20Eqw8DAouR0ipH/ZjLoJg4C281O6YFx6K7dx
uEuYInF7ZVmvCCFiPrLqNIijIkRBLdGGf86xhAbDINOHchmCMpCGn4UKtr2xnbZmK9UizdbTBp50
Nrywo0uCxKZFMXwSWcgMIFl40hsW9f47kpdHzbQJe/EJAM7Dr00yuBu9muK9j4UX5aGEGgngPz6y
UKHfLgxxFQ4RKGmOyWJdeciQmjE0b2TYUuqqvj4RUGKexr4GibdMUNK2dK5r0BSbjk/jQL5TfZWi
GeLG7Wtu6lQL1W5IRbQ1vZrHmkE2QO61Zroa22SLfI9ep9/29HIrpuzOdnHukJnelbeEeWbHfCh5
ybX1kozsRZ3IREqVMdAZam3Zbzmc1EBoCLRXMCvIzByQ6qxs4p+vsm68z0lUvOOVNJcymsxjEk32
msyzcY2jb1q1vX6oOv2pNByI+g1eziSV+aqyzEfV2i8k8YR7aVIbCMyLReUZL7GosckWujgWSLM2
tt2QI+pOhylNb/1mdG5mo3/1InVQiQ6NQ47bYiBhPk3gTpNVUWwawyGtUuHAJj2FlJMSBaav+nHH
4uerZ4LndaSOdaEMoY1OyAgLzS63zFe8dWP2cm0xYzGGJN7BWyNb3nRHdTb0Hlt3VDfxHf7A+BCn
SDgjWpcHaVBV5XHynpoEpRjlSMbjtIcoDrIvnb+7U/6C0Lne4r1+9WYjBocq6aTQu+CMh5suKd7W
7DKaK03lz12h8l2JR5EEWWeHki6+pDp9GgPLd9ecnlHCs2WDMVdKO0XtDXKl92Ct5m3PyEl7ZgF1
LYHyruwyJ8aAj/iyKLxWvZhezBy49qo3CM0mG9LZNq42o5o0wl1ilP2NII3r82yUybur2UPA7MTf
om9EZ7WUg/+NZuV/mvT6t3bC+JfP1EunuuJ1+uWJ+vPrfjxSzU9ouIGC/gCN0lb8eKS6n3A2oUFB
NPKjRfmhvf7E440WBGsRABuBJ+iPR6qmf2INRqOCZBv/0W9P6b+hvybZ4Be5iYNoBcmLxwni2Q7P
dfcvYqXOcBgDjTmKPXRwW19aY4vHd+5J/mp4Nll3QOdHQquMUL3xUAbFU1lJlga+0Mmcs93wpck1
/N7KISctbaov2dg419qIiBmSjn8t5nTYx3mcE9hkW97J0HIAEHkpx6Mk1v0tL4oeMRrh2bcMZPB8
KPIO040Hl6Bce6PhHT1kLF9IFu6DhA3VU1o1KZNSXtV1qZnWMuy2n2UBHn/25iJAvzHCdjSiYJAF
iU9FCq5xRcoIAIBBxC4iOyaWJIYuWbM9D4sgyebkCo1FJzdl2sKUhP9w8qdEXSP2aT7n0qmvgCLq
j12k9GukQwRZl7l35cCxCdgjqpsoaSJ35fujlwEV7lPiiNJGMwJF59QGBDTY7MSyOb2UbpQTEVUa
2bqTLRD+LOsKFDuD90aOFQvskc4lZ/qpyJ13gPOgvIY8toryIdrJxa+xSlsmTStjLqxrZrb5bdy2
DsRTk+cXYVS2s84HXWOAN3RXc6/ZQZiGeEGcWRB/C5VZvwwNww7bVwLprxWTROhGxRDMzZI9obtR
hvbAshhIw6Q4Q4EjZGVwh6eMQd47lqDiBuQV+9/MgWW5yUynfXdmy3j0JtDltYtIKPWqeC8aET3J
Me/mjass9zNcapQRedfVRAgnIY9EZJEe+Ay/TOtV4868SNMV4SbsZ5zRo14khyRKrHv2odrZyqX4
hkdbfJt8Nu4WE8GD8sujMKeQnekS2kto18YrmJbxBlcsOmTMUzcL63eC5Ua0whpHg5p661qoicXP
KOs90cQNvmjXSkkrQw81da659G7hta017XdioDV7PY5Nvq8I8diAEqvWXttwdzi9By1GTwMSipNN
2/TDG5un8qFvsohdJlp15Wjj3bTItibRdt8my+6enGVLGYq5C9SyuVzWnKfFrw9tPx1uAYcAZ6ur
+M7ScxuH9zTq6yhKzJvyYy1Kgi4r0gpD946xePxsdcBrt3iE9GP322JV8xeylByjw0Bk+YNa1q9g
49jE0lmrO3Rbcj/iZdwjJxvfXWcIv0CR179XVTW1SK7isT/ps7T3k1Yl5OEZ1XyrzAY5hm2nrMg9
rivKj/HBiC1tQzQulH7EM/BOaBrbK9WaWJAdXx5LY5QKFT5OzFVmRNYlcVTGVgD1bCBzh7zGVEb1
pfjgrJgLckUu8BUJaeOuIKLA4+iq2Yn4UZe81xA2jkk5LWOBxiIYQbZTfJ1+MF6GYYgI4yFuHlEP
jcubhrTn66QEF2jBcgLMqbpqDFcL8EzoX7J29kBQGcmdu8BlambB5LwBnFELekan73ysFhzNtIBp
cumON4Yy66vGqoYgp6rkcdHl6xYO42PSZ9XEu5EZVxSs8jJwQbH9s6ItPJHkHl+AxcxdExIpzegw
ffXAJxT9RLR7nlaBshqZEGkRFm/EDEz0nKNeNxs/K0lelEX6mLK12MOCNde+WcR700mW3GajE18Z
z2ZXrKXEZ4OkAEAGpnnyEUU/xWEEvHz2wupOChuxSN2P7GJ6VzN4j/ohP3IeoYtq4yLZUXbHm4QP
b5tWrjqAiU4OoCR088TyR/qrlInq66jHxX4mCRITY2Tum8zyvha6n163qai/6tIZHyLbzk/KqUyK
zHQKhqbybhf6H7Pjub8rRWhteIakLxWqDaR0IovN9ah6a2fUlrxh3xbvU6UlFI49rk7HGNEDFBNB
HpUXkBbfnuoJdgq7OxnxeGtcMqojYw9ifbqgrLOxPvS6vMN+pt+VsEGuhIMiXuhl/6Aiz9ipqq/u
OzlJbzW1rXHvyck9kuSwRHOmHZHrdebVX/tGeCeIBCbBZBUUP8V5l0FlxLw3ieIOTU8acEODZnOk
d9FVRbT02EUlcZezSd4Zgz6e+y7QNZpynaeaGogcRGE63xfCQ0OT9335xuzaQSoSq1Iyy+j6o0eI
4bMbR8ybZG3U47plWjFchVMzT/h7YF6gsgnd+7Sc2y91XxbPLlxGi11dDq9SpzWgK7CUhjvE8PJb
IVsSILQmSr1dpFrSYJSw5wd/HnAKTGak3moc8Xdoz5xz4/Qsmt08jh8dHuQPhrL94wB/BVQw15+7
4oIQu6qZzEs0x/MZmou/VgMrmdE2WDO4fcxSUYQg/oyptjZGVLt3SrPMq78/6f4fWjzSnP7zhvzx
tav/8X/lnyltv9eOfNnvtaPjf+Kp55j40lm8I5/40wwbVC1xry4t+UJKA439RzvOnyBy53+mwL+H
9OGntEIzPgmxfI2/wN18nH1/qx+n2vxr6SigKBh8u49v69nLn/9JqexEk7L6jrG1W2Jm48LAIuLh
jwbYY8xj4OoxZ4eCQ/m96zrW4UwP5pM3lsaxSVT/NFTMtZmOGdm1aFpvq/XGCOPQEQupKCLIsvH7
epuJhDM1HuSdUdn948AtTavu1psE9Qi+3IzwvZi/IhEWbzrP66hn+hujJmyayCbTBfNQKCxfQhgB
4Ghxgg9hHAw2/fxrSo5jSVOOgBXHQ43mCR8RrrG2HnGVpAuKmgk1ObCkiijKuhaC+w6qAyjWTpkM
stoQStVMMmnNtU84MJDsfijWqGm5Pwh+GjaJ0eMkyRz9OEfSZIuF6HjUEjRLjJQXZ3yuH3Exqv3g
GHijc/S0KXFxt8mMiKwWBOtCUG+2Vl1n67KorMCsGLPi4seyzNN3G8OA3VTSYdZXsI6j+jVXBpu1
VS6G5OI5HFuSoItV3jrlrtaYxsPodjf1FC0JPrSlRSsIXXIG8zqKiNAiK0tuZJF1W2VjMTfUYJ0V
wct7re2q/UBazCVyNe17njj6m0ql+axzkG80XzBczcmqBcla8rgaxFZDLnPKJ4FShdQsBtuFibOR
hIIjH68flCTDrovJdMCC52I/G3ptr0rPsr7ZWK63yC9lu0q9KMEEluqkD1E68JZVyUOESvXJZ7O8
MdoqOpcxJDR8k3ozPuq5Z4VPU4Ti7CZExSJe5dSqQw9V9ewrE/lNK9T9MNckWg2qO7SGJknp7cZN
JvqPP4gex8ws2FFbnbvmHW6TFY6V2ti4tVN8Ixjc17hURpcYaLeB9JM3AqkMALulknzyOYaAAPRu
ULpde7CLzL1HlVmSrVYLsppwgT2XiHKOiEr4zUMslhnc1xMb6eKb4xczq0bfuADnbJ+cZuTQ6Y1U
BhA1jVMIg+pCoM68RQJhP0goI7CdLeSJlYq+V7qGJVNzBuQHWL8C1H80Pp3mFhvfKPRdY4fqwCyn
uwbF6sKUDdFyp6Dlb2y97t/JATWhTk2+vbPMJi0DqMJQ89wycW7rrhsezETWAbg751yWqbpDIs3t
bkBUuerj2b0VZHbfGaTebmI98bcOKANyooU1M1xJ4jtuUe5WxlWkIFQ6EgFFKdsEaI5RlPodKxK9
ZMac6sOwdXpsZhHNzmcdjzQ6f4eEoYzcM3gERrHJMh9rX58O2UlS270OKg6/dlMb4x13kXXGsY+F
gLkbZ1akC+2FJYUMxlzZd2aXhcT9aNNDbJVusTJx912jbZCn1CVaYBXmURWucYRhhU2q8LHpQxtN
Bp9ksua0G10LQrM1Hnmnpxf0BqmzdmEExvB9JaZDvHxJMBPwgwYJnShGzLYs30w1mt8RQ5DkCi+S
sPK0UNcSx8IehoPGbqULW0RdpnMVNfYA19cy+QbSFdy1DiGiSwaNxehSEeqEZdfXuo1BDh9MuKJc
swAiAa/x1pTJ7FlavcVxtOj/Kxl+9upUHKt+BtCs5mTXlHoTeJpn76q5foyTVHueTVGvyEeI1glU
3R6S8q4RNea62l76VD0ojMxaM4mu12Q2hGuhDckaNH+LORuedUltsXXYZrJis+F9MLngrYi1dcOo
YWOKKty5BFRdm24977m44yue6yZNwTAHWUkN0eJYWc+xXR/KDFdzAsIjmPiRK5cty44+RO4cGeq4
DZpp7+hJuQuzRH+ps7jfiiHW7to80w/CU8lr3nnFnvwnst1z3w4gztHuMMd7LkwHhZIaCSqW5Lry
BEEJbpgzoG/bfLM9lCgpoQbguYgy9NKyXS9a7UDLRb8tyiTcmLUa9/ApXBohMzmkOTdbzS///8k7
j+VWmjNN38vsS1Emyy1mA29IgCRoz6aCPKa8N1mVd9PXMjc2T1JSSz3RWmg50TtF/OIhARQyv++1
dTI1lBs4xbF1sgBNH5lmBRzKFlpanbvBy9Ze0lT35CI2W9aWcYMm0N2YzuJ8uiOi9JAVbUfXlbMm
J5d+8mRSOCUDXZ6EZTTZ+2Xnr0h06F9lVoY/O8vONlhdSfBFRIHdFbZVMP/qSazecr1gmU+S8U62
g3+occ7v85Ie+IVSlcStQjyYuFOLYXxt7NrYxMThUeoYLVzfo/cKDIVWzWvq7gCsuWCj6RboqWFU
gs54FRn3Jrl0+ya32m4fN4uAiPzunkWeAnXU2fPL1KuRPRELT7ou+q48eSLqXqeMVMfZGGDWMJZm
AL5eOez6vievBAVw+pZIOz/GTfkxBtIW/FNJdQn7vL+kdYdJIep/t0jWdl3FY0F2W7T2JCqZ2EGO
2GRuSWiJ65yWvK8uIzzTaSpJJY8opzwg5OlWlR0b58lrog+AhRidDjLQJoOKlp1RHjHqTAhmBkV9
ypBuEpFWO0W6PuxsENzSsh+u2egl2OP5HKdYel+jiAPkXpJNCXqWD6Dxuw2+4/6x7V04vsUv9/Y8
uHienAI832ST9qlxhwwI3odhGh6BW5MMzj9XwaqAejfRBsbJvuXoFojeS+/O9Jr+w3Hafhe3wk1X
NayHXIO+OYRCu5kMX2rbao4ItIx7wkTynWgL9STQ8z2YDs52r4jcSyX74gnbY3emOMbXZb0xZlai
fzFKC4UAKioDhgjbUOql5fHY+kFTXbtwie5QzqPXwj1nPdCXXZxHEtGf8ij+ufCG7GZ/9B4jGZmv
mF7U19QU0c+0CNSLEXr5GxOYfa15HJ5mlYlz4Rd0hXW2dcC+L1+yOfIeaN3jmcrGpjtk3VIdzb6j
g3h26ePjqtw6ZO4duixzqQQEiHRI60qzhyxoaRAi0pMkF7t9qPEKvNSlVjZExMwBRGTLCRBxpL9n
BiRaQVtjDxaVsSvC1Pk5hCPNi1OXbJc8p88eU99pJgx83TsBYI6JA5eGmdS/OvFcb2grqA/eSM+9
q1z3rsWX847v2Xij6qF7QGhPpIuRluOj280BXToVl9aSEI7mzcYtKxznFngZ05ioA3CNwlqeC0xN
1yD35kNVBukZq1R+C+tcvaessXt3DLg35zoAHyi96GKAmNirkLLYBe1gXDy74YgYljyWnXIadBg5
DUxVYjQvkbVUP7rF5Run6uSXK9L+Hhv9+OSEVfIcgEg+k+y2HFVc00IUdwOFJPOQfAqD2YUQoOCe
EYeZ1piju3Eu2gdABd2GsIzuSeSdlpAM2bSdOxcvEs7FZENoe/Yx0VD7h84WcyYTMclJihmSYxUu
HS7XIJUbgyzAu8AVyStJsd2tqCcGw5AKmAOpts4+p8vKWIlobCogUH8KNlI3xUZL4LwuaBa2IVby
R9wGy8Xnf47b1K3qZjt6fv/Hpono0E5ssDtCYvMDTpDmh46GpPguSW+RV9uHrijEs9OVwWPatSk+
wCZO79tMD0hTSfoARmiVc+guzS+awNXPWgbtfd5NlK8qL5s/mNybmqgE8hBXEj0zceV1HTwp5XX7
cVDWqeII3XtUYP1AadreUpHyAnXBDD3jwNh/FkzAm5gR/C5Ew7vPODXH1TwX7rl3/ApETi5i2UoE
EtuOSGASXwnK/OzmRb5OlpHfk1MW3XtaDrLKi8LmrrE6rC8x0fyhY8pDqy14JVaPfdY3RPBbChBd
8QetzcEa3jK35zrJO3P5k9rd9IC9HujYsRLrZmECNDaGZRp3XlyM52jM01fLMsq3sajddjOYcfnp
Tw5tnb7AdgUdFu1y/HHofPxxuWedyS9p2rnUXGUJwwPI/08sezgewf7QfCxee6xiAF3yNacImjai
qnDTJyrYG4icnwIS+Jid7cT5MhStV9t8CKDyasc/VIQdTdtihqVaNQhan3GcZDeCUgOafXpLIE7s
xEVKy7y07jyOd6G5gFf7hnlXFmRElSAQJFdMKRhmIaf3/zFgBCDAvwYj1p/0sw7/5z/+GzSCn/s7
k0UekK0tzp7w/qoO+AeT5f2FmhuffD2+/7D92hz9NybL/gudfBbEP7o6PCImCMHf8vMgsnwKfJji
oJ18B5IeZurfILK874y8f6gDIGVs8EGmdFMQ4wdooomuf0IjQNpy36pNfJtEu4+oeJclhCYmzAAL
VXtVZRpdM0c2D36z9DPFlhR8bHsnpYKpYlG/VzIus3WLiyRcNZgVc9qyK1Ptigl50GqZ+4wWYEJH
PsbKKw4p9o9ph4K98z5VNFr+jm2wQPMJgHAf2tOXm022JJDNk9DoxRTxTTI4VBmPFfaLeJxY7Yys
9bqVGvRWk/ii9NnNBXHtFHYndyCd7nNv9CHiLbj5NbBj+AA6YdyoqdX3hL509PWj0nl+nRon+bXE
YnxEJ948h/WQPJKjZL+7dRH8iC1uNmPEGbwyGyvYD8gCEcrNwcksbeNhSWjUatLF+bnoC7PUV6dh
NdyiuPSoW6a04tDFdvNWL2b2NHWRSVSDvoDpJM9fKw+0BCSB3pfASR/c7zubEBF9f+ur3KwQZDjS
jc7tPJh3ouniozlkjABWnNpvqm2Tq5SjdfCCuASLB7so/Xrcqymrn6gDGK59N/XvPJbWXRYuuENT
m2FYzx6l3VmvBMAQAZxY05oSP95CPawgui7OxPJbD6g6mbbAjo1j2st2p6p6ee0a0/lhfM8/o8on
Cm0mEgI3FblDwCp6XEr04FTrEUpFg/MyEsf8LMtZPZV63pJ68pLz0BxBP8ungRjwp3R2elh1ImtE
nll3jldPNMcZE9F8fbx3OsFdlrWyWWESDX+wdcx/spSEq5Jy0rVMp+lLWI39hnXP29YijJ+GoG9/
BmQ3m0gCy+4xLkzvoWso5oYVZQA2y/DNt2f1VtlGuMdsv1yJ5xt0V3T7kpboqKtFWTsXp/bjkAzT
uq/keGYFj+8LklkwGrlOdBydlMQgso59PlhFrlLaM6m7kVMeB9tMwpVwo+Jm+1HyIBc8BbI3w5y2
JGPId7Xq/U3czjG4EwvmyTYsWJFaBTPCA8tkISVT3HXWVABgsQoibzl6viTae6DBPp1z46EqSXpE
bFf+WJog3LXL4myYkpJDPVjLHlISX4JflD/zAsLOH/zsalaDu0+rPtsOwigvtvTVJ0xVdXTG0jhg
/0FHZoQKc287vQEnDO9VTAhdFeJl7LGdPAACqqew7YuzmqW9npA/risfnGLgtmd9cTvzUuHO3jLF
L0/zRJZhwxl3Nes8feJAs4lutOZrmNKY01ilsZoclyx55fK6ZtXdG760HnIOyqNjKOf3GHTDyU1s
qMU6Sg4YkAySTxTYHtHtNzxV9BsVS7utpp5cED+fP53Bt69eXU/H2GyqtyIG0xwJrMlWVSFHfolJ
mpUdxfExq9Arrts2m24TDNO2lao9DlU5v9fDSC1glHcnM2hDJDOVjagupg+wyeliqeiAKuDkHzxe
xmM1Wuqrq0eGmYaRekXekM5s6Pw8wPpVQoJGQcRkIUX3VYZ1rPa8RML92onMI8qV6gNyX9TyarY5
XDGr0RfNk1q3VF2n1tB9hr0PcUZbNeGRYiDZEULbc8wNWBaBTUk9J+fA6KGsjHxsEAJ7pvHUIE1h
xB3m5yya8js7tuufnMr1RYzt8IXUp/yw+368o/2Vjpyokuqj6qCNmZdnY2KFr6t73NPdC1mexElH
ZdTE2yFqNJtF6pu3Kqh/fkjMcby4fdm1mxr3U6fjKYCQChFYoLgTBUSrJJznkoe6CnYUMI3boBKk
DtjmJJ585VnjNqp7eVSLir7DH3eEPwE/SXZ1Sh8Bt1nY3LE9curT8S6GvrThbozpzYXSrJkRc8h2
cAVoIzbrwTyTjgULFvbusBpNJ3fXBi2dl6rJw4gYsHR6CKGU4Hw4UF5JiFyeg7SpdLOy6T5FUQ5D
OuW9JIApmWnFtlNg3zxvgU+MJZ3addLMDa4O8JUaXkoZ9Cf14fA0knFwbMrQuFVmvCBHDk1BqHjZ
f+LYaOxD6pc9Zww5SCvl+P2vYEKyAXuaR/NaZD4gSRiH9dpILPfBhg3KV9AGQbbmRsZjl+bSgTMz
65QM9tE5F2AtUHIBppqjxdRa8/uC9uIrEUDBjlOzoig6ntbK5hTds3yP4w7Uufyyh1q8+l3LW6nN
MRwwk44BHCMW03UCtat9PVUEIF85qtu4iKfKrZDIHtc2WOGNVjS+8y2c6Fe32BrATEmEgCpGndCo
MEYOa3b+o6vzR3jvIdGihelbqSra934EroYnBisTf/gfwtsIjvCYMwi+SuVzHVB4t427FPeSRf5J
Y5jWekwJCOx0OkoQKWSFDLgJk3nrDfsKg+VrkA/xNtLhKiau/2cS3OPjWE1oAkF2qZ8dnZvhEswi
l0DhT4v4MHn+iW9fmhG40mxAthA0NLAhl/xb5WCm7XzKtfSB9rqZCcgMlz10sjiEWiThZ6r7EcdO
pVXExyZDl00NaZDXx3Ko5M3WKgs0S/jxyQn270CC3Y9a+dMDUGr1hO0povitSc2VSSAC8IG5FABQ
xIhBGqpRYMID2UXkZ4jxFi2TKjaMf+a7P7btfkQe8DrS33kg3sx+zbR6JPsWkjgV3e68zVP8MCAI
/qJ3QfIzqE84f7wrK2V8pUoOY4JWqDiDO7OfaN0KJgokLCwdSGz4/N17gFT1kBJOspkzEVp87Ml0
nizh7gQ41ynX6hjnWygzz5OHa22eva36VtLkgXNBo8FTZSqB8bKAgYhPRNBKF/GeludgRwp+Zjma
HTt3l2ZFB097H4q+fO2xWulX3Y3YAjIt+wkzLQEyfUWoQTPGbbztSab5085hBPVP7TgBF6iIygTN
zqCVRQqFxWuu1Ubl0re3uRL9hSjz6W4YSMepMCzQ7KC1SqNWLdX45io8/WiZBJe3j4hdS5xGEUCi
Td/SJz+Feu48d1toTRQBlYSBlDW5yCbsxxxn+c9Bq6imyUdQlYJIvlMTM+18rbfytfKqH+22gq1q
cyQyLcL0laV1WuTGsG3mtRx/5lrHNfeW8Y77pHisqm5ydnbXyYNBetvFr2pkYFoQ1mhpWKVFYo2W
i8myNX64RVZ8Vt9qsjbpcLLlWmTGlQj/DqrmiKf+W4dmKJ9UR8uqSiBTkSYMjvairnj3yD4URtXf
idZUv3oCHI/JUDsviUEphpMtjbVOY895TGSQ9ihAVXArIk8+Y/KGzBPEbb5UKHzHjRwyOjGNlJjM
lXbe3Qdl1f3mjoV2KrBj4q+gkooRBnZSUSBPXt3Kwtkl6JqxJt2AN1mrss6Tq8jIYea2wVWW1VP/
yOvIHq3YAnlg5vJonxA4siF7bKCIMEWvbMHK0z5PwNK93YriMaAb59wVUKoYdwz1NgKrLUi3bMBQ
RcHwifIcrH6ZZDz7azz4vxV68P8p3c6296833P34OaWf3e//ZsPl5/7BtxNzQg48yyORqvjD/rHh
0v/KgorI3YOg0X6yf95wbREgq9QsPLYb+Pu/bbjmXzyXMjQWXJ/zkr4Gcuf+jQX3+5+C41riujr+
+t//C+MYAjif1DJCDnRWr/n/RBlMIOpBXxR0typSDsu2L4dNCKdKEY7RmM29A5mUr3SdMwSEQ8GM
lN5dbICTr1Ky1O9EHYZcYEVBwFFbYOBecZAMj0yF4Ts+lWprFLQf8TQWa2wt7nb2sfnXtbXcdRre
ppbTWQ+kfersZ/4A9F3OL8JNORzdOmnPzZiWrxx3xi4sm2oXaDxdaGSdipDpPm8r90Bqi7ttuggL
f5dPO0VZ54fEi31ihHNWLgHY+yAHvW/iGmeyRvQ9je3XGuVPNN7PFxcXlOYASLwWKwyZwXYK+99R
EParRIz9xaLW86IVnE8NuNobEY/Ralii/FhrqoH9VEYriWZm2OWajLCKiG1n1BQFKUziWSYi4PKs
2lQv6rAZYZEtL+AecBwmTWPI6g1TbutvFqRLLcfYLrHOwzFKVLRcJiRDJF2CXS8Rbv5mxxEqc3a2
lTKYd6lJFZs+rKqDuShqm1oHq9CSHHmT/UOpqRukc8YmhACin6REEqnFct2C/T+bpHXubQigml35
J5EWw2ug6aHYnpL9xCTOpaLpIxU3kgFDk0oM7ckOb/MM12Grr2WcrEdXE1K9pqbqoaPhVkUzcUCm
sQMKLvYQeFCM37SWJrh4wPFjoyY/TIJKIlvzYJVmxPwiABN2Ycl8zZc1yjTXPiPIKewlRIUwafIl
b53e8EjtO024CayDYJOQcITvJodRmuY7VjRAY3S+exUPFOeoejr4gAs/pqxd0Ghaya0TlIi7kuZ3
hI7tPvPn5dB7OLWlY9EUK5pgL0gVWBFqq3aNtUyrCijzaOb8VUjB6LDka81rm8p1ZZL71FmzOnia
kuwKGe252NwNi5ex1nGVaDdg1JpM0R4s42LrjwNv7Th3G0vTnr7VR0wAUKHzUllrl/zKOu8I05lo
37JqfJffzaT+FK/5oGn8LWfjA96IOz33mJ0hX1ng2qNrj/4WiX98R3xzdPP5noEE1cUGRTXveSuZ
ZDFbrppvfpeUDDSAaFo2veZ/kb5JnBuJD3ytgnonp6Xe2WSzbecY+YESk4UNZLbXaOC4qrhapl0P
I3HvO1N6cgxv3jVMzE9LUs0b3WaF9QBis/XjZOOPUUQciNt+qbpR5wSuhnm3qg9BmpG+k7f+fT+5
Nsljnnsks42EhqTVNsXehkQM8/hAhdnwy2sw3aGczA+jYWW7shr7VZynyWVpDbI/MJ0dl9JtoEgC
yedIvldil/KMDGrZWrJoHogAjrdNW7sHgAGSM7LO28+2RwdfMpQhY2Y0EdBBcDkOG0SsFtvlb+gD
1I9mN8gtuqj4R1nOy/MUi+IZsWxx6+ywPcVJlJBW1qsCZITPIIiAwuxsoG/DXty3GJf4RTWCWlv+
mYeBOmuNltU/IqPwNyWbG9K7AKO4l1i7bsqbH3Ov6lsvsPRxZqNshLUZf/oUbQ9keWfjOQ/N7p3G
wegUQT3/NJwBNSFv67Y0x/nNyexuXzeI6VeuSRXlAJ6/bjikn42K8F27wtKRzgQZrmrJoOjP1OKi
srZarDYOo2DapH5ymIeyPw+TG/9KKkFLBDhAdYzYtO7BJZpNFZjTSTbBQrDhnB3rNFOflHr7z9S6
cgY2Nse5pcjEBuAyXm0vF9dp6TAgCwPUvs0L4z5Cnv1b4YNB5aRwAuNHCbp11Ye68KrJT/BgFbxn
6r94WgMeJcFLk3IHQFsO+T7HA0G9fRo9qCV3T1FrQrLEM2+HVFN/l9Lv8dFSWrlSVKC8O45ZIagc
kESGJiR2vIiLUzTmnsGaU3b0OhqzZjwEaxrPxYG0LRPxrFsyXi19x1TmxpnDceAnw69gNo018SYE
Fbfkzl5yLbAaUVT+apAJX4RMEowCNsqfTtcpN77rHBQpOdQGV1lx7ulNPhn5REwOmSQzPPzCfVtX
1S2ziBiT/KVrs6DGBFOEdaPkhFW9V5I6O2GrmGG2KEiAndhiuyrgr4Ymi5/IZcpOvrQVxLZL4K7j
CPsxxtK7do2Sjc7w6xZNZenlN6BVsu+R7tTgGD1Kj8pMXzsEf1sbNvgaJ4EctnXrjtulM0jLNouI
TjBULtG2N3siEanBAmOGZl8eHFL1Hh0HdZFP9DJiVSGDV3h470oynI3S3mz2aDIkyFSPlzWUhOdF
idd8SAoPX53ESF3ieozw1o94Zk3WL8r14tYCnu3xbLFTwfNMIjiGxMWd+zIShwXk5yBs4d4ikWNH
o4FE3EJuzGOig2rMIY+vUdxPdwkij3E1zTwlvPaaRM6GKAZ+8cz+DzH6p5q8cA+dU5yKoih/oUjC
Q0wf5UdRRsv7bMCat3xBjkwcxUsXVvYjvGJLdgdhMJ3I2stI3fkl5Ba+UTuanc0Js4Y/tOlmXrjd
2SD05WmbkXPw3Mk/lukoDlaggxVDZZWcP226N6g/OQ48Lr9oxnY/XdOAq8UbLbn3WDsKkTVbgpSI
B0Rl5hVIDY3sCKHMfDCWwdXonOow56l1V7mS/kmCiy4gUtVz5XTtna5ZoS+tkMljj8MZN1sm77IE
q/W2r8v6Y5Z4s6QfpfscVQbikAK1+2oxgvmJShCxsjOhHtDkutfGJ6eCOFMFdM+y8kYAkdxwyYEK
NXkNyO8Mzq6qSSP1qZVflQpNH/H56H7DGg458YLl2huDc5/EZIEsGA8JaIGMJLG0xqTeAM1eye+Z
Xh26fzZz0mRfabmIc2V2Pbv14r3xDUDL0Mgc7dtsXRc6J4lVGYezX+XdNWTc3VLTVP5WbhT97JbC
2VkKjhaEnkBItILpppVJdmPPj9+KFkPy2Atnl9G7sHYBodQ6cvt42czUCu2UFdpP2CMaxHpLTIBc
5WK1pPHypbOb+rPALvjlJxEB/xDf5xkps/2y2Hh5gm1TIwCIvhFMT4OZxTeuWUkhCVAnapHwUyN7
i8J8nrYpzEi67cmoSdcUyCQ/+A3qy2PffJytmG6ARmJVQuK68TXEmmqwVX3DrhqArTQUi1Zvfm80
PJuxGHO5AdkyRAMpWBrIVd+Ybqnh3SaSzqfFBbBybcIPOjLoH2qrTrcK2nSjFmlfM40Sk2yfbIRG
jg1GPPIiRudjogxXF1GgedBYs9Co86DxZ8Xg+TvTmHSXBtaD0jg11u38ftTYdaEvgVmJGRoCZBsf
qrM1oyl9ssw4vEqNgNeTTIkXkssu0/i4O0RA5Vkem/uu5rKYcLquA42phxpdHzTOzngtj/U39t5G
wztmm+mt08g8wshoRey5cbA1bm9pBH9O2uqSaVTfVKa79zTSz61X7QHV4s9F8wCVZgR6i2rHNsGf
MWu+YNTMATC+QANsePf2lJUnVzMMvuYagFegHcRfKYhvOgKCGWoCCgSaotCMRR1VSYwoV/MY35QG
IAN00Rj21dXSnAc40PwckHfjI1eAE3HxvrMwaKakByl8Gr7pE3w0ETnJmlQxKUe9K+0mPAnkp+T/
1vVD0cjgQB9wsalAr19yzdJwTMzXbo7l3iXG5p1wpfBtkJxMDo/OOtFcD3KD8cnjegVGNPvxq9Ks
kEtSFsHijv1GdUX1S+ZVczKHqvkNMhf+wDLjkdVBk+/BHlW8tzQBVUPEn71ZevdY/JzP/ymsuGaQ
/zVmcBjTgrfiN7b5/5JNww/9nRIXfxGW5cH4UHlh29954X83d3p/IXEQKyDRTaCbUOb/CRhoR6ig
NgY4gHREB2/8fyIG1l9c1+X/C2iAa51p5N/KPqSA/b/o8wEMLMcDM3BsX5iafdf//Z8YcWMqirRg
6NwQv0y+d90VBwvM9Zxg5lxbsfenG+xbgh9kPSX2h0zFxwBffWmrtHvIZJ28Q5pl7zI3xD3fO8yh
cyDPrctj1aH+PCwIkFj7PIpB8D33d05f/Ql6m2wy2rHWSF/L14ajauMHqXn1kZtuW1iMxyJdQFjn
PKi3Y2nGl0hZ4rVWY/U1BNLdVWPurhDAJaz3IPIbI0BaBKWKknMNgJYSWphMP2XRk4mV2+qF4JP2
ohQAoQP6eCGjgFnLyoxgN4RDtBmtxhFbP4Mdo6oN0kHU7rhmPpNH3sBx35A59zy0xIqAvJsct0UT
r5uQYqxoyREIe7b9Ybap2JaUCec6SyXfUvra7+wqtY7L4icQxIVx1/V0m/ZxZH2adMtvB980cNkY
E5LCrKV0rWGiBs1HgqrXWMs9iqhBEMateqhtxLxVMNzyQZHWNv8knfaJm7W4IekyjpPrJL9b/B6H
kEo4uoOn8dwALfIWGjOuAWGsA9WKe6fqq1vkN9d+cdTF8MgEY9Ch6M8o0Wp2Y7wjQCV8NcmA3M9R
F9UrIgRlvfZhXr9k1/vvqh2Sa+8ZQbVLq6amjZXWC0iu0Xoz4TcR5pTe42hI8z50q/Z+HDsugaE2
+l0fukQkJiPv2hANOyP1uUGcquMTrsW6DhF8EsDXY36Dh3Jbp7/aol/2eKyCddXQ30S+Vn0w6jzY
kv+bHUqwauYhN71aaWru6Bmi35w02PfJY13skvG9TInKVll9JfdYrYU/i+vSFJ9GPE3rnFXpsQfU
2BAk1M2rNOF3jZFtbe2wNndYi8lvJL1lXdRddwygYFZW4UUbikHaA8Uz9NZF+C3ua05sAHwCfpss
67P12Iqeozd0rrO0xDbouuZxWgL78v0edFbV3c3YXI9MvfK01LzyuQ2bDXnP5BksgXcnLWYuFIR3
aU7tu5zmrzxqXwExHPCd8EgsVL/yra4h8r3L2Mh6c9uUTD/hFL0p4U3rQXT1yZSuWCUOnw/m437d
RiYddjp6bDIM7ydl0vhyZVasBzt542bDRYaJ5UjhExmOWXQWwSB4b7txb9hIyeWSgdhYw41553Ni
WOuT/ILg3fwyXRZ3d9adPoK32vwFV5/view+9DHtcWHTPtctPhczctXZskDI3NJEzR2ku5gUpEz0
j+DcHyqB9W15G9d1Ot6WmvoRn2SOdWT01T6sJ29DCoG/Fjprvu+jc79MzjbqYGibobyraCvG+On+
YctnhoeQpyBcf6tRzbbhHQ/avDH4HLx8ICkfBmQ98j1fkQxGst1oyx3c4Q0X4DnOe1ybBFEHgpNI
eAuavjz6mgLvMKsaPS7+ng3IcLoplfM+D9VybioU+IiNTtlgn5K0+qgTcc5am7moeA/MHE+H3zUo
TUWBfq+M1hCVTHocMhYojD+W+xDZYZEToF22HACt3b1WAxWfc52pbQUox2fsMKnnIvz0veDshPOy
WvAzbIKGLXaakvu4rbb+kDxExMLT85Tt58q+b4rmN1P4aZmyAy16zbqT8k7KgPRu4+i5aX4hTl6Q
XsK7VA7Co12KNrCROMX1ZENOMyqUq7GybUahuKDpi/4yWWBHLyqJxt822xMiS8He6Q3Pkx/jObTy
QzkahP1QOpUVsz7NrAejdUjsAjrfKMf86uyC0HCAzk0dznQyjRSKxZwjoDT0eKPSLc8zCdaCdMey
dn8UMVmblutyMDszjHTk1Gtcsd0B45sAxnO8Az1cOII6Vcf6mjla+UikONv2DrTlORGWjREHkdWC
GHRDHfcD5kQ0uFMYbcmOqnEUBYCWNnFldYB9gkyWVT9mn7YQPxinLHBqCWSU+kSZ9cklp69Q0OyV
RuW1iHyFyX/GeeS39SYpmLAxFp1G+C6GXRVBatLHRilBDhccv/gcgmQY+Ds3mR6IJ7kvDcNceVoC
JUf/M/N8G0a66J4Yyx/yPv7C8/HAU3nsFoFVxnoy/eUuM/3fdJj+6qBhqZa4uopsp9ok8NYmT77L
rI0R2fduWL5CkT4neeOi7WkuCLTvVB2eWyaRje/mL23fPs5lcXGiOQAraYtNMtjncYmutmy6M/ma
xp6OzdvgKahDWtHD6NQ4cO4ujnNhe0B0nbk2ez5ketyhqTBRW/6SEBSiBnIkC3ud8OpXI4oA27Uv
bliQd4PUnja7W0A024ovuha9Me9mduutvTny127SGfu5wWzRR1jgraDbIdmWK1NSC9mMUb03Ca0N
HJBGTC9HoiiDh9Ed7puQid0lxZFkKtTHWVluaYpm4+PZW5GnSaRPFOC06fkS0gZQ6rmeoK4ZQ18s
nccKc8HWmXmCBpuE5bh7niN09wvxtiunT/1tTBl6DSq1tiuQv7Y3n8YJedsc0IlVZqm79T1tzeDZ
L/asdxWnO1ELYzTQbG7oOAb+PNbYP0nYzBsUZc4ul+mjbxYIXnIS+/A72kQuRyWbEmrnqkrILqD5
ZCtN69aSNgO1uHSbOTATZAHEx9DVmG4CrGbWVN+HZtOulkiB4MB4d8LRzYgknuPhFhueD7kOM0iA
JAsRzsWMRASrkoQajfU+pLfqEFeg0dyXVACkGU4rNXD6WuqGytPepr77x7ZwuU2Euu5zGxdRGacB
qvXMPIwu1QmVO35R7PuDDxTyMXKB/czmV7AEKQySrFf24CarORq/XEIgCD7F5R8lU3LwG0mFPXv5
1M5fplTONo/j9ipmOaErQmIUSOATT7k2Jk/fBSsTjEYg9OuyVOVpCix0PEPZck1zZCDESX4RDNFu
6fKK7yfcms52ibI6BCkDmB+jjD10abNDlbj+Lgrw1ucBg1pSAULXXRqdSUwsdi3wxZpOsWhnUyKy
aQQWnIxGRDbXRa26uVZQMiP3UVYFZ8PMWa2HljRqugxOGSW2zwSRonVIOlRj7SCPXunU+3FWfwAN
za1r85FEQxPvWxymhywk+tszI6SiovtEMWk995BLq4oSmK1Ilru6T9t1L/uazAao3VEYj/6ccH8F
I4rPDA0EUW4bZqXolCSGsSU7JDxZ5Tiup6kzdxYZAySMCpTQ2HSEzGg1nwsyZY2ajd7rF+bKDF8W
WyK9JJjIvBiFppzSaL2wjz8uRrv8iJscfr9h0HVjLoKxlkcgcgkUXX/l8NC3kkEQL7z85Ri0KfrI
5ugJArycCvAs0UTBth0xNEa4lPfyu5xGqCnf/l/2ziQ5cuba0lupDeA3AA5HY1aj6BAtyWCb5ASW
7ND3jQPYU41qCW9j9YGSSs2TnpmGZa+GSjH/JIMR8OvnnvOdeJIDedeKTzY1Giv8kUiz0HsTf8Lb
cC4UPZCtmtghljdVYGc3WTuos0Vw6IkVLCbZIfiqteauxyfCTYK6Pa9zDjH8gNVQ1XQc9SZOIj1B
317qgoIK7WrSzGYtshmUXpqEFxye6fKKZIemyuS1IWPLmDPAXRrEzRgNh3qOoFyLZX8D+KZNjXcQ
u84tp0cKxM6x1i7xsFPPewNL6UA9RtL+rkT9m0xjtJ4Lr3iIKrvbTppTbKsAC782olx4jG8Ps6ru
Ta01gxXPAXNr5kNKtwv1QKYd0LCAgLVikWDggjP0tQG1xq/B5K0rYtEXIGNc4L0cGSrkYOW5SmjY
i8NjukzkA7P0kXhniVsRQZKs/z1YqasXshcZx6L/hf+AMBV8dTIsksE1moJNE5Yn4pn1mhhVf5cZ
qkFWtNItqmFwzis9+ZYDJSGOTS21jUnmscZBtkd/LHzih+Gd2aVypwXCwi1FJBgH4y9lVbhWrIAy
JS3Nn7W6jNbOTJ+fppmQVoRldw8epTPrwkYqNkebjqiUEomNMkb3q+okj8mh6BjW5mznATw9sXcn
x1wayXu6FDo1dj7vE20aLsPkkJEs6b4ak3Zb2bpzY7EQcNM03MiIECfroeY82PE1jaIXFpPZa8L4
+pw13p+6+v4b2CNMvAz/WurAHhEX//G//pnawd/7iz3C/sOVAAno0TEXlN/CHPiL2kEHGsMWYodw
LedP4MD/y9XVLYeiWL4eDJYrF3Dgn/0RcAPp0cU5gZPQlMa/6///aQ78G3sErCxUDkkMADcGJn3n
H5rthw4PhtQx+sV6N4AadaZSRlsTEzVM9gC7TUa66ESvCTwRoTzGbs+Lb+LELt64cbgj8RVdW97i
qCJr1fTaVevCcJd0QrwNMg2zjYqaueMCMmA7QqqdL0leMe1aWuLCAmib6SaJk3LZBTu6yYGLlQAH
mb6xsJE/Ox2k0A5UCgEXl/RML2ZusAM3lhclteCGqtjgicqX9C21mIy3fTqZ1GOXGoUGlDyV2a5v
vPTXCHT/pTCIqmupCJ69JZALCABjd9LU4mPO52YnhighQcvD9SJF5j0Mtct3HAxOtqkDN7l3zYg8
uuEmhPz4ofMX8oATG1zLu5uaDP6Au6TdSf7udHYIC46P1VZMJxIF5PiPYtYHydpM8/gBy0rx3vA6
bicPqEDkWTXRzTk/aeOCS8078tPy0AZWHR0JjWO6UgiiLKVwvRbbOLeML+HUbHxB393wXLQZoVK9
abbYB+kGJrqkD1uvMObj2KfmPc0Lxpsg2HiT2RnBbUPGzyBR6MfNCGm/zqMXXk1RzF8yHCk1EPlU
GtBZh4GwgwwtOnM9PdTWNrbZZD04ctp3Y1ylvh50sYuRvecpFir4DtxpB0zndZPFm7RwaJNPgObd
p97cv+lZxXU9JgWQsNY44BSoz53GNWE3j+Q4bDNgkit7mR2ptS4xvCfR5zj13R4znLOlmsxmeTyG
TyARbL6hztkqjaXJyomE/TtM9PYWO19CxLzgbM57BwJj6VbAYKxEzQARYmgwY0EYkrRL/z21SUOQ
REXZywh8+EQir6W6E5PGbuCXtyu4iLDhpdfAV0aqDobhpV84MO3dGJvOwxBGA0HeisFBtwP32pvc
xzy2bv4clOMrQrsCZxDo81YUnbWbEkzxK8xFvLgjNkagNDzYMUykd0Ec1jd0rGjgDZYvirq+f2tn
zfJjPrl+YPbyew6beRfRYbLy3CF/tNyI22TR4URZtZPVnBTZsnw1xAiJJgHivd7qmLHdAaGgabr5
4DZeBJm44odH+3YpumhgEhARDXw5456mPFzUZ7vF8QJSID2FQc/oTkhE9/XCTnGXiGD5S4H2VMdN
/F6KwWJdJrUy8dvQtU8DUMZndxgjn9W++ZKJPLsf7DGDZUJX2CpiT7qGL8rIWAOm2NhRFj/WTZ61
a60M7XjNtctYONzVUoqn2c9pVatg7024Ucaytw8e7E0y4dJ8w9SX7ZK5aNrNZOnB2Ztnk8+kPhpP
ltYFq1irQGrqoTxomcuEbrraCz2GWKeASQw7oJf5lQTM8AbWfHppwLScqyhxmJSgK5Ur3tzRmo7t
6I1AErUOeHAGFmuVjpMIZOe3GWQF7JUGo0ijEu7cihoIK7U9citApIGLx1f6C2nK5U3DLFKC/XwH
Kpn5fSWCdwM9YTtbsvIxppgXJ3FQcxG70jVEEPU66oZpbpLaMo6Va7SnjKGPjpHINe8nfAIX0vOQ
pKN+Tn4Fuhbaq9FrxpvIjbRPPjfhFiaIceDZQRhEtjI6kp7q9lDm+l921aevzjDBbLMsVuvm5C6P
ndbdYllOPq0xDaFzREb/BGGJx1LYyfno6Gr8HuNuXFL39oXdFYu7JJuJQDejYJnljXtBSfJZObp8
BTFXUD4wsGCZveQyVbnx1cFOO8SBC3EC08hBem7k95kOgNntbWNDb2RwCRxoLrngqusa1fCMlyji
sVOWya3bx7NfhTqG6DCwj+VoE0OyavmI1IUCUVawuY24M78DzZG/cBfMxnYY4xhsX9K6OYYXiZ3I
03RxlxPEtDiIdCG25Rg8B7ZxqbF6CZzKm1QzlZ+liWvWe9szKIJh1ZkwbS+wQpc1G656PCXgUK37
cvGZRA2MUWvxnlhEMWg9Xhwp2eJNwdccbIPFr4K7GavG4mEhEtD8QpbpkBoK8UyRR1lvo8XyQkMj
7hcnyzpfBG30q6JD7bUHObilJrrbZIt1pu9DioQWOw0IVGPxhqg7jV/fRiNMf4Oh334R2Mp9HqzB
vlzsOW0mqarTtIyIAuWk2xEsItOyiQyz+HpoMJ8eZ6+O3mb+W9tx4uQA0MPMGzbDl5vX+W9D4T1E
oEmwuA94jnYulNxDarl0G5Y28pxZhFsi486ZrUPs656CLlu75RGZlZtQnU2PSeJa+3kxLtnFVN7O
ocENsHWTnbkYnOzJ87ZFl0ffGXh5f1iMUMZcGj4qFe4oczFKtYYyj64xRXdR3g875WnFPlysVVoU
zifNxW5lL8arZrFgqd6b76OyL9b14tIaGWJ2di+8IywN49LmbugnOk4UxE+IP3mHMhtGOrqThs1n
jt3+nqUIhjCy/PigvAIWWTnoNSdIoqGUVBK+iLegRug9RfcwQvgjMxQPnzqkFloAD9SVHVsVHgOV
9rvc1sY3mnXYrkw/WBPDoZNxkjk89tic4xDAygJB0dwmeTOMvt+QVU587IBiU6jB2Wt5Nq0McE5+
NmHHiJCjn9sExko4oBVEFV5oEIjeOR1HawfEYFhrQ6j5DnJzufJIuV+strW3CPjU0vMB87EWhsdx
rGvEQerc1aTGAxtZ03d6EiCWtkBFKuqOaPCWxRqTvLfNNdu54wGWXIPQUZu6mZHoM0qG2izmp+c4
9xuFdGk4wrwCeCS2D83vZHdGeerYN7BYSvWNrgzl15R+7jqobDggmchMINArWAsNLjKWtHXT1jvl
cClrt2D5aFQ4JalTHip+6kvelu1OaHl8IppoHWzumTdhoIc09ZjFrTVgmGjJDO3DdBZ7dBqHPYnE
cp4ZUeSLfta/YOyXm0QyqQ4GwavRMrzD3NOgaQe43dYaTgcCRsG8wHPYx0iu88WyFos4u1Z1bdmf
dRN0zzkADujr5eyysYH/s4JrOeJUmselzwyH4GtbzOXLCLkx22RWEdIaP87ybBFUfMpsW/scKg2S
VdjFIWHGsGQNprHXU31QxXvCXYgCWTYVX/3Ul5xHeaAIW3lV9RTOhDFhydvNfYHcccdEytsx5kP5
bUWhe5hF6Ny3dTC8Kz0lGNoFrY/Q0u6GLCE/a7jZsPPKCC5f2wrCp+zEnhxHg0olYuPB071Z7htb
JMY2MV3S9MjqOgqUPlxbymGBouJy/s5gp+Am7ob6vrDG5HcZVaLHbkR2f9UNOo6p2J49g/lLod46
SdBS2tnO9+NkdiwPSAK9FWRonmjdTKYN/afiRGucRvJC6fXrzzXs37pwXmKirG353f3P5a99lBVH
bxh1P07yv/6v/zdd+yZ3tH99Ld3EbdfEXfk/1r+ruPud/ZNlPH//L8t48Qdrcx2x8E8d3H97PWVP
T25d4OjnKkrj91/d+1QUCptAtwvkA1HOdf66jBfA8F1upXwBBn6+yvh33Pu4/f9xGY/RWOASYB5b
LsuSm/XfLuNxduTaPKbDBqY7Azu9YoPlDDsbMWgjYc9jF26xzvJUFmS1EACNC7npYWUoAQ+117bu
YHXUQMx3Ey5irPvTqxV7J9mkb56nTkMnrp4FzwUyzD5NCblBRNg2TvCSeGjkelLf6g1B0qByn7uJ
6uLQg96pk9VsECVza5Ywm0gOOa4aWMjZJ9OOqy39VjO+fA4J1fb1hjZqcU7K/BoFOuJ7PZ1YioBU
8/JroyLuqU1a43MEik/KMXvSATccJhpd8E7WxjqrkwnIH4+kIs/bVdCK82zln0Dh5nVJ2vMSLcjz
flB37DbqzTTr46asaqxJ+sy50hwtHPII/TaHU1jf2TylKTlxm/3YI6LWSylOLjvaLaLoanTF84zf
ayVjnnBaXt7xaxm2Udzvcyu8snjmKjqLRzvHi6Ch1R6V7m1xCtmruODSx2ud+07hoEqb3XMxUogS
jc0xXbhb7Mf0TR8vlVEoEhifkxKHrmfROUwwNCF1vzMl36kOWm6VC6HWwPAe5o7wfYtF24w4xYLp
EqX9dcLkvqLvna2ixaBS6Y9mJeDE0t3NmbY2R8KLJkuEiTl15fRU0ipCuQQniazTuIDV1NCeUyM+
eVUwrdxMvKT5nJz6pv49m+TGa4P7RcbIsc5j97ULNQTTmOlyMhxK0gabJXGoa1z4kg/CkPYmHpsb
4jEFvChj2/fFnja44juD2wQ1Jh/82Jr6LXi3ZK1PxUNbps8mnXAnvP28pePwl8ryxneQPzbt5MUs
OwpujxCsDx4T670sjGgd1/D8IAyzN6iGG28wPuaQIh5yI2ujCwfig3QxwEplruHXl0j7ij33iIsZ
q4lLFW7paM6tTvXcQbeCkeMFN4M2x1tJrGxF3IwHc/pcefETIjAQwX5cC52+lQYK5AakIHWMCZv/
XKbE6Mv5PgYhBSnVyZ4kp8Oxb4S9gXl1iirzY8EcG1Bad3pkV9tGsWosqb+kq5h1ZmSx26FNaB0H
zQ2jllgTnWy3KujfBG7+FQKVCY1P3tIME62jMHjXkv6FThr2FUPzMVvpRz4vEMcguyjNeXGa/BsQ
+LClNW/0s9qEbevCxzTG+FRW6kkftN8Nm7acG9LKiYduOw+Zr0e6rzwDo3ZJW092zaEgr3NBfanL
FkqW/TvPo10O1yWju3CN5eVurpJ919S7KMTEApN8GNILXZrHORpOUx+da3SeqioepkSeKE7lfRzR
I6HDlu1N4Qd5/xZ45pcBLGKsp0fH5Z1paoi8GWjauCvOsNB4kVX7BUq5JdLZ+R438FXiTI9mYL50
rVnTyACNuMMcaxnJvWUKks15znqdJ1XpDO8iYm2exN7N2KWXFJRUlXQkXbqC92srSESH6Xtsuo+q
a78tCyBCkFHw4MRHqQ20UFOu7JTHcHYvANCvfZR5RFKYkEI3gWpVTGc3G6naiIxf8+zgGvCcc6wX
fP608j6t05PeuW9NbL9bWnDVRq/bhG5z7zTO6+QMH7XpXPMmvmMSPGJdIlFp8QgAtg7f7SboygeJ
DSTT53kPias6WvGiPHIHngb9WNDhVDcKz0sXfMx1c1mifvPkYQ+OWeyRHEZX8MumuKcr+aTjQabg
xyQ9AG6AdQGdo5hQEmpdqb0YJD76VKt2iwa5Mnfapq1ROgfwX84C5MyleKsmHlIa1ve4VkB5Zlzu
puudHDdx115MutfjRr/CYkp03c15QrfxZxoH5ppPuL0ek+qaGF68z8gRs7eKc3yrYJNIGcs1SszJ
MUu5ilPUFkPm16FgkZ5m7IPFdOdMs7Yx5/Z3bcfknuzgITC7g8GidT2EttqyuAVL6bQuuS77PgPU
dizw9jr1/NFl8yt5ricegoe6ZxmULuWOoDADGsWMlHBs1+2oduzQpZzGhydwkjEqgKEnfjZg+C1D
tRdLL2+Os2llSn2+jaJO7kpjfjILJBKTdxLmJ162tsGpRhYtvRkTUCFpO64Bdadrb8gQkKn42rL3
myBS5NfA0eNTmxj0OfV8J3bB2rIHXKBx8Kww+qU7Wr0xaKtIcd5M7MlFse5U9p013S0MfPLlg7TO
Yk7o13I+gSH4EU3nKGg1T+JgPqP/bKEX8tAomf1bPoyN9jIaxOQkeWqA4jvayPkQYgB4Ctl5vNWT
gRtARLe8Wiy7BS8LhqVXNZCgw7f4lmJeZirF213FEpsB0eFNpQU7DpPt/59T/870+V/DnOOP6Pfn
P9ue/A3M2fnDYpZkomR9LyQ4579uTwwKBqEnwe2ybUv/4Tz/eXsCWAkXKW1MusDzIgz7r9sT8w9n
+TM6lxzKQixB8PTfCJday7//D+FSabCOsSRYchhPP9uVv/GKRphFio6U1sbCD7NJOPGpsDMHXHXZ
XO9zhKvb7CcsZA89wyG500uxZIlq1FvYXLF+0UyD3abtZZd+mOJLw4fsEP5EktpWS/fZKPhKq7F5
OxYxKigmSLhl7R1kjtt5NjYKZUdse0n6ggbu0LprfmQvgExIYFwckcNm9opc44SWzWt9EcxKU9oH
ah1Q0TSSnI8oaTX7/9w5MlQ0NFl02tlKpffLFfhwsDpq7sVNp3ofRHX4wnaD9YBuVX7duvOxKttp
lyfhhJYQpC8NbTy7sU6NOwuL6dEONWyYXWoeUMXYLC82B7Ns9DvC8/qezleytm3Ocdkv8iIdJjbm
DWf8bS/io5XF+lH+KJLZIk6WoYNOKa1ifhSAcY+1afbnIOooPsGq2r20XQWGN6Avux/N6WQtIqie
CKi8sdZ2ew+Nf1oR44KTOARjuY5jWCa0yyrfqWLxiKuHaGdQiPv8R3nNQq09xYsci+kEZbZdRNpu
iJgSfpRbGktMuDVh7euLsBvUZfDOcZ75Vh2271UWFSlO2EUNppo6vjYEJM7yRyxeZGORNc0+XaRk
isFRlUHx6V9uhRVqU6B4bcIfBRpEVvTGqigieLoo1DC4DCiSGo8usUjYpRepN3uRtaVCJoOwgdYd
2UH2WxTl/F4GI6GBRR7HSsOFfVxE8/hHP9e6fD7goVWP7iKvq0Vol+zN1xgexnhDhAs3Cc3g3qWm
vDZfA7JKTx5cwvMA0/eTyRD9Xi5SfrWI+t2Pvt9VFsjbGtcfoTMWAFXopPeeE4qXmT4+P8nD7Bmx
0T5pVcGZXfxsEmopCQ0t64Whi01yJHAB9tjgiK95yyaiGrwUXQmLQrEsKgweAxz7AeJfCdL4opSZ
f4MXzWhxT0jfBboYzvACdBwECSOlonUGxpZTfKuArfvKNaKW6qxlfcLwzirFXbYq8C7ABSybltwQ
3BSHwS38IeGKVNRVi21u4h+F59Z/4iqob4Y5z+76nz0ONw2MTsmQ9SvRhMYVpzAOMWMcL5aTy5bF
qo3YntskxemcfBoajHa8aThHZ2tGycmEtHc8ztIv8DXM58vSaTHCaasGy8JuTAHPND/7qWlZVSVO
z9LqZ381jFb/3XEMbtJlvaUkNYOMv8vWy3QHXIzBzzZsEins8GVFZjM2/CZrNyIiLiu0bFmmDXYa
PlXLgs1eVm08r7r9xJLzs6F/i6AxKzn2B2znpmVRp4VtJFkQeP3JphXrCAO8OS1q4MbN4uEtXhZ+
yZ92fz97wFYL8o9B763q2qe6aRwcPQIzBZKl3iu819o6oUAWlJYtxT2qU3BDpAqfpa2PgDMcoU03
cQWAmF+41PZp13UfrUPx2MocbKaDMsytV0Ce2HhzndB6sNgUSRdBoMRxDaKLARQqOehlT2y9GbFj
m1HpYgOs5PKxghbfKRzKRo0NtTEpO2ce+PIKWRwSiiHOshmGfsuSDHUM8k35wuuuPcNoyiFQFOHw
atDWaOxm3WzdfacWi0o9Sv0pG/WCHo3Usb9r3QRE0XD7+cJ0zjXeaUvjxelgXe1A4umRH+leH6wd
U/Gdg3khEhS7zLTsfYrPqS2Hp6qAo7mxZRodwGTyf+klBhuWXVrxqYmgiDe20u2rsiczWPdEG45t
q7D1TIod87riFngJsEd9lHOJ0xe0GHAjHbawgqBU9s6m0LDzw+eAKH07JEPa4aujja/xaoO0vNIo
HojCr9hVpFMp/qwCbuSRcH1p5+N9ZNWk6kynGL9wWRkts1/Pe9eC8XdD8zxxqyAf0zuNye8taONx
puygSQ78/muXnI+LKVFXcf+deT2LodLgCcqJVbWf7Sjcx7S2Zhx8Kg/f+tHTQDUVdJqABo/ewhzb
NcN0c4dVLvfpTjdq4mdudEFVxslQF0LpCPlG/RCUC/4EH7ITbWlwmmwCvn3XMUHa1cFeHPkrqbfq
LG0wqBRyS/O1TIowOLgMuPampauRAkBZgs2sWksO64D7xBenlfulpsWwpJdRPJ6KaapwtqKmnSrB
/p8XKxv71aS74jHqvfyhiS3zCyfWZB71yYu4w0ecK87k4jlqNb14Ip5n2qucz+GDOc8hKHh7mvRj
TaqbWiN3AhnnJK08Vy1rarYBon9bFuBvS4vNayWrZgvwqLpMYlkEzFUZeOtxCdGh0cIMewmEF+hb
A9p2cgzpta23aaEnoAFC7dYO2TqtTbcHQz1ZeHSXeAoXpE5vouoI5r2UVM9kXhN7my6sXCDXRuK9
WvgSHzt7CRgbbml3GEiS7Iog7OyTVHlPnsH30+p27OMeZKVKH5XYO3H+pSS+bu8n19xZRFvt1ND5
uVgCuNCffcLkqZ95Rf/bMFx4YmY8r6tq0PbcCcxrgST4ZiQF0nLnEquGpCYSYOxN4luW5n7WhBn+
2zTyCUTVf60Xr6Py4z/+939WiZe/9ReV2P6DrQA5R4q+F633LwYmh05wwRgnuag5iL7M2X8ewd0/
bEdCduGPBQqypzM4/9nAhOKMTZbYlWT+tg3pmP/OCM4p8HcjuGsJxm+aTflQ6YBmyID9vULcKF2i
DtUm1Vqt5QHq15yPsbTkh5nz7sI5k6GnhKWQ1zwByiDGuD45cejdhZ5IkbTiEYWzLUXxizQPDG4H
80ugatdbm6RXGATyLnwqETqw6pFxRkZstXo9cwri6k3x6tmsw1n2JHHzFhQ0NWAj6cODCxpOEmJp
ohcrjev3ydNK39SG6JuFNAmrVDJGrIQqg1MKMgUyqJMGWx2USLVSiTUsXnQBfTCN22br5HUJZKvS
CDp2oTvzvB1NcPc5jpVsi1I2VmSBsukmIlH9WaSAm8CasGKWufS+OqbhjmaEst0stvDNPJrOFqSB
AFbWq9mfo6zElZ8qDoSSFdqBR1xn7UWJfWJFl1p2aTUA77ljt0dHG/guu07dK8Puo4upS8mimVDu
bwZIYq9CVycLy8SdrunyUVpKIAoJL2E5raFTUWVqXp3U0hFT9fyMfcM8APCA+kx07SJak+uTyndK
pDknJwJ0XXv9S97hQPJbHDe+5UUUskRgw7m7xBUjWplsW+rhqLMWxJJoCfFt4fIgrOxhZw6y9YOp
G7AvSRMrTKeqZ1wXc7Yui9S9KYwW32nTNyFQAgNH1DTk9EA1LvP3TGKO+IED76sW8ZE3WvKNO6A7
43fNth44s6+Mj8y7Oeu5X5lF8EBeGs8TaWyPky4L/ZF37NlawlOtl9fHNKybBybm/GjqbbLXO9U8
auTJN41FKqIBWXEcif/42dyZGKL4OvidyMwpvFq0yzA+cFPOdjO8/mwtm1J8a9It38tlzZhTGpCs
JtuobzTluE/03sWPEbCBQ9SjCLX0WJ4zEnhrnfvakYSF/PJox8BM5nR3OR/gTdU4bEu4tz72tF0T
1OvCVyPqiwuCsdgEcNmg8FGCTO6ljfxYC5y9VZT1bYIPK1rLUnh7WnGVTx1B8W7FOLbQK6W6M4K2
/UoDWd0JFbPV7YV2j3JLz602VVhmWH+vRtJXNznB31OZhXxcAyf1wNc29nFq3Pa+5Y2IHVDV2AXn
cU2+IMZnK5Tx1NWK7A8DlP27q0G1tyEd3RWbZvbDo3aU8Jq2A60zxWqET/UxkMp+dmn/C/wgnrVz
RWJuq0H+w7s89PQaYOjYWKOVnkTm0skCBybXVwlb5hd8KDl9SMqtdxOhTLk3Z1S5WbApoNgb1Hlc
NbF6ISGIzKZKOztBFZ5bSpcyhe6Nov6SxXhY9nbp6iHugSYE96Jk+j0aevs+A5V9bWDX3fVdkjKe
imaxAQPFvMk0RDaZAcdBFjarz9gzpl9BVmMiZrvuJdQ5zEnIGyLhcmNJ6DHYiSwVolXOKZm7oK5g
nNt8LEtFmygSX0wNSVpuczWkv6H8g8Jwe+8pbJr4ZhSTfuACM7i7sWjVUVJc9x525nQx544Zyk25
om1qqNHXOnTNy6hUy41JN49OgeW6Q368TKleL+br9MMaBmMNHWj65YaaPMi5ttlqlbV1tkXhPIA/
mO+tcpovIqNGNGptekQtRtUHLe6Ngw50kze23nzEMsf1rGpul6yVg2EX9PpI7DYP93XndicPD+Fr
05AYaPFDfwKRKjEn5AFJU6UxEYf2KeADBJ+o7y+uqp19OxJ8H/p4+tZcp72H09IO7DiK6FySPuOe
zfz2wA8SrQ1dVmdQSrhKZSZuPQxru6TQ1WdfYK/ZuI0KX2bbna9l6/U7purpiXlxjkBaFtWTJ8Vw
bHLahyc6bU+R4dHDZVf1c9dpDcVbFEMIXrxxqgknjrH7lAdUxUsrJwRq8RiIZQXawXsJjSzyZ6st
zp5M5ZveLK3T8Hd3tZnLr7KOi7MregNtFck6C83oQVQqhoY4D0dpasCXkny8JbuUyxWXdPPLDmZr
k6Fp35ISlUz0jV3KdVl7xTEgy4/71QxvjF4rT63XcqFsdVOLN/ivsq+8iUBYKi3Q370GS4Vbe+zG
hojNDmSPOzuLpF8AQdyKPA+fQ/iAZ3qaI4rDBL8w7gwVjV1Ga9/IjG4l2C3WHWs+/FlqjlL2linP
4ZgbFO+FRGUgmfj2TDHX3BbsaJtFLuwt5lSgbHHXX82RbSAJ5LrjhhkJp1oVIw+IVaZPxmGMG7Hh
okE90Ogl340XO+dJFIJ1S1vc0zdWnMVQOkdRTgSFwSJ8m0qEp8GY6mtgEKpYRXHa8o8ahcVYzdDN
7ybiWuKG4yEFKHdASVZHI6glQH5Pf+KEJjnOJ834JdJeX2cVFCaHjs6bjvYYPzAGtSey1/qG1UDK
5uOLhbKgJIJ0N0/ZqrI5Z6fkjmcju41EdiaZcHrU7TJ7Ijcjnu0OpHNL0PGMXbv3o4Js0qrXZHwz
UGeJyjb32wQB52Tj5dwpo3YitqlDtXNn13hKOXgOUhmdvYpqqGgDTRsNjQ1pu6brJTsEGkZfDRuI
WuuhsuATReI7lyG3oinrRL62Oi/dsnFU9maW0D/uQd9M+gphjkwSlijGf/fJMFLTZWOh4jdj0KPn
kv3yFjMazWNYmpElUzV/hvhsNz0JjmsBncnPDZJjbiqSlygjO1h7iY5RfGy3muu6lLlZ8tZMHHXX
2HPCXruCsMO01DU7lsHhNm1ls+XhLO9VIaddTPRpp7noHyH2laD2sWVXdymEnJPrQRNBq1JHs2vD
vTF2+yLI5nTFBzk4O3ZmH1tRwg7vOHo5y6KNFzk64mvOIdz22fg1EPGTTJtz9JC2unq2YEB9A7N3
SE4GA0hQO+vfI88LnpoMH0DGn27mYspIdQPU82DpkgtlpaWmxtuE9jj8qmUE/y4paHn3iom7s7AD
HNR2+UWfRr5N2RUd8nrK9yGFu+xfk2qnJWSFXSG9z17Dbg87uWHv3Zo/3B0CL5jaLlQOqNcmdbud
AQya0c6qb6GMdZ+RnQKZLyhcWfWT1h81T4RYuHW7fRaJkk+C7o6lBzOZ/bJLOp8iCXQhQ6kDC3W4
hZlq4h09cGZxLArdODVu6lxZFb6PJa/cgEB3ifKk9cu6K9LNsmOHOBOfmsGJse3a4gTBvj3VA8K1
0yr9N09z8zV1LXVHKp0HX6zGT2o6OcKcthHnSFtc4QSUb/JUK9kyBf3vSDINr/OqTfJTBkhPrLNJ
rw+0sTcvFjCVK9O/diSLg1HZTRbzhMlnknIe+qnpXSifWbTTBUbw7ZIbuPUH+mQughTuh9MYsNkq
OX0GWQSjO9HH5Timyn7V9522B+eyl7GJrjKE2QWJP+Z4Zcf+K4yd7LbhmeJyHY1MyKYJJ/sKHbE5
STflLtKEOZlfLVr2qXpQfiWDAWo3ISPw7I5Rsp9bttqd1hovTU0xSs8IA9MOzWKE+HCXTKQOUBrc
9spBQJScV9dCK5lN9VTEpRayj/fcW06c+ezUPJ2RooL8+H/YO4/k2LEsTW8lrcftZdBiWNAO13Q6
1QRG8QjhDodWvqNaR22sP0RmdgUZUcHKYZv1JDIyHh+h7z3nP7+4lZKyNxYKwQEDMg7g/EpSX1SG
DWHTDfIz5j/pBzE/wieK+47FQCizY3UTW/3vDTT0qvhXsf+7puRv1y7fF+m1bbDe/EOjJomSwnY5
K0pYOknJ+D2Vpx7NGzA5arpcuFlj+kw2GapM2fpd8/onRxHnX/Nfgpa5H/x6mG/2HVJ2vZ4Bvi7u
ItBON09woePhK9nYg6d5jBsPyETtH475laXEMQ36XNhSXJ8hcInfLk1tBmbZo4GBhYMi1m7sy1Fz
3gFP3cU+83842B/uIwdT0RTpAui2JhpzQ/y7mRNp4Biq5+XFbVzRk1zRkU443zjinRyOvvZ2Ccm+
/JcvkA4ezw6Oa2gohYhA/XrMqSDdt0X1N77TGQWNn/qLExwRO3cgszu/XeH/5+/9L1HgiZnKX85F
7V/Na/1HOGb+S/+EY6R/o10zJKxuQA6/asqUf4ORZQig5QrJMr8NTP8ByYjCv0HW00RTFRV41PTZ
/xeS0UFr6InZDxibyvzUvwTJyArmPr/7BFVCbSDraSZUKeRLXPC3N9Qo6qK7EFXgyHVhvM1JIeve
IEqUmrFUPjV5QfpJImDMoUYlhfpUsJgJZEK8anh+7jqULieVfCm/jdQMaw/tPEqwofNoLZgplV0K
dcfFu8lwwDEJuiwE42r6uICUJ3yBx9LOcHBB237pzh7QR+yl56TBoRTf8tKaGH763QCkCbMeKS0A
9ZuRQAcUFqN+pLic1mKnsWqcm8UjoaLyL2xVk/cEp4rVCCsCR5Gqc0wtZaYzlM3uyoiVnh/hpTOp
mvgAnThbt+Ni9AYMDbfaVcz9nGsH5ZaV5FFOCqOwZQJYVwondRpyHbPYpj3nzzU0j+OIZVCApk20
o+Y6hjBHEiTAY0zS29AXj2eT7dkgmmRvyIr0iJFu6fHlditzxB7LUsYaWfvATwUXUemf1JYeCeKU
uvBu7AtAXpfmk9T2DqGRgS/PWZquaA8k48g8DLJDLN8u+6ghqMfUcR5GNdyUD2PUozIx08Vudg8m
bLSVhce0wGdSwIAAVVolLUJcQKVVnixgFOGoDuMI5w39kRYJihuwLSYdknRdkxEuXYHa5dwl4U6k
UVOmN3WsBTRRWtmvlRa6oJMtmuFYw+SjqYjGPVE+MDBbDMV9/EYhzyOYud7rYqz0QUODKRKFMRin
doB0DAfzWj7UBOV610q63VPWX3Zi1eZBcelKH1wvDyt2TFw+hsvC14asflOuhN4oyaUMByyMP7Kp
0TQoceM1UNsscapsTF+4Y+NoqZ3crQ0jkg6LLkY7TYoRfPFGVc4Bto3dUYY8hTFio4/7Xr7Ow+AI
H+JMoKvV1ETAqjYTGapecKy5W1zqBeGZ2cj8CbmwGKK6qj8lLNg7LGoZLMSRLh2vUpq/mVKL9r1G
BInSaYK8iv88NgzteW4gSvzPtVuBLQQRpX6kyDPPrcXYlwFscn7A9AGdtSBRA/bKoDMUa00P5TpE
HUDCNMRKIV4urvMXSBwqdVIRxbC1MKT6NdQ9CNe5jg51ksmN3VxNxYkJyAvx4bwR/3uWBpMWEsdV
R4uTK+yhIccZhJzYD6DhCDl6K63xD9JPF1T39AvTeEwqvEJ6nH3xPEnMIiCOqTmpWCfsDbzy9vQo
kd8xTEWsXE7bqKjKlb7oag/GrLpe5Gd4WrkOdoFSkVRknZCz2aw/gWd4xfKAyUmdPLGyjBD4J705
afSN7/GUC2upwwdvHCNzWegGUWyTtC676b7oUXdOCqyMxJE5r92igvMU61Bqm0vZr/peep5Fc9hB
qHmLmbWq4fcSL2JfhTxK2I3abHD0gjQsaZ3hFdj2lpiwdhp4ZwyDkclH8omrbbqc4kV/KMYOz9Xc
IPjC5XVVn0QCpRceQI2gWLzn5Brjr5r1RJbUycUyIL7QQ4Ib3RdRWud2NHbXZZ+rHZxDPV3XSioj
GIWnUFyChDgldPFjcn7s6W63UMf61styZXi6FsbwTMgJcnu5u+qSpWpG9jzd+i5zZDJAkKMXpvpy
g+u9Im4wcmNM/lUH61ZzGZsmYildhCJ8nWGOhHSZaIkkMEe5AZd/ANNw40lDewk1YpPn+H7SaxiV
o5BudqpzQX2VbqX6jEAP4KXPs9s7+kYmXjpJgpDAyjOEPaBSvhI9K5UDVon03Qx5b49J08MwTQaw
xyJqM8mJ6yi5X5Sl+FJSDmN/VEWLp1QV+yNEnPq54/4/olQZa/6kGypLQT+C+bg+qjSO2GZXgh7t
BwSThw5d1EbMS6jX/TR2zx2G8j4uhAyLewXc2xT6iPaIHQhIOktiEARD654upN0ejDHKtrfEKF7q
AgsRbB1v+KjGbSNY4NLdpy4X+apsNPk5yvLoScQ09eFfL5H+3xQvqJQd//0w6t9r0ojK9D//4/Ia
F3/7+PW34+v1b/9+/aj/8z+a//03wo/69OPX9T19/ds0/1H7isoBjUN6/RMe2Xykf1ZMzKP4VGal
u/HbNIo/+scQyxAR6KMqw/8IZtjftQz/rJjUuc5CA6pSakuSMf/Cf6rwJWT4Ahk7/ENRBOVfshyc
9Rtf6iXqAlXn9xhzjU1F/626luUer+hyTLwBXsuadEi5t+kqScXsNtFz9JHiXf0Gl2HhojdmncLG
f1NukE4VpqdC8lz97pb/WQs1j8x+30IpDOgkeLLUgiapDcI30YWsq2WXx2PqpbVHQpiTurTaqg0z
AgdEPJWN3c0tnBTbJLvTDoL5w/G/ZRKykhuA8QTTmZqoUct+H+llspYWAIgLt/rEgc0FO/IzRzzb
/R43RRu9wlL8vN6Jr80xecFWtP6hUVW+d1i/HR+iuSyJqMF4Nb52OxoddZXVEzxrv2fmQoYyLOMQ
a9jZIJ5MTdITLk+mHKiPkLIHrD1Ib3Y1fM0wJDRJnfOVt+aoXS3Dy/DCceQ9TkvlL+VxeJxKF+NU
kKRykxqWuh93l8GOXuThAGPqaLh//SDlr4X4fCNFoi9UXVNEA72OPD/o37WKaotUb4ivsccKi1EN
WafObQnYeFlgxr8uEUTr1uVRRH73HK91KP+2vuld2aVSMh2FGKoBEy2vWayirbHNH6WfIAHpj3ea
E6STkTWRvl3Tv3UKUBDoFW6cIGoPR6FxllvSYgjlsS8MDkiEWSvOhL22Fd8js5twa1EtcW47vYig
DVzdTm0U/PVNE386J6bav79pvdK2gO1F7JXlAezWA5pzumeq5csn52BYuB+5V/unFvur6+g/HtXv
7sS3d66Aq49cgqP2nhGiRfJlf4YrfkIPJNasL9/2/EpgYSNJOqsObd83eKRmiDoO2C15woHtMHcQ
arYfUWUxmLke+5VuT170rhpIxCFOW5Mju9cwwd/GApT94UbPN/L3y8y3U9Hnt/d3b+dVjok3Kyoc
Njcgz35OnpTVtxY7uGP6kSX/0oFC7/76oH/yxoFfyAbusiprLdkzXw8KWUpOp/ac8cYNLmLjagvA
+rLYFXf5Q73Ep8nNNxDR7NGtU1smNsXLHeGtRJvh/QPn+G8BsT9AVTwG2jRRZwOBEwEl+eu5TK0y
YWn227kYPi7Z+srAkzJykskqB2dOsPDJiiAE1O5KG15AU7rFD2utIc6L+den8PUkvt2QWo7SKyzN
zGvc3rk5VYiA6lPg8K5+L4XoYhhR9XskHncL05om92LucI0XUY3nmEEuxE+xcsp342bN3pkDrSyp
FTbcwny2brMyE4XL84Ksmot9k9YXXJmWo+qmW+0g72raPmpFOaSJp7iVPgEI7Qpfg7UQSmToONk6
3UZ+uyfkrNrWOD8FmWSRXhlCGL4s23W9v+zJRxatcnlbmytSO60KYVrtoq6hW7TJTqmsc9CvpXLb
kO9F4UuQ90OzBZLuHtIrPjd2ub69S0C4dXDb9Q7nYELXtTIMQBdaAB8Oya4UFgMml4yp9/17MiGs
JbIgqJ2ZQDdY2lZzJyhpK0m1yoV3XY8O1sCYq1ROdXde6e3SUL3pEhiMRGCpjM7L8CrIBzEBlyTg
dKPhxQbAYb7Dq0OQUaRPov6hFxbtXL697q/EsMZIMdZqvx3GTVlhp8hi7miGM1VI84mO8OqOLnyV
yY5WbeMgOkywEz2aD3sMaIriF/LFKx+rrGKDK0DmJY3PzUw+kgTXTtJ3VvBB46ubtQTR8Nwceioy
feUdFL/8FcVXD80cBFjYYF+YMxHdq3tzrR6pVm4UxD58UGI/sTZF0tPb/X3bunrKYv2kPEj9Ggor
awtGdefzXi2cs31ZMdQz7mEz1Ms2/zRiN1m4+XrxGq158fMlIxQEb42n32EnX9AUBPhJJnytkY/H
eDW6uZt5UeZwGzi1gJCEPkjsakvQ4s05h4vHa+eqkM/s+q0hycZ962D3BWPQBuPd7dA9/brhZ2ip
b5UlhFrYLqvwBmpbfZ5fk+fcjUOdAVVmGx83q7/vfCReuNWd5hgi1bkKTuHLupXbeGLai9xGdehP
mZWyyR8Uxt/WfXHxb6Y/2PJ94xJxeFXdcd2cSN9tAu2h2+Aol+IleCd9yFichoX9dvkQI0tDlBQw
30HHvpT4+hv8i++gQ9zMU8QrgX2/7qjaXdO852QkRxbjeOqQlRxUzFfK0FSW8aF97AZ8Pt1r+Rjd
oxdISPHbL043bGQdxTG6QFjGiis3cFHt5lnilJt9FQeYKiXnHfcZuTssx/mtrW1ioS62/qjirsYg
KgRAz662+YgolBxULF1Ypm90u7MjYdAbofGr3nVJIEe2ac/IsDI8Vk+Y+0nHziNadcsSGihBCsdU
YxRkR0/13bBTqWr9bnWhlIS3u8vNZetKaLLIG3Wbzs99BEWbNnd0+7ypgxLrVQ/yN3EGdm4Eoy0e
dB8P+nBa4ZC9Syob/z0bP4LIlpcmqHS+S9+HpUaaZWVPmCKd70TlUIbkPhQSZQbm0pw/xFw8IjbF
3njSZRIJfsnFKhe2ScxYeTVdPJGCvD/F0oOaHbmeFgIKl9i65RZ+5fskb4Vuib6xVHbE+J70lYBj
cunh7nuBu/yYeKo7SOsxVCduvcMY5plZICybNY7Vy9Gt9imPEmnssELC2Z6Ds4K/rXP5lI7itnbz
+xgOUXdHMqZqi6frXQo5xB0XrtSGieFwLw00JEtGidnCJQlKc0A9heXkdRLbFvrk6Wh4mriP612e
uuPDgonysBZyD1D1cgnK14vmkT8vC0uiCsg1ip8vYjCtVd7aG+JbxwXiu2ybfdk7huBc8O+HNh7I
p3Z7BvLM0PZh7I1TrCVZpW3cxbvskHvnp7MZkB0jEkLg1L+gkbmKpx+6997ld7gtnDfErUHuEaQW
qa5srMTNPLIg2OzsVFijllj+22K+n7GLa9iBGzFqK3wG45W5NMNL0OwItDy/D3hl9Kg/3KJ10R9k
g8NstHdVm9TVxVxio3z2iuW4xWHiKb+XYw+cQkMZvqm3l1fNS3T7hp3wNtsObAsHPAj96GlRW8lq
OJ6dFANXLFgj+0a2Qr1qqmMFJTwO9GdKzs1UOsg05HHTGJvoEYNwqx5cUXXMuLEGdakrwJVuq6wa
4QhHHV6x33ngEGDX2bbCbDKI35Ow/JUdjDcgme5ez8P66raX+X6SFfGAFYWNWGY5XS1lXduL0Y/5
5spXyfSkIlAJiNiZijXyARH+qziYckgZVfKS7MklZqP+5HOrAqgTtIjEXm2hqJcOm4L8wYA42gpv
F99c3z6KLCwezb38DEdAO9WD9de11p9U0oizDFVAa6XKIkPir/VNhhlUntzyzIMZpPGKHsW3mNM+
MEMuX4mk646JWwWA0frfLQf/+8rqj1UuRwbRNkgkZBIxd+6/Ly2N7JKSVvZbZZVuMU10oQLtL5bp
Fx50mscfrvNr/z7X7l+PBtn190fLehlTl6jOvPg1+9ADI5R7q/PxmVzzPHPhf1LGa38snr8e89u9
JaasLAvaVI89edxn69G04q1kq2tSMHGYnROlNtGJl2AMGyQ57+I7umEkz9Q54x6K52OnbpqVCRpf
OfLTzDQK5PXwYuSO+KSFstOccjZc7VA9ZHvTexE+62UUFmHGO26llhYSeEC9GPnw0dwx2EUs8Q/p
XbGa0Hd+5jQVzlw+ql5+KO/JPHHK2xsULnLNNiNvvNe7/Ss7wyeya/4jlufb1MXULOg8+ZPO48SC
6rcrBLTDRnTYHaXGY80xE0JDrf7DeK1e4pf4V17YbEkVo9AtVmzzXadgfxVSm4TaftnvQO0oqijy
2tSCIYqemn/JiKhO7zTDHtd4bm/MLdJ1OIae5owQy0bswV3pOfIwUX89fxiSc2s8hHPR0XxRjhLh
tQsLbDtqHWmfEBJUL9n3We/Sff3QPYkvbIDQFtxb2L+KISZm9mWHaVezWWx1t3OwPmFrwsfKlf1y
3u0aZ3BuiCzs613VW73unIsdG4GOGe0ry70TYxwRYGTm1ncJ3gt4Wtzlz2YYPWEiQ7wQijAWmBtS
7ieWSaG3FnKov4qjdRsp0S0dWqDhwOCBjozYmftPStcjhfXiI8EPhzkWRRgOFjhm2TXLXeqZzx0u
WgNREPwgiHly9kflOKpOidLYao6GYP0Pxsvzy/q1B/n6Mn8HwOaJVgzbmqYUBdPgggT4iB8goeir
GfJpHDw22IAwwY+BU/7lz1cFehMYbQN7m+BNXz/fRu4J/U6K3DOPqbiZXqHCuGyvbivfCw6r78/j
9Pl6vl7vlyOa3zrftCQgI5qPOHpNZWNE7mEVSDofPo5B5iGLwcZjO/IputHjz33nN9XqvF4RmAJN
AoNRxBPgQl8v+AJhPsH4iXBteK+YcnZ+/Eqe2hs+jln2ApvHEqYXoT9RHkEnZsu0sp18ly68iiTh
0QLpgnyXE0D40CMXXA9IQbIZICyASrCGYtMs3Zg3TVqNq/iX1TU74iw/yZvwquPU7xfqXjy7iEQM
K6NOw5zk8oCEiY6j/GEH+pNuH2NbWSJLDg8SQfiOZF4RQkLrGlJQFcLg/cyeu/7UtEmvD1K36914
Q8HtSRaQzsZInPNzxhtm2GjKf4KV/rhgcyqarDJmhxSPHuXrTc9hZmLoIKf0qPE22eteRYGL3+hB
8gTn7FztyP7hvf4j+oe7K2pZSYDbrjCO/3pEskdLJSGJ9Teog7TGEGIpoFIS/gQq/ckLNcfuQB5S
yNkln+fbZiSOWq5Ntyj1rk81GCjQQeUgyqyjDUkhGVN3I/+cDaIv9aa5uTewndwWmNbRyBZ2X5BK
hZWNp6WuXmJCL6wUHOtY7ejVLSq2fPDTzhXFTSFhurlObi71rpoFU3efkywCQKJ67c0deqSrVurA
iDbX9bsW7VNG7yB2eANhAwMdHfjk7a/vMWHE379ktCcArKomyyqKlm/3WJDqbCgnSpwZwMTVxgNj
iFVP9Jq7ggZjQ7MLd3Y94iKX2BDMQ8mj0Dudjzi+/LSQSXOd8XVZMTGiAN2C747TsPHtMQwLVUbm
SKUbnRIJmoRz3hqQ+4Lr/nxHMml3KF64N/gTqfb0cSYMVPXOmG3rCNc2i7NfnxZUBlAR//oe/YYy
/9VpfVvdk0mb8ibltBQ/Dro7+ILPnZ959Nkzk8JuQ0JyG5BmmmTUsJ/TE+FAr/in1Qc4bFef9cHR
d7oIau1RBgvbHmfWpbmU7mrnp2/mTxYMvhM4anw5Ml+r9G30MWDcfqlGPfYYXY/AYXhzMkm04uk+
F1BHvPBgIUZSstBizFaPn/EN+9ZDVT6LLlaGceUk4cDeXBEU9Ne3EUvGP3m+nBFgOTwTTlL/VmdO
XbSo4AckXuU2n2YMRJeUmz52s6WRu7i9RrVlzrG36Bps4tSmZIOCZVHusnYJWzYVgwH3YMlvXpGQ
1stYo4yrl9rNxoJG6+4IBGoVO8Y9KneUUMeEPrIAJWEMWyqT15sFPII08CFL3RZdw+gIhg2FwayX
HQWMY6ClctU35QQwlZLT8JrH3g20Ttwon6bp97mHfkK/eJMQ9InLX8TMqv1o77EQnrCPygH3MDNe
T2G5Np96TuSOvzL4eI5Es1MiRZff4GzjlljvoNbAAQgowTffgdUG6KE5EhTrcl9DhEutxQ73HviQ
xIeIAVSD5PwMlKEQNuDgNuMv0JlukQMM+kq/HYs8qK74KKxy/XjWHBVaEmp3NqaLo/wC1iq2hcll
K5pVR36Gm6Fgo13GKCUSgttlncDNKHxQvppekLo38RGrFKAsH4vEL6Hc2JiflBj49qFpRb5JZrRq
KQcpVMCeLoC69EGAcKYF8HYrrGSJSVUXCiEtG7rS1ya1pUtYS9aQ2Isj0Srn1OZ3apIPcITrybs2
g00fshUdSorp0la9qtqiOAZBRMrR5nZ6JfDQwrePBvQG+im4lBkPkyuvxSDiByyASG8OSqZG7Z6x
rPG0B9bnmrU3fKoCjEjvS76FfkmpUm0Bii4kPMSW5ggXm/ROt9rgbk/K5RXj1M5tzYBYXOnh7C7u
yp1y6peQLYKLN77BxH2WZiCXaQNBr6XX3SzFLpe6R2Lu5rpLnjVbwArzOXqQg6vD0K00lw2qT2TB
KXRpvGqaJ3OGnK05YVz3wWCzBnCXZ5K8c3XtsX7GE8lEf4YOAnGcq66WMZc3hpcj8RjHzCNbRfVk
J1FPCyQPL93h4sCP8q8UmgH+PSuRgx6LmBdJehXcuW/RfMHGcc3J3XGF5/6qXUaHfo2lmI4174rk
F7veCa+8y/2y/bhJ9jkY17pHyV9rIH/A2y0XmOx5w4qt6Y0OEu6QAmTxmIbR8/QreSdDo/lVHnVv
8aZmHsYPaWzdPOJGkSd7nWkLDxIRwuOMykmnAkGONbyQADTnWdh4fjWn+HCzmJfZAAENoPTg3u5z
t/KLE/R2RHPe5E1Ov/XzX/Q5Lt0Qo8jEWkf3PbKkEjU6aQcz2oNrrLhdZLa6Bak6vlcANQFWYhiM
QVgTNjwD+ucnHqITbxhFvw3bcncOmtd4RbfXudqGUW2YPpBTCv3cyx9kFulmVQTs3PCW3m/Pkn97
Eu4E1Rp3HSiEfTnJeKs5hQiCwwzXcPU1w9zWuyByx9jKMq3rOltqYfZ0Do1l/oQsbDMd2KDoa5zS
6dxrb00+WnXntm75ogNjWwJ2Q3a3NE4nfr0dbx53SnCMgxaCefqDH31SYO9VbzwOG1j96YGcpXwr
Ome38FHUaEt6vS3d0pEud9iP4T4zgDit1O/D9lHpVzUEGqAvAkZuPrfYv3qF1QTwuAigehA28Yv0
3K+W1QF30SXWWTeClJbp0vRlV3uv1uAeaBIsdPEfBRj15/7sq9jJbgxHDMZjve8eWLYC0bpvTiNN
X/JAg1gzTxktmlS7e5AeqlB/PAOwUmNfvLa0RPBn1aWusIUlEken/Iw3pI45pgeaOx4rIG78bhur
Cvs1XXTzcN1Dbrvd60+AmUCUVmdfNtdT+tg9fpJEtMSOjQqqCZDFWJpoT28j8EEw3XXMiTdYiHUh
o4hf8Vs92J+p0+3IJrIn0MlxI3L0trGNdeeZtXU+zXP6Zk0n7mB0c59v0nW3OZ9SN3Ho0r2znXjC
Ur1rXdP3kdk7nYd80r+6wmpaLe7hX85BRL0XH/HYilbXd8ZKF577sgjibe0wT+cpqzGcJ4S31nXz
OYBvrboViR2b5kHtLRzmxCeEORT+I8TMZ9nDu/EhOmkHhk4MPoOyWmr+zC0Yg+qgcFcDvizxsTwu
tojU+RkbUvWQ3ilhsaX+DEwcNNC52unNNVRLPs6iOUpXK7uPt0ZiKwfUtL0nLg069xG80CY5p3+K
52Aae0EM65PJntRsp7BdK3bFUxHfCQ+oPQxBvO6hO8QrsXbOD+ZS2wj2xAAjOof6BYMxEsvJ6+Lj
4H/ZOeqFdWnces1lXJbNpzDBwmK/S+7J9tgigSdByh0ujr4kccARlxcfPy3+ZnavOrdjQgShDWFp
D37JXOvIdziBviGa571G5MBqNmzrZaFZky28iO+NG9npLuZrU/ya15o6ez3uRs/wuSl3bLS80HZy
MKCFNw/tst31y+y+XWq8nA19FgRT++bHbgWl9aQjm2OZxaje1v19/yivlMFOQ1R3trFU1+PKdLun
8VC+DexT2ZZqMOs9gXGMgiDWga9L4Vr9OoexOx7SMSQM68Zc4C377CIioOLgIp0U+dHIKE5YsRDi
rRoNOobXlWuSUK4kPbwPv+3krhFOn6p3QcFizQCTz4dBxFSdPvcpEUdOqqH8dsaVsB96whUdilQx
UAZ3XtkBEvdQIed9o30rkOG4FV4rS9bRlKlAvAfMV0SnhI2JEUtNWJw9vOe0lbmdg9RYpvs+OEkg
eKVhG8fIiz6Gfecp9VJi3sH+wkLKHOBBM9lkb/YYbYHC/N4ulrfwQiXW2dkWIKRLHOwQJ6fdMpWc
3J5/r53ZvQx/tc5vkV5jc1xuh3Wxv26VdxWuDCfQOD3CFIE4TEyybe19nFhk7Rmh5O/1lCOdnWwB
/vN1ReaePB+txezxHChP7dXFT6VZZoyomctJoVGTsMMcBThb6zDD8IUa9SaScxssfaKIuYt25RZH
6JUhWQUffE6ZiDxllS+TwPCa4+Wy6shnxqvaOV/ulMjK9+e9/JmCNdgx5zEssxAO327+f72PR0/s
VQF4N9/6VnYv/Y4kK/yMl609rXBKDCuv2FNrEhr0uD0Dt8MRccvXmNO3NGCVTeU9Irm38amzYrvw
RDfd8zV79bZ3WYNZQIm2XNV2u21fGZ1W1itPxcOCkNDELIQkcM9odocktrJC9HjMs5Cfn535D+Kn
GaBBErQnmvxZDWvDll9iyTLuZX98yIIqsq4pyVIWKiLt6bzPAj3E8sO/uQvRl97VEMUOc5QOn3+H
geg8hhG2Z+1Oku2+wo4jkF8NejRetLV5SiknXCYrN9WTTDIt7CTaLvx+O78Ct238ITK6QdnXWGgb
mSYiln0gIO8O03uKZVf+5MVQw2ov83GpIyI6tLnvEoTh/rLXIJjZ8olxhMGWhx5RADe1ri6V82v6
zq3yCXZ7rNwsyBi3WFUwrcqXSPVhIpv79DHbaK75nIX9ob468qmmtJunKjP+TUNM4uD9s/HEu8sk
xES3yXxqbCxlxS3WPMEjpC3ZXrZzkYtPmVV5/abbZ4fhTVt1kX+lEotxUrcFBq46EWPLGFEr5x89
GYNH/gBDNHN5JhnQGimWrOYeK01uArnfblJzFGUtPRaOtF4w9V9L6/413texB2hLvq9p2A3xa/B5
+c2wAWBms2n1frXXP5PLUsU65UTOWAE2+WaItom1LSP0A/Ohy6l6vOJFc3bGU3tA7+skjMtLelJz
iSHcY3JaBJSrFz850LYCiywlv3/O/H4T78gcTILaBs52a7CJPQd26HycMxmq28QVyPl0Ce2kPe7d
aJsLfsEs67YpnXo9+dGm0C11Gb2sSltyYCpD5Xq9Qvtmy2WZ0DfDXtgRsYWl5edk+s0SICXZotbB
Vek+2RFC4g/rS4hqc5c6mbXws/mBv57vh2XuYKvsXHzAsKBkRiQfMz/mNThzVZ0dmuF05CHOqOi0
0t5yp75rbh692WZ0eb+5x4/tIXOTIIcd2AWlXYbJgeHsr6vhlK+Cw2junjnecnCE3c1mCA/5dkO8
b/rc3klvsXcanO6J+aPynu+nNbS0dS67BjMxeI/352LTLds789fNJXLSix7NEFn3E7b9q8JRVvLD
dOxw5mnuz/on9PeF6gwfi/hRf2gwizIswvzKE5S2XekbXu9fR5s8hRs1LV/09aU8c03tloWxs9Pn
4jk7cG6LT/21WwqSJYdgTmRq3tVh7xe7ymNOaKz6LR832Htyd+5tpedtctUEKbs13Vf3+FxicFvZ
Nd2EHC46Strn2wv/6epX6avgFeabMc2/h0Wz+pD4rPHfQtvCNswSYFoMZhd+yydx3sGbsEH+R1/i
BcdSzmVr9whANbxp3Zv2ec8/qqXoDvgr7yL02Au7eJaCMpzhE5cTg7+Nx+ixR/Adsia6N3aEdksA
Oj+jrMdX5odUzrzX4y/W5HbD4iYEHPnZeMQXJGG6qwXXU37UAjJynCbMH/l6XA2Yzloso7f2F+yV
z5LPtfAYMHQ7XvfygPJtYzBrhjiFdRgYJ7cb6uOrxHONKuBWfA+LdjuJrrqYS5AxDlG51IbbVa7d
MGb/YSb4J1Ad2BcjQRi7ACj6d9RbXiDOUm+wbLN1EWBA5d+WEFvdPGx+zWpXbnCAIJk1g3QFHnbv
8l+29YYtPP8JyvkjasipQCqGYSuLMyj8FZk1kjwRkbFD+P077REjfRR8QA3LiXEvcvON+sOQ4zdV
4DcQjkMqsM3kGd0S5lP6HdkuqgtdPyeIhntv8a7YtKOUXenrzFVqToXPzIFihmp4qdJRGw95OB5T
97xBgUrVJgfFiWRlD3v0V+kzv1Pcy7HwxdwiKMOdHCJ96aadNoiC6L5kzDW6mlc45Sayk+WFl8u+
bVBevrR2/FF4pY8VxZ20+ZynsULQPTYQk/YX3oh8pT8nh8u2cNrTj/j7H4e08z3/rxvw7Z535O2m
C9ToHmkV/lyhjquUoijfE1xu/8znFP/8Gf/X8b6BdbikpYKEbZ6XLVswEIVGQ6EBF+EZkLTwP5lj
/XTEb/CvGvUkyLccEWFEuYQl5SwovwfvvImXwjz8O/wE/M8ZAN8RZ24qSkNZAvnn9n59q24Xdbhl
51tC047sFVJVQrunUcR1+9L/iasIq/5PjmYiD5NFBnY4eXw9Wt9KTQynMvHSz4m+wMU1U2xCNukn
0PYwIppx4dD3QuLSrSLMw8vVovHcMLSddgUAxn21HF9Fms37geAwNsu78XNaxx/5R7fsjvUp3WGr
mW2SzRD/9MX/ceKHUxYmoRjPwXgWvnNddZFAslzl2dBXH4T/Q93V7bYJQ+FXifoEG6m09KKR8lOp
+2m0rlO0WxesCclASnAl9ja93EUvpj0CL7bPGAcMxHSxW4nLEHN8fuxzOIbvnHyJEs44C0fqu/uM
AjJr78cO9Yw/vVvjg3H1uvG/8LSvBRapmFgDhYGOPWGW33KKduIUlRCyvSqtiwSTBeXfIcWr/JcP
OE5gQsvZPgbAmdctJsqJvuc7KqeWY8TvOQlQg0q2xvBlT5DGn2WPEIDYm7dXgnVZ7+VJXbwOaUqA
YclLafOKyw2J6OXZirCA7JvIXiBl4YVqRi7PNDYb7wdMdL+FAAwL2oqUUIqHPYntYUsbnyuGkUYY
IXSGXW5LeEsYowD4MAB4uK/PcP5BvEaznWGTpJmYQeKE4oCmiqbQzwXgQHAk6pJYI6dpf0PSsPiT
KEKKNqKsunQ67RvyMyCM6uAmcI6uoA7Wzar4mwbJvaZ79FiZAbhtz3rHqqAMpLoDtpcJK54fScua
QOrMEGFtF80iY8UTPIvfMqgH+JcL8hH5lcS6E5A1AVwYFF9/8ojkGusVdQe8bwnfAYWndCwWekUc
zxm2el+RB06z4klRalBHJLWljk69jyFJqaLUoO7A0VzzkGmbSKrFc+AABloMlyHwdPdyy8M4KJ57
1ovnxAOU7acmKuh2lS9wkLamvaFZn+4dRKgVjwPgStHwTA9PlXUdeLKtsQOCpXFXZE/i3jXvOdhR
i7QdtSu1ONhPyyQnfp8rcBFSjdVuLVW+wP3JAw97FuTUwVIv8c7t5xip9qkD/37H/T4Pef7efpOa
StpY6vwLmcBJorZuj9KRGFj7lwb+fELioAlBV8TraFIizo0C9WUVcy39uBL362nS4IBDovUVGz7O
ekgMj1AZTA+JSom1nOJo7YDhL2fTM52mUzaHp8ZsioSYRlgOE6gM95hUBp5lBmoY0BUKbtEkVNuh
jkcw+GSTYLovH41YIhqYxGqFkfHIhVBhkqsTZcYjGaKUSbJOgBuNZJW/kvikHofYjVIjEA2fqF8M
WGwRFb/T0CflQc4dP+TkUjo/QSyLEZAaZj/i8Kf4TF3u5zfy+fWER42m4rsUZsdITKUkb8Ti0KJa
JSyJ7uunTaV0HmfiBBZVquMXKP5g5DeSSpQYLI9qTJ6gfcbzurtlSHI8PIkhPqMknf8DAAD//w==
</cx:binary>
              </cx:geoCache>
            </cx:geography>
          </cx:layoutPr>
          <cx:valueColors>
            <cx:minColor>
              <a:srgbClr val="FFFF00"/>
            </cx:minColor>
            <cx:midColor>
              <a:srgbClr val="FF9933"/>
            </cx:midColor>
            <cx:maxColor>
              <a:srgbClr val="FF0000"/>
            </cx:maxColor>
          </cx:valueColors>
          <cx:valueColorPositions count="3">
            <cx:minPosition>
              <cx:number val="10000"/>
            </cx:minPosition>
            <cx:midPosition>
              <cx:number val="15000"/>
            </cx:midPosition>
            <cx:maxPosition>
              <cx:number val="344782"/>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_xlchart.v6.13</cx:f>
        <cx:nf>_xlchart.v6.12</cx:nf>
      </cx:strDim>
      <cx:numDim type="colorVal">
        <cx:f>_xlchart.v6.15</cx:f>
        <cx:nf>_xlchart.v6.14</cx:nf>
      </cx:numDim>
    </cx:data>
  </cx:chartData>
  <cx:chart>
    <cx:title pos="t" align="ctr" overlay="0">
      <cx:tx>
        <cx:txData>
          <cx:v>Gas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a:t>
          </a:r>
        </a:p>
      </cx:txPr>
    </cx:title>
    <cx:plotArea>
      <cx:plotAreaRegion>
        <cx:series layoutId="regionMap" uniqueId="{A0D17D48-951A-4646-9730-F0485CA32A9C}">
          <cx:tx>
            <cx:txData>
              <cx:f>_xlchart.v6.14</cx:f>
              <cx:v> Gas production Mscf/d </cx:v>
            </cx:txData>
          </cx:tx>
          <cx:spPr>
            <a:solidFill>
              <a:schemeClr val="bg1">
                <a:lumMod val="95000"/>
              </a:schemeClr>
            </a:solidFill>
          </cx:spPr>
          <cx:dataLabels>
            <cx:txPr>
              <a:bodyPr spcFirstLastPara="1" vertOverflow="ellipsis" horzOverflow="overflow" wrap="square" lIns="0" tIns="0" rIns="0" bIns="0" anchor="ctr" anchorCtr="1"/>
              <a:lstStyle/>
              <a:p>
                <a:pPr algn="ctr" rtl="0">
                  <a:defRPr sz="500"/>
                </a:pPr>
                <a:endParaRPr lang="es-E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zHrZktw4luWvpOXzUAmAIEG0dbXZgKQvsUcotOULLRQKASQ2kgDXf+qvmB+bG1VZVZKqutQ9TyOT
Hlx0OoCLu51z7r8/r//2bF6exl9Wa1z4t+f1T7+qGPt/++238Kxe7FN4Y9vn0Qf/Nb559vY3//Vr
+/zy25fxaWmd/I0gTH97Vk9jfFl//Y9/h1+TL756ik+1i23c7qeXcXt4CZOJ4V8+/S8e/vLy5595
3PqXP/369MW2rmpDHNvn+Osfj85f/vQrpwTTIv/1l9++/Zk/vnDzZOFd4c3/+c/5afynr708hfin
XxOWvmGUMZ5hRHmBaM5//WV5+cuj/A3miFLKaU4KjnLy6y/Oj1H96VeM3hQIEcZzzFLEM/brL8FP
r0/yN5zzAnOWwR+KOSd/s9CdN5v07m82+ePzL26yd751McDv0l9/6f/ytdczZhnLOMUFQ5TlRZYS
Crvrn58e4BZev/2/hlT1XSadrVXarAepelxm2eAvcLfHajVLV+JM5kdu2+myJ3w9Jfk41cnQ5kOZ
mdHtwuQEX/N1n+tvTPlPtgaW/n5nOUYpzjJUFCwjOX3d+Tc7S+eZhmWKpm5wN3xUa9Fd7BPFopB2
rL3hyelfr/cPloD1CpRSzHCOENzG9+vtdspi3BpTZ0tyz9q93jCrfrJE9s8OxTMKCyAEN87x94v0
uzbIMkcr3e36rCefn4umR08Su20s9bRMKDmwQLbiRLckvvRjrrLST/twSihr3tFB63e429jtnE0s
1A5l5FMRgnksOh3ux2x1WHR2Dld8SPaXjRkzVNmK2KPq+JLWHUZGC75t8hGhRN1tRspNdCQsuAp0
aNNSR0VbEXY7PKqt35RQC2JEwJ71vXOFbiu6d/tzh/LuLhua5KO0avIlc6bQQo2Neuyb2JHKxFYP
YkUuS8S6rkPFV7yuouh6eh9JH7TAvYZX0qHZjDCKx0XoaYxYoHZL6HFum6hKzlJpy1028+9tlzkn
LEriJ2zX6WvwdKvtzNVhK9pdCkaYvUt5019y71ojwmblbd7L9NGxPH7qmRsuOpeFOvrJVFO+DQ9D
IOYjt1rfbTLFdUPS4Yq0eV91S08/xRSnj6tx3Vkvxp7dvq+zcJzhBzy1yQ1bsqLmfYK1sFQte03Z
ttgKIoqngtJ0+pLQ3XZi8zKxlely87QTEmyl/CiP3RzStl6C55/6whZBbLEI12Tm22HLet0JOC59
iyY6ncAp6UPsOvMp64ftIovr/BR6Kass5fmt2fftPM2o6wSJbH/XTK0v1zTki5jaxV1Pw9rMImZr
WMTYD2Dxog/JWmbSki8sid2V76ZRCW6XVgpfpO6eb6F/P8QwhCqN3g4iRklpaYZk+sS2vTiipTDD
Dd76nFQsk+ht0wzLbTLgZS3XQg5LhRJuxzuEXfulaWWqyjVX60tud/mxWdQ+i8kVqBzb1BihWW8u
rHPTO2a67ED5PpeRTJiKfpXzQ760w8Ww8LUOTVdcz2Rtakxj/xwwHJfuvH9eMo7eqX5QDwTNMQrK
1njdjSS2J9az6SpxzVLbgU7HXa6oE0PeZQ95EVZULjFRslySbQgHmfPpjq2rV7Wh+fgh7V3/1Dc2
82JJoqula5tzvqboesvm8DIwNl8VcUwzMcR+YKWN2hwjm5pDseJWKLJkx61Yu6PDeX4XcZtfd3LN
jknKV+E5ZvVYrNm57cFbuymGKBY17yVVZqz8tpoy26h8NydhvG/w5k85l+aC76ioIqGJCK/W0vuS
lRqyQF3oznwm3A5lX2h2KYMvLqfcL2IdsvGu6XJdKbwPh84g91a2OT8kaEonoaEkl0sal7tmQ0tb
6jl2myAdWAH+4UdrML3eF9IJxhAW2di4ei+8Kh1tmtO2ovSwLMwI5bq1kpud1jKmnTxkYSgEwkbf
JXtDL9fFRnbkk6bXZFntw17M6pBGZd7qTKtH34zhoRtTWWcD92WUBalaObEbPazdYdPDUqs98ZUl
YyL6flVDtdMct4diWYi+6fLQLMJuutMCITs8kzjsjchknCeRMdVdT9zY66JLsmrFLF5glwZ+nOCu
K20mSB9xsmOlnSrOQ9OaTwbP5msx2ywKNevumHTLVM8Z07ZcpJLP1LXuo1ZFe06Xcfpgszkp29jS
+zbl5C7Jt3jZDCS9aqPhF7mKm8g1bVLRyGw7smZkFV3b9VO7Qtqf8olDHI3FUC79Tt87s62/N0pO
F03ol5d97HFd7Dk6h7wnEK59d2ORp6cQMnRMlUm1yOkG8cKCHYygW9Z8TsfJvG0gY2mR+VTdTCqP
dbbteRTebnQq6dyMzxtt2pNffXNwaYR8XvDiqOYujgLNqlMCL2H/vS2c28TCWnQj9ZRfDyTi5zE2
6tJGsl1mKGvrtkndJ9+StSp4NM/F1DaXSyBJd8JTP3Ghtk1/VCnelZDc9C/5Pujbsdi6ay3HEYsd
az2WPppYB2t7W7XTHr42S6RLKSkaPmeeraXk6VQ3o83LxUt5KSeJ70zboXucjIuqYrDj9ag0u107
5K9GJKeDbHEjgiQzEdit+zkNnbroQjN5UWTaV47PWypMO0AMjnKGkjMkypR63e2NG+1wb5K+O05u
l7rM+Ny4at3a/i4fIDzHBq9XRI7FyW7TpMRGbVo67fNrR3HygIuclL3C5HHmizquu2s+LGh2R9TS
Roq+XfqknDvLbwtO/X3vhu4LnvfwMOUNfxyWTV6so5NeoMjHMzGMTGIJ1Ppy2HN1uUAx7kS6NMnB
N/MCNjYmf8+6PcQydjS88J4fcKP8WY0Edhs0XVSZS2JvQqpCGZsJf2l9WuRCYpvUcOvJWwplvCsd
IlqJYPtpEM1g4ixa6PdC3Vrf3IFt8YMEd3iUMdvue4T2cnGDutEtQ5cKx/BM2PSu6cDNDuDp+jJv
p5zB1kf/kLvFXigyzS/GGVrjPNmudxTCTdxH/Thqb76GoNpUQLtO33Eph/zoFrdcNTp2jyqs+wXd
B4UOPYaqcm76lN9OFrknD+UMi63r93OR7uZG9rM7jHiK75h6/6+7OJJCk/Zdzwyd4rdNXPF9Eyf7
Pdn2Xtl6KefKzGW4+b0YBa33k7vUXKzlcCZVqSvmS3p50R668l9v4B+bdpblvEhpUUDr9Y9dJBsH
76As2Hqs5mqvXCUvHuX1XOLykz/wTz9rW7PvzlvQtKCsyBhABYQYYI7X59904q2XUSYLdOKQ5URL
B5EVN0PXi399KoA031j1j1Vymr/CnYzg9IfWeCuSxep1MvWi/Rc3d9WY9Afj2aON7QV43k968e87
8dflspwSRFBWAMIADPb9oSLe6ZTuiakH9nHdPjb7JMzYVBz/BFb8cFl/LJSmnHJAWZiT13N/Yz3l
0gSpJNo61Ngc2tNwtGUU5NnaElVjmVQ/c48f/POvK7LXEzJANOiHFbv5FTeNcLSOCJTUtJawxj5U
sWrwEdW6bipWQuFda1+pAyun5poe0Gn72Ua+R1T/uI8f4mTISeo6DvvQMfMliqMXUCd+AhPxP71I
igqC8wxSav4ard/Yd/RrYXIJ0RgrfMBVW+tTVzV3rPZnXBNBkGDnf+2p+PsE8MfB8gI8lVKS5egH
Vy2mOXrMrK3pMZ5tX3aHogpVcuTvm89t9bPww0AD/BAZWZ4jkmJCCQHE/8Nye2aUmq20NTTW8uQO
TRWF9WK42ipAE3Xxk/RCfrbe671+Y9E8nxY5Ulgv1Eu9Pg6lP/ry3F6ayh55OVV7nV8q8J11EG01
/SQNvMbd35PrX2z77WF/SDaFGdFONyAk8qk/2Dk+Nf3qStSnbwPNMzFP7BqPwR20s+lPlv4n/sqA
c+CQhMDaefFql2/OPaS4QZsBT9qHYSjJyqH3SM1PrPtPF0kLoFpSilia/3CZfJ3mHTouW2cjmt+O
UEduVjqzn0TFP6zCCXA5DKidPIeFfgyKvgWEkKba1Eal7so3G7/bWsSOfw6E3/5CuN19Syc9+34b
W6n+YNz+9vE/rv9K5P3762t///9X1u7vn277F/c2ji8v8fqp//Gb370I7NUf678Sft99+Af271ti
7r/78L9H/mGEUc4JOOd/zf797/Fpen76lvv7+1t/kH85f0NTRKHE5FBjWP7KB/2V/CNv0pwBIwjk
HvBcBPz8D+6PvQGqEG4PWgwCbpgSyJt/I/8QuA7lQBdSWgA7mf5PyD/Cvq+5wP5xlqdAMkKhyDNK
0Q+5cybAWm5L5ytMGzvXdFeMnhcqfS/ylechuVlXamxztg6t562n06XM6NLXmqV+rKJn+y74jNJy
o4DJSmd89qnvub12a5ZWADy2E8B38uBYAZ01hF2ZAnskuiFbT3hpNmGGhl/yPk2/9JrYr0myhIvG
AzcA3K+r9mIlZdi2tuyIX3oRydjUct+7VKQsR19iHjGAtmz4sgdnbtq5oec9TMwL0+H2HSd6eHLA
HVw3jMtryLK+ymgzfQ5Ju5Rr37UVnHg76o0kWmzDQlpgI5w5TemgTkTicGwIYUJH6x/xnPe3SnF5
1a54Kneg466asOkX1+fN7TrnNorNuOZmlRKKQJurU+E7eTUbFS422aED1wMDfO3lYEW6x/1uo9Hd
eJ8xoAPxw2g5EHhxDueFyOY+ZG3i/nyOA8kDQPLJztoJJt1+u60uL7e1Xc46DPw0M2+/yHRlpwQZ
fL+TgiiRZgV92rMt/RJNWEZhogViC5iIC+6T7mljXmbl6gcoI0VqL7uF7+7Yzuv4adhV8942ydAr
MYySSbF6CkwWWXLZVXI2sTu5wgVAs3EZK+BvfX4ESozcpEwvH4cVy0W4PZke+TZ0Rqwh450wieuY
cLCZsyf7MAsrG1zH1iQXhfYMKEAdT8Sr+ZyNOj14PMMhdk26M5BbWwLkxdQbkbWGf2jRai+BIgIm
0Wo/igUDmfbOrmR9wZ1JknKkwDYc5r7J0hqxZXzFYUMCwGMc7xLGUSi1GofsaDtwyVeSYrjhTKNb
vynAUZ6a35Vf7XmYvaxls+UXg6RNNUDM3tCpH8tm96jimaYfIp5TkWlka+TmeOR8SA9oIEBrbaqd
6yIu6n43LrvCu52vuyVTFZOE1qbbCmDNefayjonehGPddioGld41JBZHnY7paaLJWnfUkYOUZj6O
WWEPey5dHXM7l3TLp2O7ogE41G0bDqzt0+Peqf0aOqI1F5qOfT1jvh9buI9DoVSeC9VBVGmSxntN
9rYiGLcPG6XsYk5yfCgY7Z4yss2ZaKduueF+yctEFT2qm9y2n+JA+7cqDFMQEwnQyOp8Ooymn08Z
UvtVQDY8FDuSZ5Ky5lisU3fQJLNKTDMPh42r/jlfNDskzpGj4Y5aIHspXYWiKNQy0/F9VxTjTdqv
05EUbDpiTrdDijd5CO3uL/jmhkuejmQQ4Ez6PMPtXw1d0tZjEnwUs0p5FYrQt2JKwJ1nrxHQRQ7s
n5oWVuuIrNCq3YXsh/VgQ0gfcKPxnR/y8JLFEZ0BVqojUch9ZpMe3xrX+sobFu/TnGRvW5stT2BD
etEMLaS0bWKtyJImP4R1trcxc9OH0POs5C5091ojVGd7TzvhZ44fXd/yg1nW6cqSHi7UqeRzopSU
ApgTBOS2LPApDFs8hzjpj2nH5k5keCDtcd8Sr+t2Ycn6/1DE/z8tz89+cvFV6pOtd98W2gy6pv+6
MJfeePu5/a40v77x16KcvykyjLMCA/4DRutVWfqjKBf4DYPODOQZ6LMZ+XO9/qsil74BQMULjuEv
ZQDn/laVE/oGmvO8AC2OQ2mGX/4faXKwie878L+qcrAaSVMCZMMPCC7o0Ha2aXWFxoXctnZuFbvo
VNoae696NzbJBlkrWV1doCGwt6GfF3oiTTJmN1gna4QyMd/ifvi67/M5ZfPXLq4yuV8zLtvS9sAX
VXHO26823YHSXacEZAeANNsD5VjmZdo0yJ21hDjVwrWEmMOOUZ+JJEi91UAWxvnRqU7uFTFoWN/b
YjEB8mKHV/I0F96bctA8+jIDoWgp+9VkXAxZb8zltLc8Ea3DcnwY1SzDed2J2gVxc5N+nj2a+q9z
cO18zNJWU+DENVsPMZm3STA+9yAITglzD3Pf7bR0rosPSIMVoGPggym9skt2QGnCgrCGWcgrHule
LHs3E8gnEwKqes9zVvph8lRozTGqunHIga3R3ZpcNEDw8hK2lpuzoo5ZYID7pq8bI31TTuugvNCS
TSNYcnZoZGJNdGvrrd9JXwXgMOVFB8ppd9NFvu3vvdKolc8oWP47c6PrRDfnIxdusMl9NmSyFQAI
ikQk2gXQGzID/zN5x6GGK+BhBUB5VvwuVbdQMZB5aX4f+6Z1CAorXbfDFFzTfQQCuDXXw5gpeY6U
vlKbs9/7kkJptCdDVSCV4jQZq6ZY/f5hzNMO11BDuK9yFxNsBE8GvzsB5XF/MI3H8shJRPvjtKDh
U4vinAKW3nymakdnm9aK2lHVAXsylIOKaTz5Ypf4ZLuNdkEkBnZ/Y0Jh50uLUWMuaV4MurTbPqHj
K/mi6yKRar7QVAagz6Rt9Zmue0cv5lwNyz2lw1pcki3FptojS9X1RPdtA6dyvBWoSPIzDRYPJ8mB
TazSPpuQ2JHbvi6x0Gtl49xk2Tk0dFAX4ChdBixk64MYin3ZH0AMzOFLGo1jHUzO8V1vp2aqp8QU
+ZVeabKdUwtxUYVMZ96DvLktG1Bg84TYVdwioyXImWtbAoyb9QWHhtIfdJFvql7UOG5PoJg0/Wfc
A2FX4Xluh8sdD2D2fU4mdhlC3zRPMvHcPybN3nWHyNtR1ix4/GFKmmX6qAImM5QHcID5PgPpp3ve
mpQXdQgLGctt4bwtnUS4OANVv2SXWeYnVm0J920m9m1YdxFQtsQ6T81u7nWhjDq76JoMZJk1aaGF
beE7A1DO3RHlg+OkSixqe9FPttPQ3DnWvzbeeMsr0oyTr9G+cnTupsn6PoowFXk4tU2zLVdxmhv9
oGXY0soYlOUXUwBl8EBN0tGK+HXoPkiQAi6D7sF2ls7mvew3guu1cd1Spo5N7Rl0vWjgdotxu8zz
GdTO3RZdWu6TcUPNcUhYxUmxfi0KCOAr1VkH7tEDTIFOMBajOxXT1kAMEa4tOyqQy2mN0jnNDrOH
PX8iehv70rYwTXGB2Fqg88BUNJ/WtetxNdvBtgBzcGMuqJbgLd71/VC37FWHmFC6SqAkx6Iv55UW
AXSoxboFJGxABeOD3fs+PLOxKB6h2TB9ubsclAq84hTcts8+NGaecCl7auU5uDxsFR4M38VixmWu
pxwlrAZpu4Bc2/fJJ60odwKNETQPEptVwPhAd5x1NjxwSDUOXK/pYpkBZovQ4qNxFjKfyaVViVlq
yFtjW2Ed9OXkpAqgnM3FZUqIu2riSpzIUGprwwz+oijdPmfriFoBQGe+olGtY9UlYXkLXBCpt7lZ
7wJPiwkmAnoviYhL14Sqp02eVPuk0+Z6AKjDqoT2cauxJrqpcy1jeDIzLVyZEbTu1UhpaKDf8UGf
GNq5Pu0w6MFyMRKAosdO5p0EWWPaIMLHpkk3yBGsny9ABjbu1DRZ/vtiCZFXNlPcyBP43Th8jUOb
bO8COEEEdjULuBy7XdU2xncFaUpJ+J1EClR0fAm4diiRWy4YRJLYPXlch+JhYKA0sRnSH8Mkio4u
7WHNElbqYHORhx6dEE3ak/T5cAFYOdYI1CfR++xjdNld6IujC/G+g1woWg9Ok6B9rpZmB3UFQk90
Ll4nFF9p2w6QRNPlXEh3yzx+P2r1NsNbIfBmXpZ2vR/2AKx+RiRcRHiRa/Ik8/y2S6Ey2W0p1ZaC
fAnan4iUFFdoGemHlLhUaIfni9Hok5uVugQVBB2zIYWyYgA3yCGB6AiDKtNEv116fll0dBY4aiJG
cPA6W6P8iDI5lQXcSS9dPGa6YRemt/yIiZf3EUIUmGTX60xMi7O3C85BicFNpEek+i8ys65UyaqA
SC8Aeuj8qU20vFJr8DWD4Idf5iBCTxbqGJB8BUwixNtNKQWF2t1s67aKUcv2wYPadChMdmNME5+g
nfmYbDgvuy69AIngMWkViARw10cIWCWaTD1xP+BbZdd4bPwSBG8BWYzM8wPKRvISu1Xf7u3ylW2r
OnAERPdk2EViYV5gt/w6X+f7mSAltHfpUU/rdhx935Sx75+M1/RhU4t6n9jJXkSV9ZVfdfZxi4m+
dLsHOd9FekqdBwEYu8/bOAbB+ulqTwZWBWyBxQBisQwxkcKNSH8OM7o2xlwV2ILsBWnTDb47zE0/
lInP8ppvxZPSchA5qCCC7CMvNwDoTO5dDdUcJkxgwiNy408rgCMytXdguuWKgk/5BYTmaehfLEQC
wOL+NLriFEfzftzJZ6+GUzfQRZBgrttsv2CUZxXX4Qokta7UZOzOgGBgQsDdaYXOk2TPNIZzQPMB
gJUUHEbElnU9KPIKkZR96hI9nhYlv2jWYeFWmx2XNdhjt/GPM18T8Gl8ZMueA5Hqj+vcHQsmSzUB
D6SXYqkgDTxA//1W4/Qy68erAGBbwCgAkDFFuFw7WZoJcijpZAKgN0vLCGL8oUk0OiVJCiE89/ku
JLX5ETs0HHou+SPdW//WA9L9ADTb/FamEb1wp5q37eamDmZjxvw8w2iDFLjZIlRth/W7qY/QJTGY
irC+KzYRUqwAaa70qtmgRZ3HaXqa5n59x9pCP8BXzF0Ri1i5PlPXCoZAQH5d+wO03cVLz1B7SqHJ
OrmN9zfT69TLHJvtRm86lg12+decFvouuilWMIc0+BvoRTVM2EwY1Op9nEHB3afw0SueqJM3pMiu
17nfOiFNs1lIZ7sP5dJt+3gA0YpPZwd99GebQFdaUq7jUBV5Ik1Nx21+mwETAZl/jmw7QxjOsZon
k7fHbG5dd5Hm05r97k3L4lUXcd5BlqD+E8xg5dNLYVDLjoM3DtNq2KSTfcn9mORlwFwWghVY3rcm
wE37Ado3QbQuVtECNRUqBMNs9xOaxmvHRvR+a8cIlaCnF2gbYKBAD2MxwSHinlcwytYQsfe4he7K
ACKC4Q47hiMLU5zLcZzADFSawUCHRCI/rdDXEFFMDf7sk/xDV2BXU7IygWGEpwOUMt3CSE+d5BEo
pHSK5QyoooKQXYElAkXaLK4/dSHCzM+goQKDEn8AgSUvQXfdhdcpPy+NRyLrOnwBCeHRMKoe1nUc
7pzc0stWbhkkYtSdxxmd/YQ+wogPAkGEtGXbBSM8Td/HMfudmj6/Jcy/tb7AvyvSjxfeIijPIIZV
MGi5nHCSvPBhzW93PD/5nX1e5rDWdtHbRde2qlQ5crdZtPHS9rM9BgjZa0WKAOVUtSVfzPKu3zYY
Cdp9e4AOw37d/y87Z7LkNpJ16Vf5rfdIg0+AY4uBQ5ARjDkkbWAKDYAD7pgck+Pp/0NlDSllV1ZX
dy960Zs0S4VFkAR9uPec79xIux0O8S2pjCp3WJf62klM5KHbKnEY+QSyhw/eIzoKP1uiWacK/RNK
RyNTHnW1wQWFog5tj+/d2AIlZewzCsditd7v/BMKObtv+iZMeMFv9dUM/kFDUfj9iRkkmDjut+Vz
1PjtSUxdjlIcbBRtOn0rg7zHvbN87cdoyX7wUarJ12PUGJm0bHzFyQDwb5E7fb0u8nW6M1x8Dfso
4Sw6iFwks9Mk7iFdFYx9I45/bMT8NJEFp6VqqwRl3xrnc/RxzHkT/8CrtnaKMt0LHjeGfqRM4J73
IhLzob0JQpwzP8irBjhCvOXBwVPB3dqxu8EbX1H7udjYMh3W4qXq7CG3gGqmMbj1gvozdLAPvEHZ
ACriknN6jvCPEAWPjS/3CwF+9U90SxCR9J3GxfIPfEvWy93q6udmnr463wKEWbpbVF63g/PH21Ch
CGB5za7w0HfItiqWC8C+ofZvKQ2OdQjU0NQby2Y2ANOTOEULtu8g0cWLEsch95/HQu1/YGABB4fT
ROO4H7ycxzNvv/zgwaYRCleOayQJA/SIP8iwKgCCoWqhY1LgTXsrZQAU109sDdIhBBT6Axrzu+FF
FcHLaC0ELqd0ArTyOR/NfqqjOWb+2O2bNZyPYxlN8YAj9tgt+mHc1nSoR0A2uB0yMuS7rqI4NLzq
LpqbFndGtCbDXEWZbbwi6Yx7rarpDP+YZn3kYSl56PKuQJoa9PMw9g9+YP192xZ+7JaGZsLvv0SM
2HiR7AHEX0JW/5lX0f2sqxta2gsXUfIDV1saVTx0A+t21dJAfa5x/lTUg2zxD3it5w1PrB3qJKjo
tMTaTOFZVzbAX1IqKfzAnVsVmFgLwND+VPpJrtV5NhL/VIKNmTz/bhPhhTt7ZGuDdyMHDrSvwwXt
S8CqQB59x/faKXMcPCxzihYt18alGwlff+BwYAimWAbRYxsu57nQt642JEZPcahY8SoAwvoe1PJm
qz9BNri1wr3p2b78E5urfKqx9OUBZ153kIPyM3CKOkVptCQWWn1CFlSpDsdLvOJZxD0QJRynIwjS
zkE0qHX+PLerzjrTvBCvO5uCRQ+ctPnRTfiTvaZuB+F8SKcias+Ai7sj6rh+DyiU48IJp1dUq6yA
oVAZFIJyOA527mxCei4MNIeV7cQ21x1kHGNNUkVdXiTbMuTvvevmI8wBAqawc7NCM9rlnyGQrlMm
AeOIg88EbkXR1LOfRWUPzHiugQZGKp8fvSqnJ75ZghLGQ7QAatWzkthEuXLfPXxpe+fPa1Yw7i4m
4Plu8mYbQWlypsbZwYGQcT0ewna2BxGM5rsmnrgZoWQcR79HzxWQaQ+iCfuPqs018VgESuKX0KjF
E5rTpJvxNXsbELDIlzOPJw2bGTIFwFLQnFHFTrWp7S2n3vTBkGBo91VNcGRT4HzkGJGI7FWk4JJx
D06WJro4NnqpsaOiOh+OjcnHJNiYvfiW+peN5tE9tH6nHrtqtetRjxs7bwpUKR5wM9ysZqD7Hhzs
XUVQ0ew9cL9NzBquYaVB6YJS4EgcoKE7oYRYs0GN6/cyD5sMbRU51FtLIB6yjaZSjB6OA9Dhnlc9
CG9zZ0XMc8/ohqyAKF61WYI055W6FINvn8hQPLTbfHJKvtDBDvCBUK66YOA7kLUg1Lcdvm900gH7
7KqF7novUDEHBByvkrwYUz3kRX83jUwlbLL3fCJVvAp5XCt6x1ezq1uWtaHf7wMrvuqquyHoDebB
+2RWAcJzHW62UvtZFbRvg6kuHWnaTErlEgLFLA2MbRLamwnt3lpjlQW494JgB0cg0+hEU2Bt/g7F
6e2kAGyHQfVxmNW5RhGZQGcEJFxPh8C1t0Ed3XihyLxhlfEsZwePBIqiyaP2gYtyhLg31ykpfB+3
ZFRksgWe7En0DRXfFqBvIbupKVGXCJ3BRTQUbDdkhTYeXaNw6HG8O7CvHXS7dkz7aNLnpYQqZ4zv
33k+rxJaz7dzhD7Ng1qMx2JEXJfePtDteeLwJbf5idVVVhTdw0DzBmYJ/E84vQeobnUyKu9Ec/vC
upEnZKsBDMHJzgJvxCHIuTp2ATMonvPjEnQ8XgPvPhq3N7v0UTyv+XPFcP9yOn7wBu9S1QCyO6gs
ieVdHgMt3FeqWVDmjXdTE+Jmy821qbhAmn1vZ6znML8LS/NQrTSDbb4vnHvUCxexaTqYhiHO9an2
jmSi755HT5CKi3gLvM8kkp+IotuxUjC0Bw+9cFuDaQ7PLnC3Y+Eft1K+rYvLpkK/WE0PEEzTgdoj
L7d9sy0FWKEmq+Rw2GxbHfOc0CQMl1vHy++0sDdmW2911cOYFQ84dh5Cr3gpwv67EPqmhQZQMBQg
tXGXntbNvtrQmbhw+D7XckwiNr/iu02jQeJqlxnNJ3yWuXlzsnroXd7FvPGOXE9xvpX3wIu+du2c
eSvD9rM7sfQH27aQZvHdCsbSqjXpvNIysaJAxTE8Uq9HBzlm28qOFAI+r9r7hfInrQTIRAG0fKuD
+6Xx7qDU3YZmRq6Hmy+153/QQXmpXX+YbISLWrzgzLepbW2fbOs4Jt0i37oJ9rEci4Sa2YfYGgYX
gvYO3Yhr4zz3WGzzmu7HHPbZ7HGYq7hgOxJ2r3aE3E5aO8TdgGKx717wBC+ymm+mbUpGuR6q1j9F
MyqqPl9vEJLYSd6datlnnEM72YiER9/XCBA438TY+W8GREVcNF2xiwo+xe1QHqEuxotoP1u17FFU
vhTy6oS279oNd5DEzoWevig3CixK/VxXQzZsPBvW7gLg/NJrBXTXrikEwrT2qjPq009VUD3oKk/0
BvXFjJ8R9vBiX0TYeLS8FnB2z5ZNxQZ9lJ77y1iWb2Gnntt6UPHa9MUBKY9v7VxA4kYjiHKGpJ1R
R9lok6g1el9t/j7WYtcX5TNI9M/4oNUpKNY7ZbEwr5WSn5/LHE4h8ZPVeF3CNGcZLb0yE7R7bmi0
n9em/cyNiG4mo4bYXmsWuhBszap5WGsLmlF1+G2xltm8IdqQQ/6gtL1Xi9s1nhclvtI7mnfPdWBf
ebuIjLb9tgvD4GvYBd5+soYn3SDaHfeKR6g/XxpP3i4e8dC3hdeCczupnNyCXC/jZe4eBNSixPXI
rJAFD1VMD1O5YnW0xfO4zB+wVcuD6qK97OmzVPo4bbqNh9VbdmW4zXK3Nna5EX5UvRdAy2/pNpYm
lvWoaNpTWeMrMex2yju7w2OhN3BTIAnAMkI95PcJTIH6C59nksxokz/IwhNgVgiKfpZv/BxAXn6C
X7M98tZtt0xPNi1tALGB53J68tREjtCx1rMJ/OGLgpo1Jkvf8Q7VST7v8slfP47aFIcejf8p2lby
cRj48BmyyvvcO8gq4VV0mcsczojALV4qH/9r8iR36n7QgEtK6z3LmTX7BrdxGwqdhEgBFcs03cql
D4HEdBfR+dDsJ0eTzSega4zos14tKfFCKMMV/OaCYpfmPo6BIIJQHmGbQO2YY7QED7zmN4QNT/D9
sExD6XZBU7N7xdiIEJD14Tr1OsXjgnfdB2tcQ1OPTR/WMRTZR6/tJEKPCGtt8s2ZYMDDrz8FVfje
oj5OprIWCevmHlZj/lYMZaplaw16n/U9UOEHV0rvg7DtHkbSkPl8O5jRf8wJeR969rUEwR8Fm5ey
EEoBn+s3tyKB08EuSauetnGXo9QmcDmOSEAZuGrozweFr2+d2REhjeew9AJoheOHsfbOwCgudiZ3
Y09dWhgbHAqro6QBtZMGuNTjoTQ69pRVMeI+O9J0pzBC2sGrcND32wdoFxcTDp+17z8p0W8xmdr3
LXD+HRnmA+H8KV+RC/EslPuV6WPJgiPDoltdz+NyRQ1jcn84CAgV2cRHxFVEp9J6npHv4Hj70Eru
uWt7cDodpDM4SJ/8a3RBNCHf9dSIb22vmrNkE4mndemPuqDlE+sW9bQ223wjKDY9lct6kWOuofZ2
nH4LsJBTmEHVBbaRQLJhCFrkA/uogThcVk9zT4s7MnntyUYW/Z71qYcDlPf6G7w6IAaLl/vv0aDn
WPYR/D+s1gRhruU+0KWAhD3RjBlTvBaeYucR0MiRbAxrPjBrR3a4fIM7AVX26IUtv9/GgKfLspU1
Mn61Qa+tVx/bqVo0FHa8PcqAHVugUOAQ5ZpByII606pxeqDrtEKk35CcwhnBwg7qIfSOWPuOHFc1
QObs0UGZNaq+D5HCJc4adu6ZbR712jRnNrfhDWsdPUSRZ77ThRWnmbgeSSngbnGpaosXJQ3vbt0s
PXxNpXyuZbEe663pjxErlxuS9wJsMrJjEM7YmOIEJB9YPQE+64bgKj41dyNtvX1O5uWQs9buCR+G
U0vgldmiCQF8RYaledcFOxO66t5zHQ7iSox0TPCUphfDWvYaXHsuKzs80JmhWWi2EQKCJ9TdjJzh
kU/jlC0yUCeIV/5uIXCjYsPmbic3lL21b6ujWMgIeqenVTq3Ene6CmubBF2uj7lXeIlHpVkSv1j4
qXcl+25E0VLgaCMzCR+jOiNjgVocKHHUPhJtnR+D66Jxv6EUg9rzQuDXyGQuFvWJzH752oqxzgyM
hy6FeQpFqF62rwUc13TqNXtorsKuIQghyppVb6WGwdlHlX9bmdWilpUSNQoXF1qFy/0QgPlLdddW
QeZD+dq5aS2y2ooBR58Uj264eBI6yTXDaQdY9ZF0NdzwcLmhoy0OZB0PTa63Os4b6HUxyIUqLeFF
6kfR98Ls8rGuyswr5uYbyRn5mttoAXIX1t84C3KVzk1uP+VQIl5nhnhOPLY93+J5U/K206wkoBC3
6hNp6vVTU/qtQNIQyPopcJFnd9xEw2piEHgt0jANmoZ4XgI7Jw32BITqblgK1HcDwT0RzgzhxB7y
JkTIzengvghLnAVBXgzLYWtLFHq9n5Pw6OhyEOoqF3a8nvEUS6pOIm+jF4levU0d1ww8BXA5k01t
br09KVwU7MLphx/cLKiklnGs93qaHMuQgxl1qiMIgLEVAKsyNTSw6+toQRk6IAdMkI4TbZEUfSiL
AyAvfUNWWY67kc/jOwRYW6eGWLg00xiNETRc2n8AuYIbRonCK5O80+uwG2nB5I2WwJYVwfWXqnDe
QwEOySF0XrU9AkS5rqayo0tqGNuaGnpGQ762jQeHUnoNTloQ5hPC5maCiioKjlYWPwS7wYLhKkPl
GyrKKWc1AkIcF3Rqm4kHWeXLxpxKXLkSNpMw/W0wF1IBd4MO/FmIWovbpZ3W9dbWovloq2lZ8a6p
hjdCJuJcXPRiTnKgGqZfxxZGSx59o40T3/MANUW8QSW0p0it5kGWs2cSC7EoqQYwEIkn2w2aCWiR
KWZ2lN1e+GMzpzYv6jajCzSk4xT54zfuUVgc/uY7P9Ul8rhL5BCY6WCjRnzDiTHW6otZgRFm3RhN
ERSEhoEGMVHkHsmIgtpvRzOdJsrkF5gcbk0A/0xrOuU5ABw/8KS/G/y8vi2iefs+1iua/sDv/D71
ckxc2PvGC2VWrnroUs+HzxGPalJl2i6mO/PF0fU8X5GRPSrvobq2ZiWa0UpadppaC7UMa0i43eJ4
COQhiBAiPHNvasOncM5DL11WZS4d9IwiCwogFYkpdDFcJsUKlrmIAUgIp2uQcJ5BnZyH0YvEaapN
dx+u+cYS5LROI67ZBR3WtNZPFWq+4ZZOxYyCZvMosJ0gxzKE8bZ4KOsbCR5p9bsej7PauhgsFMCR
hUc4iUmAQiEjc8PMbg49glgtqJooayrrfSkRTWPnDnAOlA8yQ05qc0Ts1i0s83gMWpZIUeGD9q18
mL0WAAlInWAGYlOXLMEKhgxZqwi2kvHzKE86t6xPQINsgbbLVS9yW6l8cMWi3yux2e24hGXZIy/r
C7IbAw/tvG8LMLQVirb8FXMSVnNLSquunGJkVxhm5YQ7es2ZRRk0N+Zj6F1LII5IcoUq3EoI1NQG
7k0MwleJL5cyhFJdDUESIhPyilqXyRiBxb54CBq6fV36Kd+Qkc2B34ye2j7UVQDn1OWN5DFGYEzv
pN9MnShTQjMcl5APlw5s6XfYn0jOtiX+YtZFm11jgsEUrxs1BuVX2OMy7aBm1Am4LG/95sNF6ncF
6Jpw70dzUSZ+KZHxK3oEVVCHV1Vxo2nlvnMD2uHIBs1l1nZ6jmJkW7fmFPptMyR66cBSNaLiejdH
YxnEylT0deYLd/ueh8JlIRX55xIi7/QJMd7R3nReRYe0qESPczwcligZUe5AMPaMd0Zbrpo4wJph
wNJD+9jMg3/n2tzUSBN7jUitG9opdpMGZ4PDHC01cBV9WAFDAZEFZaH8ee6SGtwxnHCHvhC1nmHi
jMRnP6Sq9LW90ayIOI7FAccnzA24FKMOCex+ePpNOgHZBRNcbnzd5XPfT2/wMOXnHEYjdFWi6Rdq
Iu8tr0U3p5HTHI0+FgcC3V3Eza4Fgi0eoHiwOvGFq0sEkm3Iz9XiDRdedU2VKGU3Cg+bA2wevQUZ
cpy0IzuNERqIdAFiZtOxKUSPO67d8lSTYHIJNu9YnluWMyBlq6hvdYEfnMxADKj03tXwp6VcsS06
u1xQ061qxywD6KUaTw+nEdlknpKu3VrUnawuzxbyyBbnMhi/GNe3Ztf0eWETqx0TiYOR0u8d67na
l6hRRnyabfkyYv1EENd8IfdU1QCmwL+u3R4Ybv4e8cIDrzwURu69iQ/RLph92L7AmntQW8PaoA6b
ylYlizLBdWzEPNz2kWJ11ldCII0ZLdtlDDEkINFWh1U8cDcANOkAoqCDbn11M1AzrhmoGZwcrBq5
PW7tiBz8ipezWZBPoUsMfldkHKqgTcKlHec9hiEEKzpu5ApuyhbiXMKp6RTY5R68wEvduqtu5Dnu
krC1xN3oigqvjCXXBTaTCdx2R0LeV3seLWK6HikUaWGCGzv4NzGmn0MdSFBBjPMJch0CiLQkFOTr
H2NMQCdLrzElRVOVD9gNoyU4mtiw45PXxXiS9cH1v0PEPwWB/jhH5k+prdBHmIRCjGZRCA72l+gU
YVxBmq9ZykPjP4YSqiPreyCpdWt3kKURMC+4S2s8iGQRA8KWfwB8/xZE+uPrX1NhP6XGQh9BGQHz
k3F6zdP8/Jmh4pWbE3j9sW+2HVHlfAipAy/hY+zEf/5SSG5FQobggJGg+fmltgWFZ1d2LCV00HfU
R0PuAZhL66KWj3/9UuT6tn/+WBQwMQ8ARgbAG8Qv+ZxCYXfPkFxRZjiQthMUxaJHgSnSvPf8czVZ
CF/1gBLI4fDtIMHHkx/4/yay9qeEZYi4kYQU7eOygIjwy7tAtW4mnBosLUZD32sUpnOy1p6Ou143
Dxbt2PZvXvFPSzjEZw2iEKFOoNrhdTDSH5cwmuNcYU/iY7ZBGbfV/A3wjZ8CAv5QDv5DXwAQ/OtH
/ecFxBCAEgyJPOiHkl6fwR+yf4NZS97Pi0hhyzQpStItxmySEHwgUh1//VJ/epw/4tRBEDFkrhhS
3D+/1P/lwUa/Jyp5EFLku2TEEB77+fX+OeJJyZ5V2e+zm1Zoi/8uOPqn0CFC4oThRkZ1h8Pn12f4
vxlt/J8EqqWEukeREveRqeO/bMDJAY5fC15ljRFs17QV3deE17gSbJUMkI6SYpBbjHzlq2uKPAPJ
0SAN05QJQmjXjmCFQR1iAsNff63Xr+2nvYqm9o9v65evtanzFdWTqDLXlIA/aoAI22QKbEsPoyM2
MWLURVHd6zyi/2ZB/em5/wh7BtgyjBAE568//8Pa/euw57884n/dIVziYJcU0QisWlTOv3w+H3qF
hslG4N2DkBikWi8t6jxMdMrL9K8f5a8fCPsPKUeCOwVzvxhjv6zYgYFuR/deQXYmcMq2oB4A7a9d
uGR//UK/fiasVOQrcHNgOFQQIcn985OzPugXxJnKHVkdHW5FO1ePPFh9wD1gTubfP9b/j8v+j78F
X/E9/utUzu238fMfMzz//J2/T8ojv/lhiKtV4ugn3L+e+n8Py/LfIoxQoMjbMyYilDb/SMviJ7gg
UXWAceeMYl7eP3I55DdE869BWoRoUBWgMPlP0rI8vK6Gf+5wgcCQBKEKZh9FjrxWWD+vlnVU8xIi
apACFuB+ysYQAvpc1YDZpA0nnQRaDp/7tl+8bHA0uI9I6X8vW4QJAFeAqZ5z2XXjDmLQeAosK+7X
Vq2YHTRi8Avg7s90XrdnZ+hk0FxAU/R5t+wwJSe6myC2u5Sr0GxJM/YuCeawukG7OT5RQjFSBtjA
oSezSlvkHTNAoz3Kkt6yHYYB5V862E7fJIYHZiyfhotZ2XjaytG/8ZpgvXTdUoMgBNTpF0X4hvxs
uFOY+nMZ+0C9B8gSoHRfxw+E1eoStG2YzCGHm6EYSJa4KBYH542zWxVId8lbgTwEjxQsXg4bT5kB
9ld1nem1aH2cC1EdXCvtN8SMEa6kvHqBPgQ9Tw/lp1VMiF+UOaRNVD23U2OCx6oCM8G0sx9NvgSf
iW6hZbUdOv4N2/q4Rl7wWjvFtszQsj2PpOOniir9hIF4AuPXuqCDSdwX+xoBoKMah+DGq4PtpuDC
qbhb/OYbSFwLdAFQSoZgGLBuDUzrkfhDeFuqcIuQdvTWe4UALlBcoO63rsDkoSlsQPoVCJGleFjs
Jpprc3KLnL7KCdwk2jmdnwBwmr3GaQYgawUuFjl6x9TU3wUUqrg3df3HZt7oQwiY/wUj7ySkaR+p
JAMDqyOu/ogwV/FgtDZf62XWN1tU5nsYa/I71/WMSMoWrcCZ6wrOSNOot9ALIh/QMJnPaFwAGue1
f1yniB0VJp48zR7Wb1KMfnPCBLDoyOU8QZec5yc8CA+mxegvByoJedwwMg6z4rZCfHHWi57gPCrI
T5Z2bcIiDJxL0An3z/6yLbu+Crs9RhPCe6YgGZEQl69NMS11SpnZnkLkoB8QxXH3KIggi9RIg2Ps
2yjyDDUnBeYzeJCpAGFOEHElwip9MIg3WP0sC13XnOa1MIfei+AnNQ6kAkIp/Ru+ffSEgGm7KS7k
OoAO5PShh5IVBwsCxmDzVX3jFXXx2DeY9QSNMUQh7QhiIhzZF3NjyoXsVhCxL5GN5EW2TYNFgwYW
sE97NS+EuHDrB4e5qfTJmRCDtmDasYMUvDJgNzDuii1leSBNOd4ZOsqvEqDKri788LS5gmFuBS/C
05JjCfKiYixGeQLXOPSh++ATF5M/lN0NhkIOu2X25nPnwHZ5VJNTjmVNbloCKmnTfOMYKedXKqG8
E/eLJ1kWRCX5ShoZwnhqsb93iKEEj/Ta4ydIm2OK04gQibmBoWLxmIByfihh35UJXDYY7bSfP3IN
Vhj9bWNzNKJkbEAUaQz1sJsDlbLJEYkK0+L9FujuvyKCAqMchsz05maN9CxOg5DGGmPMPhnwJ/B9
Ro3hZT6zZ9/mpUR2nbGjE2r5HAae+cZb0T3j6y4OyAQp6Kw2P2PqIfoKrnryUMKZJljPXfOO6Ply
KmBIngMRsh3xiuBjM4hmjNlMOge1HT18TAW0iWTeMA8wnzGfUGktztFokMJGPvQIOKlKoEQ0aQeT
Cd7UVC8owRxs0WD5MFNSPq3Ie6VgttrbFTrMaeaV+LRWIUtax+dPACYN5jLqNaAfKtd0sF56jrRf
7cTVOWkW8okqQClLAq29854BTSLVHq49ARcdLuthEJOq7qDDbzqWrdGIfrNQb5mE6dunBYZPvo3W
A48/1SUsQg3x7gH5tuZku7XHZJUpso+zDMh9D/YBmk1eRS9NswK56VdFZIz5kuOKc6UtXzC/UxEg
OXrIIiWq26XHZEnsgxHnUNvI6j4fuPeNDRvgBzVDuUjLusf26Qp/uAcfjgDaQMQeIhJFFKnLJ+hp
xVtYKYlRqBi+hI+V49apbJ+DJUYqFXWtdP6VLWHLWdhaIq3Dx+KShwOcdoguR9kN+kJABGypI6E9
8TysUzEN5tFNjO31toQZ6PkgyzdIJ3yrEd6o1upclBQqsYCye+NVkAdBTa17RUN2hDUoj3VQwWnx
KtvuJih6+MUCkDd47j4N8zm4gfripatplzOdOazRATmTtRzrS2SRoQ8EGFo75jgzSMe8HQ7P8KYo
YMSXjbIHGGb1vlddf2iJ7shjo8MwjKPOtXU8jAbGeMNpdG4W13j7Wq+2APZvK4DiYAFBKPmIHcPg
8TFdTnSFPUP37LoM491m0JcD05cCMNHHZpnsFndW0hVchtVPkrUa8yEpPohZfOzRpWG923l1Sd4E
o+UC0bwPm32PuCbI5t41+zas5XuY2/odj7CJUq3UhDPWQcgSBvnIOOrdlkLwxrLNtW3v8khCq0cO
/zrRUE/Vw6BWnNxTjYg69uPWHETd+4fGRKC8uhzfp83X+W3ZmEZCCAM7rqZqZ+Z9PvqkThFUwbXj
gSWP/UKjzIDcl8ALWY7BFpApI/7MH+cJ4bs4KGx4Bo6MMX9s6t0b+iFikhrZOvg+Q8Ra8BdhMaWI
2kx3tV7a+wreaoDX72AGRCbvigx649Xl7EZcJG7K7xsMkoswpW9EMrT3lk4mSERN5zHQ0QfEzOr3
QuEzk7Lcvl/lCxz1IyB+7pa9RcLuceNd7yWhB9MrLtq1PBVbjQDCj/L2Pyr3/x8N1v/LodeMI/Pz
V1X862etv/3X12/6v5Jfp9/87Xf/Xs2L39C//X3szXW8zT8z9pCRMHwEWwdjkH5odX/L2IvfQOpi
GLV/VQ8E5mtBD7O/j71mv6EUCAVmX1P8B73ofzT55peRWijl0b9iOBr0pTAkAarVn0v5oBiwE13I
0vnDnKrDdsCYtFh/Zsn/ykC2n7vM318sROMMbRJT9EhwbXf/0J//n4iTXF7f+U9Nis/RmgSYHYBe
yfflL0ooD5BwpguCluPa1Cl2DxBdL/R2HYxReJn5nKlgI3uLGjwbCnDrQV+r96L084uC9YxI29Rn
IajKDG0XvEPhB7HYcsymdQwZe+ee8J2qPaZT19mEAZ4g4ClN5nWZ7pBQio6RrZoE6S1ASRppCvC+
TdIq5AFH6KmH4L/ZO6/lyK10Sz8RFBseuJxE+qRJehZvEKxiEd5sABvubc6zzIvNh1SpW6ZbCk1M
nIlzZqIvWqESK5OZwMZv1vpWWut76fnoZKbPRhTYjepK8J7SDAzMpOagrWe1YRvRr6Pc8bZDK9TO
SnX2dEmc3rDriNeMXLWV24XJxmoN61TbhXbyNCF2kZO7J1fZ1q2c/QmJxtRfl63rXRUsQ55s1P63
Wu2h0gy9PjduBGjLitMdHykPQhv9QROPzl5vsvm7jzwlDtCbIa5z/Opb58bzh5OMyVNe+jJbj72y
H/XWw8UdYqpkbeDsqnmOPpt2ToogN5x+IytoMEgYXcXGUG/pyEbDmc+TN1mH2k59qrDM3HTpUH1n
YDV+UuZ2sJHEFJ9Q1yDa0xonQtfJM5pFVhvrKyFltrWa3r7XR9N80qCU3k9GPTxWfYJvvJ4htlEm
NLRCefqK5X66K8aSTxFOkh/4cT6v62n0FnycUkPQTVI7KaHN/R5ag7o3IOG0wFCj8CHV0/qxCb3u
4Ntat2VmX56abBThysFm9jYtE7ZcG5x7C+XIGUtHs7ZdK9z7NBwfpWtq+xr0aB4kHRBm6YXGXe34
xb4EO8NDD42Ou86l1Xqo4WWuB3rEFFsDxoqtP2+YwqJS2Gu98o589817wZP+Zc6LHIyQUQPkZhR0
amJn/ACcpAUm5r8tdut63Tj1wMStGGmJoK/SXaqgFlB8cBfPaM7Y2FsQhLaqVAawXf3Zb+u1VNaw
aWvZ3NutG9erIinCt5Tq62saxdpLZIzTYzW2xqfNXKALAM2IZJunqr6WoHofzLBv9nnjx29+UaEa
0HxVmDetFYEVMDIfdT6tD5oxj6uhZv8Z+hshQgda6Si6nVADW5lqNDGxx1TeHeoIq9pZIAW+lnpI
EYaHnkF4qcDq5BE+vNib5ZuMxVAGmVNRAicx/tK+ZBcV+UXpobEGxxqoootAxbfpsPIHbrmgxG28
BkRpXU+idr+oDGn6xkrDdA68JPLPaW/XJ9VTU2mlad8xbdRu4lD3yjVeYucBh72GHmDOTX/bzHrn
btXcghQpEnQdoUrEJ3aD5AO3dvtQOlX2FNX8E/wwUBu+ZuHILZGun6dQL469Z/KLllnbn+Nw8m6r
pMIdK2ZjeGq60sKlZek5S0kOs7tsWjpaPu30QIiCjcprBJubZfHO0hzjPplVfRxxsh1Nu9KeM64t
nd+nr75rxkjDos2RWKO2iWq0E9D9VQRLKuxs7EN11NR3fj6037qc4lcoYBPQpNUX6XglgIApSddp
G+WBor0sNhCfc8YZwkFzczCVLz8HDfeMTBv31kklEr3Q8scvoWZpGxPeO6rTxcshZjCCMWJcT+RQ
n6WVHZrakCc9meWmRC56VCKDCDDq1SbDtHwXNqG7i0yuGzarLWechPirIdrRbb/cG73qr9oegAFn
wSIkj0tQK1l+bym9CnzMh0cbyP4VWPivTc8kpXZwZHa9K2mQURTGMeIa9IAofErKphpky2GALLYt
M1wCltMlW1XN8doMtX5Z7eJh7iVo/pyT1hHpfI0wwNqUGeVebYIzmyLBhFbvureijKegLvueVrSy
T67V9dfLKjYYemEd3c5yN+YY2kczlnhTTDUfah+xH+oI9FNlrjZRP2L6hwWD88Yv/Pg4xUXN4rCl
F8pHoFhCGSsDlc1dzwOQ8b+hgK6o/oBqkaPGdhLtqqm66dFx7UWXKJMbTNjmtYiByplRjwO5HkLU
vFIcTJw5uyhB3JvmCYAAUXtrOMNYCeauWePWtDczyoaTmfeQnCmF72tXZscw4bhRqjf2Yxn1Vz/r
o8Ipzo+NFmtvHXttRmzOsOHVwa8zMtxkuaU4das7c7TdFdOjFjNmWT2VWTI9N4QlYFkyZ8bbnqDD
LJvmsY4SvPFt5EEKYO61ynBZ3Ihex5aMv0YP4MOoQGtNL1jEV95cMYzoUMTvC/hEp7J3fex//Wze
JCYAgH3tSxD3F12W00vHvdLqubtuXDbfozGxnQ6FMTBh4x6FbtNnZw5fG+tMg1c/7qLuKEvbPLg8
JdATpOWI7GrADWJK5KkCjaZXCQGCzm53Tc4Dpk+n9BGJeHpO/Tz5ZkxK2/DvtNNYhOXd3Mflkzsl
7t53o+TIYfhNK6ri2ekwh/glopwU6BpzrTFT69bT2mDKwJ3kAC25fyk3WMpGATASnF4yo5nLMlND
7O/jNKkcnCxw7wNjZmgTI6PaTiATtrpXaCvoIFWAv0ZbxPvTl2qQ8dKXDviGS+ubN5Txd9zZ7Xke
xAJdSPUXbWjGqxGUwAnlFYdt7OnxO86gQsMPmKLlMKxyipD38vUHHhQP0PNy6TGzOX2e0HTvauBw
d/B6Rnj62cCTZWbqe1dg+vpSmYmxS8w+2WuT4n0D7nGOZeiqLZYz/+pXJfr55+rv19vxC2P4n0Wh
Z9kCVuSyLjMMFo4/F42/qkDDugnBiTc5RNeyXzWP2aZ9OkR7a5NstGDe+XfwXpqVOoi1AdK13e+T
7V9RbJeK/1eF6Y/3APLXFijulxXrb6vgeJhywAKSE9hPg8KLdkBd0IPzfwrCwH2Byzbrvvmavolq
WjuCMBAwMSWJt2GS3hVeiG3qqbbuWitfVxEWtPDKrOutNOa1tJ+qTP+5ffu3+64/YHAvH9qv3vDv
xv3tgDCdMAtc9DsG+uND+2TfFjfWptrlJ3sKNivtvTp0N+jTHdStgbb98y/tgtX+w5f2q9f/Xdvg
V2EKLYrXt3G5oPMPxKbcxrfOgVnCc/6OtWWn9n/xmsvf+WevuXyJv7pQvAaUTWUtjK1rDJNUKwCi
E5C/6X1zU2219V/pNhai6h9fcCGtgTJfZA6/a1e8VNbZzHoPerN224E33vbbaQPsY3ub7dsg2vg3
eJeOqOP3gbUFQin26V+sT/+wj79oR9gfIbDwLMhfv/2dS3g5CeM/cKXuyanUpmbeYMcfsp0Of/7p
Xhbgf/h0f3Ub/u6X1flsGyvkG+3W2fsr/r2dsWl3/qq6Gd7ZKm04sa+GtQkXfH7uGPausvWC7r68
i781lvjvDO1dtsX/fgv58F527+XH9+aPq8jlB38ZXhg/WYuyAMD3hQL4q/GFa/3EVpq5M5Bey0ef
wh78x/jC+0lfdgysiJbssGXA8I/xxTIMcfjrmNa6NioTlD6/wIt/nN9/ltoFkOk3tw2AQHcRdDBe
WU5Sj2HJb69ZlWrmHFvFvGackh8iUXKvjpkTsQ7L1XXVIwQya+GpvU6Vfzc0WXaaEaTTXUlVPHpW
LMBaJQVae1ZQm7x3AFjRnUzUh25sDtvccG3sm4az4LWSnagLXsAJbYGTDNEozTjJBMFgSZ16R3r5
tV6i9sUB2KfHqbSzwFddMewj/G7vbZGmyZ5Rb/ZkTAUWOnzzmNYZUn5LiaD5wLztXU80ACevxcUq
Y7z/DPc7gGMAvtDtNZlXPBeqLzdo9bECxBPmstxPZpaPfo8k1qqURxdoKe+6ErFzD6A9f5rdqfw0
kO2h6YRw+x67aXtE7e2tx1iD2tVXNNt4LRqmtItp05HzQyMH3OR8XFexXU47FJNwEDBBSN6Q5zrf
Kcqd77lnSobCoTQx7qTVOKzmRDFICAeDufUwWG+gJSxkoL06z5qmH+EDu98Li0i1bTiXOZ7PGtm3
PdA0oA+Uci3Mub+Log477CR1SHwuEVpfkKBmmLYuXNrY6x/cVHXbsXX0DxJnum+dsqvrcrCLg57z
B37q4EZHZoIvvRfVEwhYAM1DX11Pqtb8NQ1PwbmG2vu29Udk//0o3iWNRLuyrKQ1g3ykTQYb5AF6
Gr0n+IzdKyovSe+vyzcSl7w7j6+yDUSoYUDREI5/ZeGdoXSMRU8TqhU3fhGX75ZtWC5u6358c0rN
uUOOazP4d/2vjEAw7VagAeAllnsaR3mtJ8UEXwpCk+/RJE+DUHe5maojIr7o2u+i/Dzn7C1Wjl66
H1UOG8dmWAFA2e4OChsbfW+4TcZc7VmyA26r9HlfNa0HVDTOTiiaNRyaSc1suJrJGonsVwcV5z5T
DQXakIW3ZjpK3lDafYrSz3ZmWmvY6Fq6+5AFZCTog9y+ki82OGCP3WDWW+sJBfB+mmpgU0D/ur3V
mNq6BHUIKqQwcUu01KnAIsxaW6V6xSSOVCN8SWCJUA62TmXcWXWqrBUjlOGDPUv8FsHHOabFnH3V
fC+MmV20GNjnZSlWjxCk2C6kxjUUNPltAJvGvmVEuEthqfR4w1olZMVcZxgxKfEBROXunNMvOEwg
QG9AdVn1jaO9erFtXQna+iEole+8SU6spX2vpvSA69k/m5Ws33Q7HK7DLgnvjKnqX1G4RsUKBV5m
BKEA07ly8Qxx83CPr3oiCXcyU9ZLL7IebiC91Ksyqxi/BUsp6CFguOcVJg15woLDJpwppEvRVJX5
jEG9mG/GSwrdvATS1VURPSb6klJXN2nurd0iFZ+JWWUwjZZIO5O185W85NwJ3Fgsztv8sWM3+1xD
wQa3W5SwNoSZPs2OCp8qu2GZ0ywperWos+fSjUd5zLO8f2lRlVdrIyrtd9DN5Uvq9MUX1t6QDhJ8
PFRcZJadW9LbBjxxuqkdcpqo5mj3tsQ5WiNPv8HBkPRrPHYpi0R/aQfIqsPhj1x/eOn8meV25g3G
A6iilnyqkLQ03BEz9nmcWI1HspqWnnRIqYCxXLFNRTx5ga2sQsAJ1+Czprav4RVLvRf0X9PW8hoJ
HIp9mg0wtdHhIAPiZnGrBP/sVXaFd5TrHj2FirXH2LO0J3ytKfNS9IgnsyJljb8zfJFpRTvXWrFq
gnTyuq9gxeczkswFwzGAKQZZwOTXzF3lbBk2GRA+Ct/loVFymDhpVd4lKE+dNbut+HYc8+QzGapP
Ky0HEI1Q30ItFxh3inhjFQgIVl4/al9jbRjS9ZCqcd8lU/JKM+/+XLb/rfLmv9rW5WcplIne6N8X
LgB03r/9z//4F2ULP/ZL2aL/5COQMjyEmFQgiDD/sXWhbGEnYDKzB27jo3Gl8v9Rtrg/CdvyTN/R
9WVF4ThUND+2LssPUZkj50R1YqDHtf9O2YKe9ndlC0W+ZztMBSwkXPxvKWt+1V6kZqFNxsy9QipW
/wpdyb/CGSCebYBa/rqzkOXAsKzXdj/jYAllFd6wz8cgm18UDXPEanFh75osakhAWo9l6NwlfvfI
HhBRsq1lKH6U240HpUr8DI5byN1IUg6pZ0wBvrm23l51uYnVvKj6+BIHKAJJPODygGwi/ypJCH8D
2lrLXZd4pk4P3zi4/IqJe2Z27NeeTajJGHUy6Vf9COhx35feJnPs4jWphvhI7cbZ0RZjlGw7Nw0Z
C2rCiDdJXhP+GFbTRHJiWG1U72hfozmEmFVZoW7t6UGim4YPblc5yruK/QK7mKwiYvJqij1M3mEN
qwwHCmQvuyR/rDT9q3aY4IeRXhgT2hLYxQg8EB2q3FRFWt9n1H+3c+2zoUmqRhL6xdjDtEdsTibw
mImnl12/C6fnpXA26ttWdxg3dqMbnlgsAJlrGmjvcGCIOrSwtKVJGx04Z+R7a5Na4tdN/31ghP9Y
G6PFw3wOzzgq5ZVVZfa4iStHrCptzrDixuT4lV03XRcDPJ8MoM8erY3L80JpRzI4jc0cjx3oT9fp
jyU5k3iFGhkypgXQla+KJU9gyuqYcmuahlcgJcZN7xeMWbKuNrZEbbRA+C7hBEo34hR0bW1/4o/G
4K+negRRhwcr62e7aa8bTYXFmvIFjRLAC45pbG4QXRkkXXkpUy8M27b+EmIuDmqeTjdqrqpd5jTG
oSSW4W10xmEzs2pZAxa01rhyFCsCVz+HY5Q3e0cDQRdIRW0XdlL0q0lHQw8iKmVWbtgTijaphc1z
XMVAtS710mhOxXvUG9mVKK3hC9TX7iERMyPHpdASZUfN1Zpd0gYJV/ZtL9vso8PYDQmBQg3Vs/dU
LcUbkYTRxsJ/TybH6CHxEEXfiFUX2uHZudSADMw5wqdZWrejMZcBWq7qqRe5xHddUkPGc9lti6Ww
zM0pOiHp4k4alrqzHPkTrXTduzwSQAWAxTUrv1PiSzU10XESkbxCugD4aF4qWnepba1LmQsTiHsQ
JH/+oumxOhZjSPKiylTEc97J02uWXsa1hoxnTSxdugdE0t+VmBIpq1HpQmuqFREYfdG44dK4NJ+i
SuZP8uEozfNwnpZzIrxJlqpdJAn1+6Q7W+WE2nMPT+oGtYu6dsQcUXF0Nt9poeF99HwUN0U72ljk
lm7BXfqGcukg3DkDdDFNrhbElxajFt1kUb4trQeO0G6fL/1IX+r6CztWwBveRGjzurk0L8KAPTsv
HQ2I1vRELizOdt2Zym9+1EfPfNN0QWSP5U8I1+McokrXfwHWVU172SLJqkGt0qosHZWr4IhbSP8W
RBVHa0AEpc+mryk/cgvn2QpEI6uNPNPiXbj0a9nSuRn91IONsQfuYEbnWYWEq6gYrIFy9i/Nn770
gWz+aAmHxk1PYg6L5znjubGzU0UfsvSReTZFhxz8Ou/eFeku4vjeuHCYn3MLc3ZuCWLasjHRvtqX
Z3y3PO5V2+DU8LX5w0OFtjKb0qZbI/TkeuwMw1i3vMZDgW/GWfec+ADsyDE6lLE9cvpcio4R4aLE
fG7Lh1yW2b09TSaiOVUSzpFmeLJXeEiTF0/F9QtQNHCMyOaSQJd69ZgsZU93qYAgq1ENlbU1UqRj
+M5XJDjkciUTYjZWMej7OXC6aN5OhjXC2pFAfSNdzDcpvf/OjdMw3FSGUHhsNQRCc597iLB04QlK
6SI7uzRX4JQMecYkJyFDcQVwTWllzd2Ee27lohl7No3M4RvNRXtTtjP4g0IT2eeY1BACfCdfW9hO
mHRCaA6tgkMjFyo7D66sVsCqnRW2tvhoopWCgz93G8No4rMPd3vdoVY8FvlcrQfaf7UG/5Df1Yp4
kHXbLttF/L/0e1ky3Lgs7hafUATClZQYClGMvOKcgEIBjzmo+tHifHno/VT7aG2ZYtOWmXvf2dAb
WHZ4wKAb6ALs+KNHAI/2PpwLJq96bzn4XLP0Ne37Xqy0MbN2Km8Jf2kEmRwrbtnhyhjN8Psgmvwq
x9L8GTl+AucWv/zNFHf6m+oi44ZjaL6GvQ9c3IHHwl5ac278zOV4JVLTedNqp3vjeNV2htZUW+SN
/gJjL/S3EDbJVdaNxU3MBf6YRgN7QCB226K3+h0RmSGUIM8/9EBQ3xJia/EvD4YTrdkl2fAo+/Ij
A3nNf5ToJ6sf9dfG4ZoIWonfNkxN7wrxCGqrRRzArkM7GmmZPfijY35p9cZniZYXrcWOIjacAI1A
+BkmoSKaN0Gd0MAZf2gNF1Uu/9kec6S/rXJndIEq9cMps1EAg1SI7wWG7L1X4Chc1fNk4BfX0+pa
gXtr1wo7H9ZJ+vYzAw/ADLKVDOkHK5Yr08uta61Tcgdwuf4xsf9/oJJeErP+fSUdvLfv5Xvz/Y+l
9PJzP0ppkrswgeF6c1D6U6kug+lfzAhokUgJoQCgnmaepzPT/lFKOz+RtsgalqBMRoSYWChw/1FK
Q+lFvoTDgR+jq/5bAiZiwH5fShsYfXTMgeR/omayfzcBTBbsPuzDZj1aNcJY4yKMTdslBUcselkA
gBagZjS0iNGHU9dY5dfoIrFFfKrfJViKzbW3aHATrROnGRv+djBy+Qj4KPnCupmFfJYi4CXcvMBN
1bUQzsRkPRc6RssVp/74BpEbBTDNt4aDBuLAF83EBm80fneiEm4+PAcW81LgIQklW4D9L+w6STB2
qUr4OGkXBsQ8hVmg6Vb/BfPyeIwuGuWYKLovWdPTJzulnRtHyUo+DULTUHGgG2X3lBXEgmxQdtig
84ZCbin5Oh6UqcWGX7fPoo7ZtmppZ/DY6tP5tjCRZh9nqouT30mSMuwovykmbsZkYoWchNlEfeow
j1l1sZmCiLeg14GGbHZ23TTzZlRNw3BTX3T75KGq9AvzOkB3oq5CbAGWLkBZOfGC7hudLY5rtPvY
wt8sVshvetJQSWLQ0Ma1Rumbrt0RI/sBDuMENxxV1G0WGfjX6BSqJ3tu7MU0bKtyI8mXeO3JvqpO
Ggic791Qlw9OUVuPQ+OTTdJQoMsVcjfjJGwZQeXKGsN+h3QQ3/PryA/rkiLULYFC2eh0hzIiZAjg
KjAgJmQRgNlqwnmtLLHVgBNeVUtIESZl/dGZl+SiLFZio0Ppu47hUm64mIyzPoZGUHUsTJoiSXYQ
44wgCh3YZnNRFod0SUmylrykeklOKpYMpbKx5AN5JuVXy3Kindlq5rGO0/zbyPbyXC5JTJFIR5xY
pDMt3dPaWhKb5JLdBH5r5CGYqaMr0+gZzllFQsqS9QSBgIu/WRKg5jmUQKHm7DByXINqmciK8pSs
jrXlloGVGN3ebmt73xiNt+mqzr+1cfM8JEv2VJZlyGfYwTtYpROaIWqegYkOiVXM1iEmZsP40eZw
2s0l2krMdEGdIO5Kj6zpql0isIxhVtveIBYLlGoHpFBa9UMYovdlnU+Clj2AbUiXWC3nkrDVdjJ9
j0192I1xrB1MHZ7xrBMdojVefhdXWOj9S2aXJ2dY8DmCMtAv3rEp4Z7GkZe5oDDM6dpbcr+sJQFs
6lPoODYiYVSuJISZkYvFHdTUNilbHZsN6W2YdwkWq/HXowowz03ijfvpkkDmLWFkRLd44Lp7a5Mt
UWUxK4RrscSXNakznhQ9XzCWuRipgbNhk3li2vUGcjjXIs5WC2FNDGYR7tBauwgQB3+bOnVz7Q5p
vqsS6RwnKv5NsmSrwWnN38olby3sQ3HSDGXcl5c4NmBytc1Kn5IJDHrUnLs01o6s6qEdNIpja1O1
JSRaQftL0IpvyU9AGw6IuNiJ1U5dIuHi2rHuomGIDhzWw3tyCY+TFmZYpMv29NylciI9aGlNOw99
UWQRiL6mCMzQaSQkwS3tLDaHpbF11fdmaXbdpe3l7uWrV5Va+7h6rqIypD8el1bZRtqFbwPKfGBN
GRg9cAzrOjba7xh8MloYNJvgqUQ+Im2mDY9YpOwZOcN4dkpvChieFHcRk9N7NiqAA7s2cz90h1z0
urbFkYuqOg+K872ukBgEmq1VmMIvowGUhyElz4hAq0py70q62rCpaOTuQDQKax9fxgz9ZeIg8uSR
QtWw1wWr+ngzSgVQsTayyN5UlWIqGC9jjAwK7+uwjDbI7W6aAKUKhYnbYNhcN8sgZL6MRC7TEbeE
zb7LfDSVBrodUtGQ1QfgvPIv+SBC76rWDX7BiBP0ZeiarFkZdRXv2ssgBj5re1Uu05nOAJW5MjsJ
lJZnBqqn0ohzFDkloHgdJwcKsWSGXnAZA40GfQv56YDrVyRB4euotTpE4zot9gzuPqwaRZO1fsD8
fSi/2Bc7R7k4O/TOMAO1uD18r8bZo5rx1Pm2vnEmR7+tnOr74JTRmtjy/rq6mEdgJjEi0EmBQlSW
7lGatTvy1vGb0LIGqSSWkvUyWry/v6v9LzrMpF759yXY/yiBikv124i2H1NQfvCXcab5E4NH21v2
rfiasZ39swZzf9IN9qnCIo+czf3iFf3HFhaXJiJxk6RUl1t3+aMfNZj9ExWTY/gIDdCWGzh+/844
8+Kr/uc6fxmMIvgUNu+AN8A7WUq0X00z/7OM6L7xW6Mqw1WHNbTJQtJ1BI20+TtFQ2cXaAFrZazr
pijCK+jlgL/kNHVoWwe//saxzcSLrBV1PWKrXtt6712Dk7FPXukNmOza+esMi+bUk1DIGmd2sJUs
uKggm0c6U/Jv7OcylEwRfQUiLRp7ySq50OvPaEjbPYoof6PVEF+FSJw3VaY1OSVmf69PmngjI328
kmDP7m3RextQmNHWa8KRIc0YnRNtBNsoE5G8NiTuUF+Zon4yego58K+XPtuJm7MZ2dUVdlzzVM2Z
5dDR6nTngIHp1KfBgw+hmq5dqjYt2gjGZvsci7fYVlPpoWs0+pCVBIXhJxPJUgRtUtdj0ENuPtDA
FZAmQndG8ZkvstXL1kZkUzfwGDbym4YCtA2sZcVTRiM4J00QEhIoRMz04XjI+3UHIdkk37NiylGr
2GnY7OW2dohCox3Wrq3S6w7/zT79edF0WTrBniq+VMsmCjZDdKf3MZOOyJmbb9iliY2hoBHadmbZ
VAdYcOavbRw5xAg12aHShPkcsVHbtgTk3UDshkZFYKXOxEyU79Kpe+C/Ujf2sdmb00GjAn0E6Tlc
ub2Qr06mUiK8DIcDfhoWV1rM3rvNqvxzLLX0sa+T9sbUMfZBUINuylb+uyLI9TgIrbx3sMq7iF2T
7KSlxWRt59a7Ic/L/yBURJyg4cY31LJzEHf2dDe4Zfo4pUK/n3qGxR3yhnE9iKLmtYeQMXfINPyr
bsYVkUeu+GzGfJEQEHlCTr3SP7zGbwIzaSl8vDBCQeZ3Ux4gg60OUFmA4Hvp3CK57v3wPurZ5WVm
BDk4nXF7IYXPUvxZGH7G1iowsuaugROs85vD1JTIDsGrRMeeMLRHh8SWc1E2sJ8HphFeHzlyRXmA
iWrCKZoc6kYMJKBUiLvJD8NSu6LSbqdtYTfmdyOGt+MKdBdbBRfvmt1zP28SaEhXrc6YdiWHof4e
DZ75AoJIGxdgM0B1isCvigBb2Him/kWlEBVXSpTgj8kXAj9KutJb1/jhq0/7983UUNhqut8HRSyd
PcNtsnLDrCZpsSkBFCc9lrRxqtEv9kv0HeF5n6kxWQ9ykDb6jygszx1pZ2d3rNX13OEj8N1yfgKU
4B90M3R18K9mez1qfkZ0rVk/aUWX90HUanW6g1DV3luJcDK4klnSftHCxWWLcHk+xbkJ6HRKnA6+
lp0cbLtBXkg2L6Mdu39ndDqtHXuWO7iHKE+MOUPjxlbT4YDqE2bSkZ9nd2x4xMqUMDGTrCeQHVz5
RgtBpK1Sv7E3BJhBrNZt5N4IjnfY0qKAESGbcbjo5VM2YgZY7ALReS5HfT/Xun2Pzvijn6l64nBm
10CJJm5y0bBwSFhXEuaRMyibW/80OtYITxM1ta/kvOH7nALlKzvwOlIfRo1drFtwkpQ2vSsGNp0+
uEf/nE8A1GVYJxxpUP2ETy0VsGZAOUqHcVKe27yCVDduzSl5gTp2DiFZLbPOHC/l0Eak3cSQ4YM0
duZviZUaVxn+y4c+Ndik1JGV3HOYRdjaIyd98RgRU2dGNspvxuEUZi0IpNwwienJUwTDx7xxnTc7
abXuxgA7+iM4wG5bLzkMPNOCBhjWIRNZiD7I0x8NXbnpeVagyY7Y1/Ubs2lLf+spvkSHcKN9Hcn2
Zpgja90lzrDtPTfU9z9HCNQl0WrABqV//Fc5AjjJ3bdmFHeEW2OPzBjFp5Ep6FqM7DWSjvEZDzDP
/yxUgGq9e5ztWIfpsuCyM6LdzChLDppyWK3Nk7f7q0iBRrIlqhNc2ur/fIwA0UhqrWeWvjIGni88
CIpjXE5il6KKx3QeJ0ikSQLIIs27Tb3wTfV46gdO9BXwQoPYxuGg4gE3QU7wDbqSYFAAZTzSGaFw
ziR9T+QsYmRIBm6sdCEvEy+4nWPb+PhdFgAsLO5Z2vvT/48A+L8eAWCMxOo5XfffKwLAIcpzxdgM
cPfCW/wXEQCwMurnuSdY5j89AkDPSXc35f9mBEBtCOb9ibrKR3/tOrJYu38RAMAWgTRNmXT38b8E
/2sdZHzGS38O/i8sxfg0utbn4TH2FZRoZH2Ul0QoNy65rrbRbhIgmwdNdztWQn6p7aO8ktAgEnlO
C8u8QyQ4EwNRs76olioVs+frrCvrAZyjONVLPmVaoAmrfKpm6ZEUFfUWh2eZmx8eC6lgTNOYNp4d
iRsm/kJoeczyjI0JTr1Vb5LfHig89y9REhHW0UJlNnOpUfH2rwN43Lsy975EHmOKXB+to+mmLB89
uwZ8Cw11hRMrXcu0fw5DrxGBZoXDrV3X3j0pCdEr3rzwPjY7cjAwo+mbDgnqLu7K4QBgwNiVQ0Py
QEcWiOEb7kzK0NAJPARkVVTWgEksyoqgYryWrxirNtoxicEqB8g72nXout8h2RDKZA7nUbRfe8tF
uRV68kGJYXIRlKafFCtpMOgzgycomdfUi8T1pN4yPkp2htliNs+oaUSqBCnAQ/bid6nzzKE8BrGl
31Q+XiHKwhe3k30AeRiJSDs/M5QnKcImmrU3qn7Vlb4HexyTKoUHGVDiuUzTHBA5EH4TssM25vm8
R54xM78w3xyGmWsfRXEA5Do/OTj911AMYFtoeDA17K4rBFXdNkOWetbFaK6knbywlnt0fQ1FKMAX
SBwoNCO3N97ZDwD8d3KVbAhrJqNp7kAGT6l3YFIa3dZeXvCKcwzSoB9m7aEl0O/G98wxMLE07bME
sje/eXtfkG5wKkyP7M+WC7XMIx/raKozSalm46auE0VSLED0K2+wGY4VZXqfDUWxHytiCmyq+O/w
WIdzJA0Xy6YtjAeq0mYDTrVYZ9KhmZjwoS2Fr7yNacf2vtlCKBrBwrD/jYhbyqtmx4S93DlQVd+I
qkIFYkyYlokJkASW+Bj/eFKePayYm86EN8NGY9TXSTcU32qkvdB9FNTUKCl3fmq356SpCbaq4Qbj
N5zmq4ZO56teWyYQgXbG5PO/2DuT5ciRM1u/SlvvUYZ5WPQmgBjJ4DwkuYExOWBwOGbAATz9/ZBZ
UqVKLbXV4m763o1MMhWLjAiED+c/5zsVRej4K7IjjioeJX2mPFvl2nglFgoADJ6zvdlYzQWeD4So
em7ex7JxLzx4CzdeMpX3fauoIykzMO+6HVzaXULeIInFN+pL9JAzdw+nPOifHaaZau0ElltGDRmO
oGU6+CqZdlT09pd6MUIYxwUojtQJUHph5dkYao0PUNZY+n3XK8Vlph3aJJRGV98rvNFXvjejmFFy
6jzPucagxkhSPxSeXtwWtrg3Y0DJ0ungZ8p6gJO6DHvP7fOtNJZ6B49N0GI6yHpP0bqe7GuKh55r
XSJKtrn6QHAJ9s2QD1emXw/YS0zz2PJZXyRkrrYtrrXbCtcixmG8ufmhy82FExJBwY9kbtVFScr6
GoJe/SYVQKzNyAAlPZdtr1CFl34HMLIasKqk+fdCSu+tkJl/ZVRr2osUN9RzrAjThtZ3XA6Y0l8l
KK6XobXryCtThiJlvHTH2hfaLvf9/uxDWDlTvNcKumAk/gaBaezKacyash0m2ktDqXVrp2LXYKPa
ph0Ymwhyn34zqonyZOzQ6cb1Y5wxLQAOjWsPLpqoYozx3qaBdUglUOOoN2JG+iXx5btlUf3ZVLX+
zHxqvKBxxzuUfqrfssgaHzp/85XD23oUbUer9iKsNrIEGXtI0aTtjbl/LcHtFOBQbPr35iy1nwfT
7J9/keF+Txr8RznIG3yaffdf/8nA8x/iOJbve5brYhBkimlY+hrX+UXS+r8JMQSfCHmT1IRLq5O1
DlV//c05l06INMjek4EBoP2ez+e/rqX+b869rPmxf6O4yrelKt+6fx56rz/3x9DbChzThKzJWNm0
bEyifxt627+hdRqkThAXUWLXxMnvgqv+m0Hm98dsGz0W5oTLZ/e74qrZvzGndsHmET1Fb1pjf38h
+OKC+fj1AXWBtFq6axuWATeEp8RZw1y/PKCdAP4pkZoivVXmdYZakHqnPLUwWNyWZBIKZmWNRPfE
R+h4MhzBmJGLL62rJRir19QJsg9hYum3Jqv6lhgg80IJo0iGhpcldxiz8FgNWAefKp8gcDXXldjJ
xYPap3XtzWKY+kVMBB3RgkELC0MrriggYsyt4qS+lQMdg4Ji3kt9kez6MxXa5xFi6YWvp1ArZmOZ
dlzSKdbqe0/eW9R7g9D08ItlQWNfmanvZPs4NhfKiCH8olmIPcPgYbicFEtEVbf2lW9J+41dg8OJ
o5n5PZwN98HMs/q2GqgTprza8g6wXiXNWX6TbV1nNr9D/KfPjoi1uOvTBTo/lTVlNLuL9z0WJWlM
DaP9BrpesI9xvJEogFcQGlnsvOc5CQncuKW1bYbFvWTu3Nz6pP2pIVk0xr2gsS0M3hZwsWIu3rTC
IrJdsGA/Atdk8pIUw4XNFPMGdcGZSFdb9Pq19OY9wnIfb4pWn7+E0wF/8PRSO2FxNi46jG6KDiCZ
XdS+MW1racTbiQIVjgS5Fa/KZlnwC6lIOLjDEDw306yeqBgs38rBohOOB8nZDtQYzFtRSn1myu4U
nB9MRCqKNry9Jkx1OXsNV3ZGjbTMsMNtOGIaD3ZqK2TvUctekEbj90WSHe/7xTjB6mv3VLH5VECX
HHDIGQCXde2WI2c+Uh0DQi0IvmSTkxThtW+V5w23eVtRaE6V2Te8eEQkbLXUTOv1dLcwrfg+Evg+
z/BGzI3ZYuG0qJ1+oNbFJOo0zMdAthk3KBoUXgEqiYPS8yTApamyb4OwppO/lLD727HjguB3I9K7
XBqiCUnV3roNJDc39dpbnzanPV6+0Y+ceICHJiapaZuW52TfBm4pDziip22XZe09NMn0Ke5qxps+
Y/BWuk0XpjW1pMHi5rta43hzmUNf/DKMLn/B+LhOM63VpMendHTAGKBXzINzKk2HntN+Kpqb2PZo
NCP2tQ8gkp0dramP2tSnbw04TIJpCcdPsK8LalTZ3YDMk98sXQ53Pe/uWdKd8rFuwqHpJ9VrS1Lt
ccCxse+JlWCwLr739D3uKNDxcfUqh9N5QorNIRxsDnN/XIKgvExylxR5ZQta8KbKV6E7+EaUZouz
r0nCf1v9vPeV9LML0c3TgR7j5trXq/lBUAv1QEK84cjnMnbakAS3in3tprqxG+3UkJFTq4Cgmdu2
1xBYKmuDi7d3QkVLKm2yIh5lZOcjOXvP18fbJtCFv7EksM7dEBNPecsGDGs7ikELvK8yfplxZuph
a0K2ADRIDQjloc1aQqtKJyAllUjsMIaKtznxq2tzmcWTDZ6B3he9nK/7do7bnQMf5jBrxXSDxWk8
kdp3rlnviuDRyhNSP0KBK+DiYor8pDOOP9EEmvKgQkd8xhxpj5sOL9xaBVncGmZmX9KcxJ+gYHu2
VGOn/W3HmBUOXW3R1GFa9fjmBxQMbbDrjZSP0LT1qhVyNFYKEL0SOijzTU0+gbKxrutfsGTCKZGB
Tc+wFSdQd8GXtJ9jqppz3mU6Dbd9niUR69k8RMwJi0dXUWGNsXBQDzD9/PtMYWHa5olr3XqaVRlh
pmHDAd1mPVJROh+rWCwfle8Wn51g4oT3uimuR1Zm7gd0WBgsYOPyFE+0vzh6TUz+WMGmvCuazHr5
p9aMBbj2I10Qxiu2y3yfWlMNgoVWi0cxOu5hsqf20NC+EpXgRKIB9CeiLyVztuiB13H6vRnLoTgz
LdFJaWVxGVnY77NNAM8IG/QftRtzbet7npDiJYiTmJJhe52Z1z8KOIDlZc9K91hG+kw2JUZQH6Mn
xjN08cAN1FOsmm5LJ7k8aZQ0mJuYkCTdJ7W9fGudXPueaX55bwdG/ukZvrGv8Didg6Z3XvTS8La+
xgUaQlxVwnZcKzwcQ4kJ16qVHHWr9r5lNHIcbL8zwilRZjQtcaVCZ7KNsNQHMIUMeJot62F1XfVa
ypihZNOjcsmRjz9bPzQCIGflLubzYDDvH3O4eJ7HE04DSrwAy4EE4KWGT0RoDC4k3cq7H7UgSdIt
+5Qa6GzTJIt2iavV5zuo0vcAtXyXxhbDo1nv6W9lInjI2zq/GE1UBEGl3JtR13YcaolMnscYPiTB
uUw/LI7qJSQiQmvMhVyKVpsmcx9+rRcpFE3M1eDwHWVMEY1rqfFASuVo5oDlGjG2Fz8LR6i6pw6r
6zTGproWidmwLzR80Tzcs1/c/No/MoDLo93Dr8fnHyUkdk5ooM2FhRUcaTgxDdQk0Dx0Of7RTJLO
5XhU7ZhizPulnoQ1bTzQm64S/NTEcDcL38pH3KnlTcHvhZ8y9H00N1LQOMo19bbjcnkyjVyeyrao
r7i5J59l2S/fAmgHe4zj1PUNRoHTqZD71GkBeXh0sE5t61mbyrKqw8+GExpAi2Pl+82rDgr5uzlU
VYSvHoO+5Uvyhq0WBPXe51zx4KSjddtxliGlMsY3YrSaSHrx6i2iJa+gwvIC1yBNfSmz4We6ANdv
qlHeDUVWnpwuz775bQ+tloajJ82UrD4LfXoM0QbjXU8H7Tw12djtJ2vyvnvTHL+58bicsmXivUpt
azl3+qTfaPZkHxPGuyKcJt396h3bPAddrF/na7eKLvLi6Mc8tJufBSssFvq2UZ3Pl5O39ojfPnnl
okro0Wz89pubq3ncFNijKnCZlX6yOYIfk0TyBco4g73TpN0eIZhO25y14gaISLDHD+xFWpB4HDA0
Z6CGclEHWKg01SuJalAh7NWbJFcsqTILkgd8dMNbkLbTZaCGducnfhrRWbputiml65t8Vj39v268
mZwsOMVWUx4HYkSEFRp6NOclvepmu9q2LVkXLGyTs/lR8ELor7qZs1YOofWj5aWcA6nTMcdYNayc
1RMZlMu+J/rE1E0fGI97fbIv+YNP2TQb8H5kvYoeDdnUn00waeXZDx7HFQqxKFcjXD4Nb74hxLzJ
3dQkqsswvjXksG8kRfebOB2RNiA3XidJCseInHS2xelsF1tjNXEHjK/yTTfo2VFmXnpvCrvbeSVu
XYoNeR5AjBX1xs881mGC+lyZlQPbDv8pHecrQGerhlrugrRLT2QsgHc4Ls2CTJ8dmMw5aM9GkoEN
JFTMaOotdXB/1M1osIUZGtriQNeh3YeViXqw6T29Pvr853cfR8M1IQ5596OARtfH/topbAQImVvm
FU0A9Zcx++YqKv69jwb3UEHBnt08xnmP04JOtSAkYwDj+Ec7TcOo7hPb5sh3Hl7d+8+emgFjJ9Ld
KNNDVblsOh4+uSkJpodApO03YdbBDhFL+44SWW0ne+2wGdN+fHIzJ37ogAO5m6mQ9rPeewkRgzl5
mT2uOCVp9Ctl1jCGKIrMv1M6Nl/nObmMsOOqtx8Mb3ktAZJPBNV1chzpj9KbpSX3Q4R5XO1bBOAV
c40u5eB7bNYanMBsjHkD/k2+D+M8H73azsgciMa5xD2m6JoaC3BalJi9M6HO7WjJmpaT0UA+ZLOY
hQNN6EdhTpu08JFjqXXf0CVhtAGd+nt3zqwHODtAYgXjliGZgcrdNE1/zsyyejfHodn9f+Wgn48f
//WfPy1XDr6qf60cXL79x354y7P27Z+1g/Un/2bWMpABHKAYwLVQ3zlp/KEdWL8h6nD8xJFkr576
P7KnBqANFkAz8Bx0Ay71yAq/SweGjuLg4vGyf4dp/CXlgH/PL8IWwAzX9HxopMQ1dDJBa0vAr7oB
dKyiVLh0tlV7F4sh1Gk0c+Be//LO/DfymfFn5xVmNPp2Oa0EzEr4lX+yhBUeMFzQk8lW9cnWACfG
VWDnNyrMkwL139rHyUwpWHDVl/8D42kVPv4wo/Ge/uk3r2SfX4SRKki4Ihn0ak7GZddHWH+Y4FBT
/+9f4J/1wT//lvVt/uW3GHxiOrX2vD57s6F2NwQxGv1P5KN//KzWlwL/0QDAgjUXNvKfRUhs9qWc
Ji6u3dZzyh3t4dv089+/DnIa//R+mfQ44AdEcTS5qq7//y+vRPiOP7O6x5HuJJTYeVRxjw1MTBDa
2kC9UYdbLceTvWmHodW3fRzkr7AW5IWQdvOezN3SRzpe0IdWg3M98+BdOpNlfuEjLnZZGqdn8lBM
e/JyXjhmdvnWVTHyt/C65NolCwjRIouXswca/QX2pPaNSGR7OcRmdjKxfCB2E/oFe255YVso49zl
Wvfh0r46bwqV2kNox8K4Jnvb7xvfFTelmTj73vSxCljDHKwCS2zN22Wd0jZxUUDpp/Ty5EKQKA9x
7LivSppmcikd+Kcw2WfVNl+r0NxtcZdNkxMa9A6DKHA46luymHZ6EMc4U2yV7epY6c6uHyDgU4CI
Z7Z3k0NX8FRTPKaf2qWyt8hwddgBP9ksBM0w9oJJGY+50WjNARgHLra6IVGA1p1MzkOjmaN9aNNA
P82dznnFjhG8Q5e06FFVgoGOvgSAwc2eIMuEwfzCa1pmfoPF3T1sK8d+NBcZnKH+zSFZy/kZRYmO
bPShKg4nuwq+JmmRBLR7TtmpRX3uouG8J+g7jgsUaIiCWi/ie0q8rZ3kT4VEZ7E9DgRQuIlqRkHH
XJXez+mYvBZ9UZ2b2sA4HozNvkDguBxLTZwNoakrP47lXplVHQ11U+2qQOg45FsZSoEOJbR82Poj
EgmlJh3hCQHGR/twGizHvtHYkda5VGgEvXrQEmt+GBU6VQVfZUeZuXlJpKa6J3U2P3t20txruiMu
aGOvOrSrpclXl519XLq2+BB60l9odrXUDybOuIOggXff5yNHTw6xwYmHjo/fNucjKkf71palfSCk
oCIbXuudQCB6x8MUH4fSza7SNLG/q7THuILT6NoC5XVn0s+xEyMgIlqtu/pmssY2auqxrK+mIbFh
ygwGh0NqAfpwKpzkbbb1Ak4uPdDOWc7uZJx0SQ0I4dnUAScydneDret3rWP193VrlduqEbok5kNF
PAdrZb8bejKx3weibzDyA9wHT5kH34n3ZXy2Y+9x6KDRoY/GoXCzvaIm2cRhM1vQirJAG9+6cer7
y7w3QA+rzq5etGKxugj10LqOGcGKc99z6d7qoGLErrJychYyIy1MesfEMkZ/JoRVzeJUpqD53wdG
5p9HtVazGV0Q6dQ5gmUEXpl4+RxadhdfDbadloi8sfVcN3BjQPynV06XTU8obuYN01t/xwwwOPXm
0FybwayYuCcw+OvKGvqNYfJhhgJQDsGBDslgE7cEHuh8pvW7szInKtHRO86W/Xzr9bnxWfud+emB
a/ooe5OSBULxW6Xsnug0ohn01Sw7rcgdHb1VBruUsxvXBd3sd0lal9veTQGl2CPE3DY21wG6lj0Y
7lK1u6TPnEvBvePo+mYH9DLPjmmTBgdp93Ma9mR2aVWNdd5bczTv82DxPg0kmSHEolp+yqT5+LGQ
/z8QUrTZcf71qet+eP/vEorrD/3twAWIDCE8cECAucybfz1wgRtjJMMxBxi4ztyGw8LvwxpOVQYn
MAYycOh8DkN/uOP930z84vyA57E1Aj7z/tqo5h932PXItZrsqQ7ESeLbxp+x580EmgeWQxBJgtKb
spllmPtWymLZ06S82LA1ckWrLcChQwpJI5xMdV0uVnDMuL+G3iJfWrNjMAOfOQRGDIy3XuporqAz
6CilG60wvvolZeCjDK5WszqOpWttAxQChsAsDRn0rQjaafOmL4tOw7w0I1J9WpgLdT13OcWibNRb
Xkmw66bleVxKgwc1v15sSfl2ERcHAbX6Ko8Hjdw83LPa+DHfIfZOGkft/Sq4UZMJ3YnIYJT2MAWW
ms7fjT1qDAe84FU3CcbosK7K5JLYjMa/3lGXjqeuwC1XG0OL85Ag6nHwaYupnGAJBdmmo05p8imI
vWCjacJGVqdzdeANR9ceSAaS/Nl4efBEDQo3dt3tz3luPMmkrIBSSXpG2hQ4egFSdSmm8sMxa2/T
pqa2rbERIK+8yVhOEb0X17VX0mSDtZZbIysl7HAXBc4ld0xhDHira7rWee0o+tGAzwckcaZ2dQ70
DO9AcJJezZbcwqgqUj4liV581eeDxi6gJXfQnqb7GZND5E50RFISRXl7TwsDZiBq1EvHVhcmdLh9
CX08LOL2cYD9v7E9ymMyFLLDsGKbOZ7UnwVtiqubll7XZExDLvIyGhmI0UUSEM9GncgXdR4okaU8
Q3+0VfWGfZ0Av5N/yX4xOX0Q8EPJ3MYmj5o2eslGY56A21d9xWvdDzOct1QW10oVD6XlLwdTc/1o
nrVkp1X4KJiSzRFu8+Idbec+NTAp0FhhbKcO50Y8IXeIugzCavRvLDGThO/xjgGcXEITAfKy6Kls
yqz3fvHQ9UeKrPGtjxtTJwqrVvBeXqKZAb7J9rBg5wNFTmNkefZ4yus2iIwhlzCdHMRNz14Ofg+W
e4iRgsyxunKoHtrkTfaUAFw5F41La8jYHTW6kplHTS6NyPm7FSTPSd+RHVSFHw5dNW+pb7ZQcYt6
p3yvuxCBV10ACzmzfqTgaPxHPpbTyDw2mvJ1isqtfJOhndCdnV5xkMLBkFt26BfYgXVTs09a3aFd
zUmwc/SqOC70+G36pHI241TfNeuGwkyXHlFsRpHd2c99T4JPptZVBZYg1PKZ8NmYg9NPgUqnpV0c
h9h7AMLvbtO2ICLnrq/IhgUdi+bOn717Ifkq2LVIo8mdTxC3Ttj1SwreIZPkqtjV9YyL3aRruE9T
7Mp2jV9syRkSwRId7eLOoUcJH3gDEUXOb9riGdvaW97hXaSoWvGDUdl+GOip2Lhd9sJjPe7AL3zm
CFqcs83hJIwcDwc9KJjAKTRhlBvGg7hWk65eyl56kWlP8941ahwjgr7zii6aZPKPKarzxh2Q2RdS
1dlS8JXSMjiyrlXuybxcLrGeRra+XFc44EK4O/l+1nr7tnRGoL1Ma7e2Npp7ONCEbZhOPwxQdeHL
l/GRY0W9k2jux2HJqLfQlLk+NyBkg/ksAMhvFvSYiGXuxqc2KZSg0D/jKXZDHvWWg75SP+Dr+P8z
3nDiBIeiTP2jU6Vt1LX1FvI3lhu7HO6RkI5m7N26U35uFr16Z0rH16oTkLZpTn5ViXHt6uoJ1nJ/
0vU1LKBZl+WULkyMIP+3szw3swEiW4E0skdxC1Gx2gNfx3aTBDqhHCc5LDY3kSxvF5BKIkH7Wb3n
7jSGyD1eZGUwOYaGvieg0rdBWdJQl4K5CLoevIiPdMtRjb4CkYNmmCCwX5WmCfVh6Dg0eq2TEB+a
t+Pi6LzNJDPWS1p1konFNMIfupNwrPwAQm7eVZw79+hbIN1HPblEZm6Os7fUezSyZMtYoT6ZwMl3
a8PhrvN9hp2LRyUPI+19oSEAGgvJQQIgdYgyGRwnancPDjD8u1ToHXtb+8KwXrtIzYbrJfXmYUDb
cEQb9ZujJV1E2ALQp9LdE/cVl5q4qd3xZ897p/Kzy5pkUhjMSBsEBYpoNDPCOjqNTcpI1KGqx/iN
LZmBMMOdo1nr0xeTs+ZJnwXPQEy7M2Fwjv6XS9WgEidGslzWFNPtnUweGd5dzbPjnbuFaIsxF9qW
RfyCebgkLI0Bi76XzzSOk53t6/a2i7X0i+9ycilwNG2SzrgBN/rZYDuKEPqrJ09UbF0xwXqtGpcI
r6iMDIMZNRdGrgid3UW1abP1kLvfgdGy+Cov7qZOWShITtlR4i/9afKd4WKpswoPQEx7H+55Il54
xKze2o1zva/n+HHh+eea34HNcu3PsYNBZFUt0R0q5GtneHWEeQwMqlBKrpFh17DhuXlfhcrsh61t
TmYElua+WMEzvEgjMiz3IU3lfaDzypjYp8jdVRM2XjdEGVUlkECVuC4IUtUeXQbZmM9b3HLnPBjx
9AnDRbJuHn1ffGpWc6XI+V5h8L+lnw/GdTzhI17KitspM6DaLW+GsZ4iEhzeZooN9J1yHLbOrLPb
ZUCxe5dCtDwxz1lpXM71TFuLsAzW6llE7QDVGEDARzFxmxjm4YkgTU41vch2ejKAh6zmKsKONl1p
fGs2zRhcd+ZwZ7uqiaDpfAmoEJHCe4an871IgaDz5WEyVWgkbPFw3o2ZIHnCJR6Q6LhxOrbWGqLu
1jernFQGC5iQntj3df+IYeGKwRvwGX+Md7TNN3venjQUBQdD3pVix+SaEkOgi6EajfmYSvO1m6rn
tOBvpijuFjNEdgj6/nustO8CJgMFeiajF+FjihAN0FnfZuLbN1s/S/1TBS/hBHxIPMKKfclyK32J
c21nMKbbcnxOQPxY74VW6hGfnNy7wdKG/uC90q/u7e22TsNGmryerguOPt1sWGndeKeDDGOePaVE
NtgiprbzdkldtNzas2tPDO7N1HOj9QgtH2uPMj68nxa+GJO311RPVVp9W3x7PHoQakip1dW3tk0I
s2sTgHtVZ3gYO8FGN86HYcisvdekY5jGObuNa15x/8r23po2byU9oxEDEn6s1j4MTtHbKR67F88t
7GdfjfndVCffHJGSG1qG9M5FYPia3ML4dCrFGgeLKH+Ndc9IN4au3QxqqaidGW3K1WZwdV7n61HL
XnpqB+sWCaLdYBjinx0Z32t+uh6mgh1De/9aQWUNY+WboZu1D5plMeNxzjlz2zCk8IZFWdLCLK1X
GzN0sije0zhj1544w4P75MCpzevaNxpbLTPzSFfdMSbPcuGaKQOXwD3GbcDuKOVNkflPWts/66V+
l1HKAbwDIyx/BKHzvOaIr8n0IvN4PDtb4wRgM3TmuPBTBf1Ll87/nVZCbm2osf/6Whq+FR//aCL8
+RN/3EldsNQ4OX+kq621d+tvBkKHol5zTSRDfTF/AnV+v5NyW+UEBqCPfl8o2Rho/j4EsH/zddPR
IU9yv+XYCQbnL9gH+al/UH3XyLYLCgVx3je5nHr6qt//ovpmypKmDYErKgQUpb4DM5slw8fUBa+t
0ZXXXeoWW6Aw3q4g5BqKzi0uTNaIraVa/bSAnd3FQcGkck5SWFBjufHMjP855I+IlONjDdX67FPQ
eyh67X4i0og+pr9VfW5d8S/M94tklWkW+MOlf8sAwdyYms7eURv1oaDiMxJ40q/wODzV7BtsQXUM
9ZrblxMAMBQ4cTJf3Do855wsive5bqgCwQjygGW+OUqNdtbEhUU7FfyXGFZKJy+z2emOjQoOTT2/
NCOVeUbhLpuqru6tyj/qesMVJCClwxLxtbh0Shq+fBQtuDGLjr7eR4zOJ/FqL5ROMnt8nFT/5sAo
C1XKl6zFfIlx0GNHrg5Yc/BWWuulsna4BdALBSYB39TE4af3WOWDuPxye3ndztkT6/RCZUe9i/Ek
buYiphMj6Q/AB0+zUvdDMr5JBEM70C6sFsqc2+1o0dnDrei3nGy3GViGyBeCvhMiymRkqEe2MGpt
UpXtR+7kIU68j9FiNVJDcJj67tIuAqpzOrXPkwwGss81IC59N2RUipg7GNf8Yo/0JGZJ3eFXeCKm
TxeRN/IDRXhh2ucZFLfAMN/rSSFb+7vYLp5zzENRUnmAKgxocrXoaZKTw1Fk7XyiieQhpv23asr0
gD3ncYwXZtXrvoaY/M20UDQK4Rxp9nrWVXzpZuK+xRUeG9lw0Hz3pjbszymOj5j8Hkczvre8tfEp
AJna2s+i7ondCv08FWm7aWanXFl19pWmd+W9Wcb1WacE+NC1ChCLdWLsXYIywbaaQ/cZel5tGsQB
n6Aytp6fw8vQs2c9WdotCPM3Qq2g6BJD3mItfNANrQ9t0pe0NbrPTU4oxYOD2M6OCbR10N+A9C30
wrlJCKPEeymzbKR6zjbJAMXlBWkVE8Bjx2qf6AF2/snYWBjnIvLc1SWIySEC68CuqjugTbxmPuZB
bR+cVmv452Artf64rFkSN7J/fApNukSZnZrbxpA2/gFCGhrNNhUQ7GFPcjfe0s2ahAWewG0RkDdP
8/K1q2wYqdl9UqXE1khah37ekbCiWnlTWnmLzmBOlyXQvVBW1R2ZcHeT1WSRnaH/bpfxl5Z4n2YD
1hOh5JkJfbVTnuNHo2W6lJSILMIZ5IXzSkHwY7K5jUBfEIVG022CtQXSMrEBQ1wInxMt7Z13mVuK
SyIPdTQ6vmQDXj5KV4Hc1rkRF4DRNzbGtad6KWG0CPdhSXinSlhDfLn61VWQaZFFhIQqYCANriiw
Inb8wbWWViHq77JbDENjY9WqqNeLVYBIglCa/HocsoSjUmVtCZ9fE6mFdt4Mjw4DByQ1LiEjjdB2
soxwpRAFcqpNwf+dnUSc5MC1UuvpUyZ6/d2b24tELcc41SKZ6Pduaz+k9nojLeenUSd267Y8Mhyc
ccpaPcfl7DRSd9VlwV080lOregzAtqDgiC1m2mInJRINW3NH89Kb7fZBCBDCwJs5vQ2ec0z0oo8s
2VMU2hvzCYXsztCwJ9IArW4DOklZmNL+nAJf34gxqKg0n6wwRbEJ1HQ7YCF8zLqC0RCk9KjRCX7N
dT1upwDWYtEqcAVuCl1+Bi9D5Vm7kQaLWs9pcCN7cV4PKjvNay7j9fHnG+8a3ZYskrFtdS5m9B99
BEyqNkC9nmNrRYMV1lfhUftljs+4vt+lXJ4pQnDolXVvAP60kbnGtdqimyPLh+/TVwNGrw7VYIZJ
oLUoHLJ9CQjNTY55bw9oaZVrXfcjFN/M1w4Zpo/BKY+i7B7bZpKh3vbk/5X7lcDn2kCX3yM7Reli
UGWWA1meYtr8hK7QXNpyvtH1SSMG1aOAeuI+p4VuwxuQhR7bBNd2I/QKDqZM7AagXM4jkfrdkEmG
B4kVIblqUWU0OspN9ewXM5XcnXC2rFWYEvtEbSj5YyDeODcegeWprfU9S+8XXMq97bWwjuvvsytv
dWlcilzcgCfCvG40n4MQX7VLObKspix0vOXZDFb6lI3iSGMx6DewIKor1aFX1b30CmfHTlUfHd+A
TJvZ9TFl14rkYt73Ot0OKuebMhjZq27kNxptWruk4LXETOuJobub2FNAM7X62WhNc0dai6fdWWU6
LoSRrMdLDH14YyEtZxql3J7BXduufW0/4lTa8RY+sOrepho1il6aPizsvM8kI2tsW8TjZpFt80Ww
j1MABnJqvmm5AKA8LnK/ZKMGAdm6y4Sm76DcV3uu/jvMbMXBLMShACkfVv60hLo20sYpUKMFHJgQ
Qn8OwzjRotHOPh3XYhDp7vExEbaEshxmGC/wHlvmNnAWdxdLNHTSbg1fPuoDSIflpO9Ga8eB+xtJ
poI/p/42NR0Jx1y9UGumzrOtqbOsiO3X8/K96eKbpWdeDqS1LtxLtliSfsnw5PflSVNsP1kQ3Lua
OPoO/k/piHdvWTHY3vJSxUUQFk5psaVWZpjOnBa4PrSRJxBksfwxQ1IUb1ZW8sWSah/4oefSG8ir
Gprae0b+wBCPeF4+fc7lVG3UVL+BPCZO4asPrW9Q4JZ1M8/+D3tntls5kmXZXyn0Ox0cjFM/3nnU
dDW/EHK5xNlonIe/avQn1I/1omdEprtnZgSi36pQQAARgEKiLkWaHTtn77WJNdOKD6fsmy2oAaK5
IHtvB684jWN8w/nlo5LVsEV1fikLTpMdGDmCpClkQhOH46icnRk0TxFuuQWylw7jZwudbxjxhPhm
gRcsvLZ0UNlOlqXrCYvjolNz/LdWcaKf6O72ufrqDGJnQF2mLViFi3Ysz8asgaYBGS5qLZFrhoJP
YVf1aLzR9OewDNZe1X/rdaPduU1/sVStr8A5xGvVsxAZEjctI4vXzG4F3Y6Gu9cyw66dqVz1Jlqr
1KW97GaO2uAv3EFapMtpsSWbrai3ehbA/83H4xCqZF1LgF56kqzHkTfQrR9VP+5C1IPQg58jL9/Q
r9BOQU2hTObZzAlUN+SkxQQPTtMitrJwHbS2Whh9dCUYjGtTfkh6gdcute6yQAY7ZdvawR8Ao2OD
XBmemql83TsgWPJUBPsn+u5i28IgQp1Ih1UPeWvbeLyxVH+iEw75XPO8Q9DOw2uD1QouI7oGrL/L
YkKl6Fbls5nTEiaj3OPpCa5kme6sCnGKI1jPA/i1gRfCsx2brTOyY2n1S8yiDfXrEDiUSAF/KaUI
q81pjlgGzO4qPwE2+2SXfID2/InkQJ1xBn3L5pWY7KY7zDmK+r+IV8DVHwYsGmsSUQz4vJaGDtoP
1iHHXxSihFoRjzKteqvksXL8cBlNE44JMCV2ab9HmTjPWqmFSs1mIdryEIf5zhYAzpOk8ReuHXxi
gpGbtvTLdcBbjDpCDefJHzYWKAhowc9uUb1CA2Ert7LHttB2iGohLU4XiC7IHKe7UNTP0eCfDDXe
1RH2A1u1uz4CXFuZwVsVp7d9BGUxTyUoNM7J2dzf7oTZvTpR5q7tTuChdXuIO5r/wN59H1Qoio3o
lBTxTaINZztK5vyI94kIDQ5Vzkoa1aXLO5aL6cVwvWMML3AJTcVdymGAFxWYVyWD7FDQoDd5ileO
OXxyIKLNDOZ31XWEMY7EagZEsGy7cUjW8Eb11dBzE8eZwDxHlnN2yQAOW5W+tRne0NIf/KsQAuiy
ydA2Z4x6VNMgHRJFsbebWOwFCaFXY5o/2Mr50ML0s2isufHDQIUJW740DUc7NlbyqQ8JCY/Ci1f/
/QfVSOZsZHz/vh1wF9dv1dwS+FEa+Nt3/d4SsL/gtDPhsTG6Mzjf/9AScL6YaAaZQZvcXve7ZPDv
LQGyrZhcI//6bYb9Q0uA0sOZf5pPy4A94K90BNj+/kVHgNHH/A9GE36ZnzsCHC/Q8yWuTqCL/WLE
nXslSHjeeKjfFzZ8+X0wiRtw52DFfCfa9D0yhzEMrgXenEVdGhb2QRemWRgtmKxnm1oHkOClrbvN
m9rb11GaIYKqyk2ifJuKWj61c9dBtbm58CY7XssS+RG4ivgpDAGoOoXf8vDycILC/TRi/2Oan9r5
8Q0wWLBuwncyK++djmtJc9G+lPOTbs3PfMvDj8KbPdBBrT4EjwqO5I4hRbF0eWuwEdMMdBy8DtP8
Jo3zO2Vnuk6Ll/dMm9+4aH730OgvOwKUVxD9WVx5Qa35TQWgiPIeVIKKxZn2NLEG83udfH/D++Ao
eeV7Xn3dCZ5bW3RYILx34dkv8bxYhOEJpdxmdIML8uqHsSc6Q3xfX2j4oydkzcnn1SeY1yHJglSk
WU6YTXrbqejrMK9ZWVDjjppXsVq/I4PThSMZPmttuXLi/tRM3Wxp3+d5XG07u3m1WSEFK6XOilnP
SycEB2cXNFZJwLghN53mfhL75BMBHiDUm1dfVuFiXo7LxP1a9eNdG7f9YpZVUrT0n7ZNfE83L+dD
rxHFMS/xGiMNBsEWy34GyjfFrLjwEfGv6yZ+cOdtQps3DPrhd/m8hVi1/x7Mm4pid6nZZUwwboRb
pScXyZlkGyrn/SjU2Jk0tihIrhzZy1Pely8uW1hd1lvozA35SaJcjiy/Yt7vEErtHDZApD0edXv4
xrpeounhFIfjYIIvxs6ZzXuoNu+mk5f5wJCLaCPmrZYtty5FBdceC2ROYbWm4cEQDhHQIp13a41t
22b2xfiXQ2ekFc9QVLVDOu/yOds9PHK+5hVXnFGuhjK5aqEALHD2MKvzzWmRThWSNlnh9aCSYFxq
ooa1tZMRFptKWbeGVx7gcR6QBV7GeOAAQH0CpxWSmWVhYwU5PNcuMAPqbT/XM2i96ftW3s6ba51s
rnqGuf7RNVGi/aIm8uiBY/RkFkUi02vU5LBR5xrKnKspOuj6KnXTtZOXO/Yzxkwlco54+pbNNZg1
V2NaS12mFxE5NVRqY5vz0+fqzSzrc2VyOGOtQw+WkbBL947HBUWfYs7iUQJOFqWZ5aK/dfwypa3S
FsvAngcEs0RApDOkI81vxkwKDBwUm7yZH+C95pFGmtFyw8BaUZdyfy71XKiGfvSBJZDw+OJkzKVs
rXWYZMSkc/Lxnpq54K2EvWT6wfksFq+ShJJlr2ELn8tkKGofUU1Nr9HECVtBKe2XfESq6w5T905R
byOiYPI+l+A4qTgUuDoBw3OBjoXRXKqYX5qwAn/JN70QRMKohsq+KmpyVdh9E2r+SfjMHzkFZGX/
KOdjQcn5IJ4UBEZ7U3FuaHLzq5wPEhohaePCqIdZB+G4e14U+gI0QLeazu/rqag55l0HcSQy9rh7
iEDNm25DxjPWVzflYYrbl5ziYq9FDan2g/nsjo22gczcHAjyRlw59G9jPg2LwsvM4yiGi9mU6RY3
aLjkNDYuhk7vVmNXJDt0kck9I3N18UkCfcF6sw5q0uQnT6fV1pdr07eMDUrSfBvTa1gmeZGsi0Qf
LzXEtg23CzOXY98bAWzwLk04Qpbug1t2n5w3Af8KuQ7r7j4VM9lhsL4aTU3dI7K3iC6V1lkXl+yd
BRFu72PjvtpD9ulSs3VZfBaRpy1sjfN7NOTf69d223Sev2LSLk8KqPc2LZU4aTgzb1XZUA7Gendk
UB7flFPsXNuJ7S1EU1Y805goyf/RHrl/7RXx0+FK4e+lKiVRBMbGN5ypJDMVKcLc0P3qE7ixTkyr
2xtE0eJJcUgDMnltcF/k0MfSclmLSeLf0x4tpftXeVVR1+nZowdCfG/Qgl1gf0UkLoPL6JFEDlZg
WJN/jaExYuYHhr4/EVg3d0uG8b6peZujFihgGlBw9ihkl0nWF+tAFTuRYWfVIS3njIPWce5Ve99U
AgmCilecqcZti0N1BSSR3m+rPzH2pcsd0L5gars2teqoGvuGkfm1qrLVVDHDqw2xJ7IRSDzldaz3
96Q9QsYJxzNrFEcGk3arIs/P8+RrX1q4eCVRjsP4rInwiL5o1yh4mcwdj2A81i49XIjHxVnzUUb4
rTRWINTlRif+ZhUi9t0GXvHS2cM3lrDXhBzEpDfw1KFH4bdRy2Hi+cfNk+xlkt2ijsCY2chqlWTl
E+mFGVQiGs1O+hL5nOHDBm1UzLyMVWQTToT+Mb89SDAtXltdCDY+FkLdF4HJx405uvorVqjtGLdH
GopMggnoVHobo4iTV3XnPXhmdgyRyPLQbww5XQIG5krv13ZR0zQctr1f3nUdOXOlzbXsKD6klEFC
TUd2vmT2dS1cD/h1VG1RHt4gPzy3erjrG2/D0fRQV9XWkc6h7tkUGnIFacCXdA2r8jAqWoFWJx/G
jK+byakuMkCvgXMri8ZdOS0imUxmr/C1eOeRoPCJ6ex5DEMiwkhdvdQXvdcjHahPqUTu16Yc4pu2
fBeZkW48Vz/5pPVZhXBXXY93WNC8NEMEse0kvqGwmyUPMFridgivRVagONdUc1MXsoC4baX/H1ai
/2pAZ2uORf6jU8B9AYn/pyPAb9/y+xFAkKZLx00AAuArvoWr5PepoPPFQG8Kw4pgjJmm/A+lKucG
SMA2sGaLstz5Hmb3mzXIhAtN+4KBIOsuVbv3V44AAEr+6QhgE6QBzZkdzbGcX9EzdCsjvzTNnrVv
Gg8qDtGA2UY2ZzzW0UPXwOVch6kTPWql0F5M3rdiUVch9EwTdcMqd8fkyo1ktTPQiFAppoNxlchC
XE9xXx67TuPE77IlPiDTV/YByI06YkmWJxFVGmo/WBFZ6Q4QrTrPPJA6Fe11d4w2EULWAz3v8DrR
c1suLKLHbobAjfZhO7TXmVNeA8nf4dk7QZXQXuOGBnGb9RVDsBY2QoVFMF/0pVQXgsbyszuNtN3b
xllapd1sfb90bs0+LE4mloFtbWCGqQ2ZPtIla8Uec4VE8WPYB92207Ui4B6yajk247K3XfOhYWrk
EsahlwfLyLrHwSn0a3J9hooP6yMsjDy9J70N1Rb6uTpiQSxobmxcTihrI1Y5m4g01aXk/33U8F8c
Q0Ryc7Dv4H9WY0OqZGpHJ2VKbYVUx1/zQcR+UF4cUDKBZ11ZqL3ClVQwNZaN8gBNDAYzVjYMHBab
fHBRCnVFcWH2V158IffZFGvX9CQ1Ahxoc3J/Qb3o5oeTtOG1ivRQLEN0Ilio81Icc6frbxqHpUIE
5ry647y/qCymZEnrPLsTUkd3MnTOkym9u4CZzBaB60SQq+88agY98Mim5bfMpGq3kOrk0a3L9pjK
Kd4I3W5WNc20Axzl4NGdBSSV3vbvELI7fyHrvngEIRU/x1ldbC0CnfiFyzB6kBJ/uDmZ2sEUDsNX
c5TaI+cymixt5skNE8aSaWhqa89B46MKcuZEJOnOwwm7vIP7EMuVZvXjW00H7hvCkuycYDNYs3tn
r8Ukp3Pre/I+6Rz51dQreuda1tyrZIzf4QXRtxTCj48BmO5zPAKOoO3Fgl3itkBQC7Pg1SaRY4uo
V1vHTUDjFQV4s4GDFVi7WrPLpzHVh2v6PWyeqJHss9to3W5wJ1cuAro8uJ61NOD+MfpkI1MPnt/4
X7EkhA9UdPmbTfZCtY5pEKB9FXl1W9RpfKSbnGxEOkRn2wnMS9YyS16jZ43fbV/VKNCD4JxhKf6o
4VxsQm9EjJILfrsiN8ubzm3bkTF6wokh5/jH0KNw/PuA54XGs9NZd5U2kEVDOyI/x3xLwDEYAQA4
O3XtWrF+8Hu0LWQIjn6yDCXi1yWO+uHSjgUMlNE3tqlbuYp4sdH71FWhPYft5D5oGY2vfWuGqFt6
DeMI9TNHSmacnruoo1nI2vRO90QbH44aRMBNJozyMUNc7kCok8GTppk9kuPM3MjAQ56tSMR5cwi3
uo1t29h2BUGQ2dyC6AerOTRe5t50GK4f8pTbtPLUVK8FQLQlSML0cYICczcYpfUQtol9Z5RlCi3N
Com5DvXqrtBKmW9AsHFskrypxwnc2QRDcho+hyEsPjpSYUjTcDxkeaPY8/SnV4QBQjZOEz/TMLKQ
lkCRQ5KJZbpRvmxllr8FXPsM1Fdvkb5zWFqVTRo/1G40fSMAp3gn/SPaV4HvbScjpY5oog7DWxGf
I/zHV+Q6Vpuqr61Tb7g+At9Gx3ceNurNN4T/zMaCFIMd5Fl2I0N1nthnldqGtuSNQlOV0vqJF4Hn
xk9BjPKbQY9RXaGsQAVsBsGyLJp+LmrFuB1CEAlWFWh3f70x+N9TTDSreWydhtu/byBeFVXz8R/f
Pv7j8iabN/nto/qxk/j3H/B7IWF+0akksGPoAofx95Lg90ICjzFqeJN9fNbWcuW/W178LyhXkfuY
CH7oN/LFv/cSHQoJMFAEDOJb5Zkz/lIgBO6bXyoJ1zdmW82c8uXS0fy1mSj1jrMZgsyVjyhYo8lH
AGYZsWQt0TyO/pb8mfFm6CrnHnJmx8JbBfQFm+KVTlK+LgY1nYyqDK9Mh8MZVizzyf0eRtrOuaSj
mBT4cThKCynMCgrBGIQEgPsUIdswTfUHplX0LXQQ//Zm1CeILlOTnxzZq6NHUtYIMjMnGcnGq9OQ
8OjqjyYRdVgPBDxzSPpZ/4S+0ztwXuweOtcgRnwaE6IAGtWiEHG72e2hmo7/tie4BIuq8hhk5n2W
PqD6DDjQ546xHUTvv8HoUtjfImsNTMm5FUxZHvOh4IgdcagwwbYxelXmMzigbIVHYTqMGiwJdAvI
Myum2xvChoI9Hk3O8ihU2d0jwxlWsjG8bTpmxrPeCJOYmjKOFk2iUYqkgyB1k9vTezM1Rwtt+m6m
tLZKT5xn7JnRdTnR+ZcNcKI2c4+6W5iPtREhsO4YgzdJFmxgfuBaTSp7EyES35t973jbnP5IyISv
8KcFWH2gRTgtF0oXzUrZhdhpFlot9im0M6XeP9ZA8NEgD0Zb3SUmraVHaZHyyJzLW9ssRGv0ijW/
b4CcChLSUo+zYR8YVbZtauWvBogWy7YwhwN07/AYGgNdZjtR9lOQda1B+zlWRzD4zippQt1YZZ6h
3yMnLl8s+GtXDuHtTP3wYa68qaOBW+rkozlGYq+EloZM31uCSsMIA42XuFc9bGaUOC6iic527/gb
dDt98p1nTSntJY3YkzipUTQihw6I48jdZNul1BKo61HCVRM4i6WNsKVZSFLlbjA6eKswzayt7ZSQ
f8gmdnd1mfePJZ0DBN2BFVz3JHpdtbhFHgEPAV9qctfd90ZfPGS4FgQC0tK7pHolt6EHFrclNwpS
UBk1j07oNi8BeN8NkEAGNwO/73NRG/0Og0s4I41LVHmT43DWtTRag5M3T/Ym5zbxe/shyGIECkNY
rn0eHH4y0NZD6REi0PMg7EicLi+Q/AQInNruF1ZUBw8ujtujE7KTLRvNs56RBvqKM+jg7BpftSdS
1oeNQylFlJ40H4cKb5ILX4S5Grn1Z4d4rY0V9kBRkTo+xcrLj25sR+/p4FsfaVprTzIZ8VbWfr3X
zcy9uFGVvhqtH4Lm68a7po/UQbMH6DBjYBLlGQxJsJVCppuu6Km7PNtu6XT4WvBNxW7RbDUWKTKo
pfJW0qr1dZDl+iEbI7LR+llf5qSojSEiJNz5yh23sEkGOvJReg1qLHgrxyKP8VjR9NKN2ueyFnwx
GDPWZyKEpG9oZsmpkWnyInKwg8o2UBuUtWO9eFaRHwlybj8jZcHAVyQhNou8BbOC187ol3XViVNb
Odpz2fo4nnrCqTG41RjZNB7kd1tK9AwRnog3mQ1zsC6jh2hdDgZqhR4IdbwgGsx5lZjpr3oqn/cs
BvQETxlNs1kb6kCpEAAJ9KPsa2DU9d5Gn/eu+5N81idHwFFMjEtScOxhS4jojPhYKRYxIVHpajAb
bQFuSJD0gpwqxKHeWfRkrQF5C6iRHSiBjrgvK/R3nczmmUjZFd7S6YrySfOx3mu5VW6o6xkat35w
O0k/3ZqWz7mGp1/bFX0aXFuDRPaSRcbWSFX7Ek95flZapU5+UWhbLYrIgqWP+01H6w65rpAHYLnT
wlGxdTuRMrYXdHTmtqm2iIWtfVgYegiebcLsBp5LeE6tpD2EfZBfMe6qlrk21Te4gYdtVDSQ1eJc
7kBNqX2cMS5ZaLUwH50m7teVmfX7SlqEBI8zgpsBCMpCgreYBP9PzfM3ospcslBS/GHNw1z9P/9P
8Wuh8/27fi90KEysmYjiGuApwLD90DHxv+j6zFJhcPp7DfTb0NT84ngW+yXlh0H9Yf6jztG/0Naw
3bljIkxH8C/jr7RMfgZ0zIpvwKuUOC6+Xuod/xeYCmHqU8YAxCQDBLa4GhbS2Afe/Q835V+wVH69
CONfkh85xzEe9gwYMT8PZmUYZyFWUmulj7RfkufG0LZ0Nv74Iv+c4WXQ3PLoInkmjA94Iz9fZQTu
oNUExq3KNUkqm35rHbtjsxiWxtI4F5dw1S7++IrzvfmR02IxvJ4Zu3wmm7GBmD/2Dwr0KInAgCjC
PnL1maTonaviGDeQ0/T65Lcvf3wxof/Z5SiLf7wcEOok9o2hWWn9yOmWgoHmvUqdEdJS55tHYena
vqAkWNGfM9fWOOUX9N609Wnm3k09aX/KGn1E4r18hOmU3oV1ldzALwMjxpJz1fkhYHfbBSBP0+5p
qDN7VZZUMhqEsrYgNICGWJ/e+lZEY2ueU2IdSVXf+8t69KKrsC26cBHTsVCg9kP9OAws3EkdBR+o
ftWm7hFeLmrq6bsGMcGd0KTzLC27G7daU6kbkhU9BNoAxbYd6Y5MwRppXhsDh0Pmj2nTLIogb45z
d2uf2XZ0I+0cb57vtPnGYfOFc1HEB0gg3ld8ncRDerWUq1Dv4ksXeNDPHaMgj4lILBxjKCZv874B
sF61zUviSklNzVn60IUINBei7rV45TVqhDyhZd29kRAvbrU64UiuWdwiqoIM6kYaKq75HAt/1w41
MlynpDsgQavvjb5LmS/R4H+InbC41lXvbMq2cndOi5J5Qbri5O81c9A4IRvTKqRyvxhEbL/1yhjT
ZQhW50Agl3XlpXn7KipqKQyxw31gED9NGLoL83LG1ryTzhDdDDZhm0vqVP2B/ndEyJsWNi9VZ/oI
dEy0/xnm9jPJ2zbONrdPL1GsYlIVAm1LYlMbrboyzB5KlNX3OHbzb5ksiZhCKL8dS2s6RIlG9JfX
tJecj4isqWufgbHxOcJJRQwBgyJw8RelobcwotqeFhhLyheTDskFhzeRkTbT6hO5VWginIJ6ZBFJ
30Y4Dnjvtq3y6ptoOAm0Urdv7DLR6fxHReIsJlnVYEJT2waf5ypqHQtd0jKhTbULtHbCr5YNFbp8
x71WRZmforIfLrR4sltY0uZdqaxqyZDOjq66hm7o0tKbwUJWkSA+0IaSmgs3onarMyDBie83No3V
vk2PopbFeWYL3aRu/EGB0320XRgg8qoGnioOh0jFXZMQUqEVKD/jmdhEWh+Xw44gH6wI32dZJ4AX
yV5d4TdJH0n6qwgiSYj6sHHB1bXnyCXyMtCDzIoPaL8Jn5Wj/VkHQ/Q4hW21Qi3eMOIxpAlonoRX
boK8gsLBQHswkaF7NGEJjYuGVSOQt0QqHPEA2+4pjy3IpQN3xOjt9tbj3Xuz8k4i3uqtJ5r40EDa
SQ/uRiWTs47DgYMkfFNSYYX+IUL84oXmqhPmxyUEfLmCo0T+mJUhs2QiuCLlIJGI6Q3jEPCAIzZw
3PGdPEEQgBACb+JutHnjAPbbQ1whQTU1bYtKcNpEY1nt3Yx3rwy9/NEFarwNMcxBlHTDb7WS4E5x
YH/0KsuxJg9RdchU619nhjHS/rbKc2TbGN0RDip0DibIF7S+yyyaHoKeabDtqf6icTORbzLATXSz
finDYLxuYz1fsU0V+6YNo/0YIZNHbpdxCuewJg6gKwKsB5qoFX/JOtnGYAq2NXX4Zejp4y8imnKL
viNkgNCr/DROE0O/qMbqp48DkApfSzH6Rz6RTlqEdyVmILi1jNje2/y2mIWddMcExmc+YBXlm12P
DKsrlyaeNiQ7lFXNoaDbt2M6SD4XAKh9Q2bXViQNlBndQdA7JDwSfUdx1880Jlux3TggH7wOJDm6
P1Yg4adLklefhcHbEigJPcB2iq2pyBFGuFm9QjcPh2VbjtHKz8nBdXSll0SB4GQmTRAbBCX+EgUy
pTfcVnmVhzmhMB5hs2lsz3OGeS336hj9rqW25RDFu85shqcWtihwITQ56IjS6wYRyYNvSRvOEcb7
IoWI0ZHAu7VaLVj6ZRBf7Fo4nxHwrK+k5lrc+dC7bdKRpj7DiJMdQgFGV+ydKuWjv6jnAF0tNCJs
24iVYjPs8ZggDAe9ka8GWaVnRiAABRKBd2oMbUaZKmcIjVISxSEclZTXtOxviFBGrM9e6C9inBOP
Li6o64nB+w3eb3mxzRLVGIeSVZROWrTURcfYpw09LOiOH0zDqYxi/aaURfpOEU/RNCZjcEWIJpjz
ypHKWtBZ1eAGxPl1CnBoyRYZbepGMBiCCpt/ZUVFsdrREkD0K+Q895ZDuu7J7dgRSOe5NGvg4I4o
8eKlM7T2Do+18wkLjBmqCtI+XEBSdF+Z6cdvCtstkoMGzsgRPnu4kVKXa5vBb7OikkxWauro/ZvG
kQ+vP3l6BZG+jcLZVZEW19HEX6MIjOzmjwuWuRz5sToSZLei+IMhKBzDIojg53LFFbakN4XodLIb
fG+PqsLeIdZCJn9S+P1aF/3tQgK1LeNFJNizLPCHMizIY1E2Exdyj+EtseV3rli5qz/+MD9XsJTa
JMwwwLQcnZJcp9388zV0zSY/dMiNVZUGiHeR6FwjNOG4ngTRn1yK0v6X++br9D0xXBqsjpyYf76U
rPW4m1BqE1jAaZ3qEm3f3/Iz3of/HX4U/6Ie/7NL/PKnoVmDo0FxibKeynxpUeCibPyz8vjXe4a5
mlvFEYpjDNm/1i9/F5nYnULqrq809051n0RPrzz4fH/8h/n1j//rRX65W7UEpiYB1a2SMqAYmdA0
roKq6m4VZdIiidDSEaPw/Zr/4xn+X7ywEDU5nv37Nv/yP/9v9a34+pNG4O/f9vuZV2ADtunc+3Tr
DdiMP5x5nS94gPmGmVdKk3+e0P925vW/iO+gyFkhMNMnBd/1m0rA/WIxhwYlSW+foeT8XX/BOzwf
BP+xMnHmdU22Bf4FptQ1xffM5R8WjN7Fbc4hI117HHf38S4+TO4i+my1P1mYvn+Yf74Sha6lI3xw
YKL+/C5D7TLR/6lgZeMivQv9vErAhqIGA1UyDfdSOgWSVlWgepTZWWdAcI76CdkpTEd/z3l9etAb
1d/LYWrPUBSNs92q6EJ7dMQM2Pv6hdAybZ9OCJ4W5CTld5r0ITbZMOzSIEKaaQcOOqSITNkkwyQr
5pzZyKgAWudwKi0Zxe9trcQ2gLcU4TcG8k8kq2Fh00rycEucqPmVYAwT58pIZSk0JZ5Gcus+9InQ
1EU0x+DGutETzzzU9anuy7TctJNfkdhAeC6mwXbE9RfSE7SyQAPjX+lk7caVWcT7GjDU7HG0Ka3q
2FO3PiMTjaQSEcBx0TtaxmyP8O7cepeIIHqIRtN69SN/PBHDQILSiMUHc1gTJpseG2qwANdOtjCE
FrMd+280YMHDhgUcZYbcK4508uApv77R6P2qRTG6ILKET/29jtxxiHY6QK1lBcMZrhiqWVRU39EM
ltdjK+5ReFK4TdxBk1FusMjszr71begSbao5NzQfnJupVulLYkzWQQ9BTDCqlfcxbmoa77qPqcgx
whB2vYHqYGlnVX0kGL2/VaHNGcBHVrpjVJEeaIv6Hmr0BtGaX3f5k2z69hUoyXCXIAtAQYk/HvrH
DPeQLZq1TFc4ycjYGq6Qvrn37TBY96FVGRvgU2W5rKjkz5w7EyDjrp9fpkn5R+VY4kabASeRC8Bx
gfiFIgy4/LRjhlKeLB1VMW7fOrlu28a4xxheoiB0UU7D1yeBtk+owOwhnfIFz7R1DGYajFNo/qrN
6mSP6z081aHgOYlnmgyhgWKVeB0wlKRom3LZQULcsN31V5Gd77UkoIkx1cYG+814Owye+Qr3dNg5
Y9SYG91WZG0FrvVqSpltbCp2AtACM0WD7KcXQfHNhyti1PDYnxGGjGiOOkxdfnLmxIU0NBA5vJbG
YtpVgJ22DrGbJeUxrOHSLEliCczN5GFRpMjzkT2myRy7K6McIhmx0nJcu99DestSpk/T9+jeYk7x
TUzg77x9dfgUzSm/mldO7+X36F/rewywNfj04PHoZ+spADvGvMJG1WIGZn4VKCe+HzDImhtiDcyb
YSzrRzPIRrxieIQqDAcakxZFZ/lJrxOsXDXNd8XzrVWP5jgUD/1UdV9rtuA3zSNpmRPfCELdijiZ
lplpntzvucxeLBHE+Q2MsgMtibZejqB+Ngge4BCt/vr++F9NGUezl04qJcy/3/nOb+G3t+xD/rL1
/fZ9v2991hdb8A6wi3ruL1uf+AJYkC96tHzxwwhqld+2PsP4YlHGAtvGuaL7xj92Pu8LgGt+DgWo
+NtX/sLG9712/Gnnc2zG6nTw8Dna87D85/2onVTQtLBt136ilg3at8LaS1bQLtVWckKSZTscmQ4O
Bt0mKh9U4uM2V/d5Ex1ZyNZWp2+6pN07MUxH/yom7GWcWH+NXWLqiFOszQ/391/Uqdyyn7ZqT1hU
AoDDTdMCwT3zJ3/+hbEf1wWjR2+lObHzZiCNfewCwg+8xJr1ZaK0z+GYpMchMvw1i/e48qwAPbKM
GvJfHG+6JR8N5DNkYOZb/rAeLHTaZHT4e+K56G+aWRytPc+ozq5eOa+BAfCEqt6M4pXjeMlL0rCH
LyTkhE8hi/oVZHT/DNkXF1Ac9ck1qT7pU2bPfuneZma7i1RL2JERwqqbWjc+EYHYHk3DlEQckNCw
VCPO4rwfNOjBTkB4CeDiBPwAqJOc7dMbwbt5gPO2uJbGF4k6piciO8DXMIVad9sMEHWk7kSfThVU
QKZcYpbChrJgwSfzNiOZauTzEIuD9pkdHeOSvhFt32zsdKgBO+S1T3I1S6nQvHQZlLOaH2HimWTa
Jb3YfRULFP1ENfbWdUy053WG6HtvtMa4NZqcRCgLnTcUsmS6VJHjRwvlaPpzKQc8VIQdEOveDwFr
MuqGDKllCZuS4SLuZOYPJw8jBgjGUh0LIn2uojYIrypgLbu6c+MbRxTJDSfG4Z5mpr2rKuEg2CmT
AHtPMFxyXcSrVo+9B6DA5gmYarA0CEz7NnfVEDZVxBKshS4ZVZZ/o+0Sa1suiXX3HvtyqnZRNDl3
QzIjenlLboAADo+QIM2rqiqLnQVx8YmRZ05LU8gJ06b2FbbHtLPxzh/jlmQQZs0G+FNba+68LKnY
Fkwa3pQs0WtP71FfsVhzxI9D/kaZnnfse+40vQ0iywf81eEEY4PUCVQCgYJwNLZtVrEJxtjpSbvf
tirI7uMSGfT/Y+/MltvG0i39Ln0PB7AxXzYHkBRJiZIlWdINQpZszOPeGN+mL/uin6JerD8o0+l0
nqiqyHN3IiqyIiOybA0kAex/WOtbWmxOgZyyidfjVnc8xu1zPitvD5M4gTrtJSsSPGwoGaBnasgt
X9poIuC3toeNwzzpM7SI9oK4zWcSHjaHFKsZKJZ0OLhLggzKA0nAhF48ov8OT2JKOOcZ58NJGTr9
ttO79ozNWX9Uoydfo2ayrnI9ZECOiJ6KakjV7Gw6V4YAD2uMdqtl/Yj1jNmfJA/EkBy7vWrxNyeW
29/4c90zDBNyCUZln9KV1Bcz9UtWIZ3BDq6gfGCHR00R4pvrVqbd9G+jZaOXTJsYp1odFf6zH5Xz
Lfg47wFrH0b+CZbrhOQ+nOHjZHalrUryX1/9wazOEzGz3g0FVykDEPR5AqumGW7gD+qfdUw6YtPX
qdZc4rBKv6GEt/ONGwtSkWuFK2vjTcgZSjiut7lsuAzGitmbg6rwZMzCeHdrqY1k19noGaQ9gids
G/Cp7LdxJuSahdqgKENOYeXOpEwRuodrigir3J2cm7ZG6Wpo8KtZAExXksDgZzmF1l1OxvZudDRY
sAkX48qHlLXRM804+xkSOqAduCGiQdMv1iQ7F855G+0mISSzr8LPVy1MXYoRk+iidMrwVIlkJE0u
rHTMuhVTy2IjorZU2waGDC9nsL1trvkTblvHvWM7gOgnZjWxp9BND9I0zPtkqK3nIoQw4QsK/TEy
jW1c9tmlliJ/EnHZ3NHB5ZuktOXWoGiEIuuoZ8eV5j00SHz1TgGcG/had8JyU17QwwBMKXvGYUkD
P7CwcXcvNXX3HKfoBVa45IcXlF5RgT5qDv9NsoLxq6prOU/MZRQlmD6ZQrc//vxPrV8pugIJFapH
tXFX8wZV8VUYuDuxqXf24d8cXv/uZ/1l68k1lCQWWbvbYa2viWnZ4B7JtgH9DGcNfq1V/bULPMQn
Gy4PuBvx6t9Nxoylv/x53lNhWKZg+sZMDCaXcPW/DHq8Nu8lG+Bs2wfgmqy1nq3yDTu7tf1CL1Lr
a2wV23/9shcu2H/9mS72AMPTdWhgf5nIVDMfKQK1bAsqdhPtY7yCK++gVu4uPqJVc//u2/zxGv/0
8/7yGuccgRlkkAzT5mrTR5vwVqzne0IONxpwuu0KbiE0qY0VIDglQuo/s6Dkh/yBSnXZaf/zinj9
2r39pRr+/Wt+VMPw4FB5cqMtTDgEndwjP1SeLhA5RiMOhR2FKH6tP6ph8xMTxyVlVjcWsSdL9j8G
Qfonn6Mf2BsDFSKGBUaUvzMJYsD0y9W6UOSYBOnOUgvDkDPcZVb0pwcCMkuCuiNDsv4o+6ekcbtv
I0fOwTba6U4XdXIRjVkCobHKh8bTrBd3kiNjddyNVRFLhPGdfYrAaW4yP5nJfxptnu6O037HaB5e
T2ViBSi98i+tEffXIErzfYQ3lElL5dASdiZkudwNYjbIx7asltDoybrXhq77Qo/fbivfTR+aBmka
hrL+eTKslhgtORaBxrPunmCHamMblfk01KwRBkpyagazG+4Nj2hSKuTMPDrkNj6X5GYs8aaL0c20
/N3AxhSscg3tGFVpdDBK073NCBCMKPlnEE/CYnnvhn13C3yyzlfzjPkFS4fJswStEiWrkZbjSukT
sTjOTN3aTT3ZIDoZsBm8HSsKYty0Np5H6m5vKsF4wGJLX1IiMCv8aQj5QIr2aEaVlk0vtKl80wYf
5DXwNEGkfKV/9k0hziH1eZDXUp1Hm9Mvx0T5Zk2N9zzpQ3xS7Ui6LeD6ttlIcuI4XrBLoC+r6WJM
RWouUNusumt8L/raq5oFPApe/UJBA3szTRwE5W7l9ScL0yOkEdbuMNgkD82xq8omwKDmu7u+651q
Y1md2a0jJmMS46ljWUFiOVnKOKFi/UC8+FOUOzojECt+V8lEOItvd4dOK1rQpkUBdLZtprehg+S+
Iz6e7SagEHOfMnDAPIw65iBMkEVrY+janJ2iHd5OMqwUzlg7vCF8EXg9qaEjWE74J81jCefKWvsh
HpBqEcUXizw+n5J5TyPjP6Fzr19bP4X1F00JwNO+9M9l5GUcvgjuqygbjopo1ADPw1J05s41CDWb
lzamJ+bqFh67bICOF+Ln9p2Kzz+sYbiT74G2E3Qomr3rqPHQqBJmmtyUZWQ/VNL1Tgzd+vOQZtoO
lqi8FLruHXWh9B3ZkdqRfaZ1dFSYbHXyVVb9aCM/SOL0uurMNMBekgTsHC3I1hgt0mYiGYTrYpvl
80xEvBteNSRdbl30q2ima41EwYVv4HlwBuC0kQYk18XIFo7q1VnFxCFDaEb4UtqWOguvxb9tQQAy
JxphpsPJrphxs6oSR3nM02hFFhTmfqMgs2TuGlzAqEJMMpQvbpMlX0lxY8k6Vd42dbB2lq3Vbxvm
bUtibBGMoh3PMndhAIzw8qysg1jde80SZV0lmLMTsSv92X82p0i71hkSzssHP00MkOLiJNIqJYIv
C7tdRWsKNKGmvV3namLAKwvbQz8TVrm2RrEoXiYqtwL6GqboaCRVMB5T44s+6PLbkqFy8SIr+maL
0npLDGPY1kMT86wIx2fTZdZdhrwRo8/aeA6LKUD0iyNESGffR5LtaT52QC3yYj8UbbzGT6ztwiZj
xDb2ur7FIUhglMm7SBjEeOsqsAqdPiwxzxOMXGJKQkzQbv4IFwZ41JS4e72Pywf2q8UZObm8Fggk
sfXkyVsktPTiYj2659qfNoNry51b6Tp4RWiTttnU9POLaYzHzdnT5r5ZZUnjoW+tB3tD28V6na5R
f7dTgzGayEvjHbo1eYq+3r8QyxcfUlqhs0tydMwn52lbhXvpIBoN2JTV+mg6qh40t+1FGOYl8ack
OUngfnSqOb1aYwUVSAk28ENy7gauELcy9UOp+d71RIsbNOiWmH9H+ambUKAPmmvd9EYWgcydIAdZ
sf08KAN9qmgzWAPc7BPoL60+FBGQiHywAH5kJMCi0Gwcc0czXDBZKRR/zSD4FynMoooxF30MhP3m
vSW465pcKLoW+0NKg/QDWY21KGzGyIZ9ZMWueuK8a571DzEOpB2EOW7pau6VNi2CHdtmpAkHWGiP
YUoacmInxl1kPAt7SG4cazYPnc3yLM6c+XuyCIIaUev33SISSj/0QtNA1NQAzXhno6F44q4TapMu
qQUk6qA3MseJ9foiQupaxX/j+9If6DlQKWWLYImRav/qpklIJ+NmPr8dULMbpj0q8M22+sKPy27a
uCw+64WT32HqJLvKR0Vsu1X4Wo2iuC9ag9Zr1FuSIJBRiXQa2Zp8qKsSObv7eZFcOX1b3SSLDIuE
SYIHIL3Ke9IN+iuOahRbUwH3bxNBZwPdZBYezKY+E6dmFuO7bRdzEPVTf+9+KMHI8EUQDhSq+B62
0DvMCUQM1gkUZGFTqJ23qMoqBuQtUhpSnoh1QHZWzWnyGd4ZTBBHM3pClGRyrgskVSvSzOdbHbaY
s54cpz+gjJzBQKHL2zmawK7FoNF/baOs4rkDREJmJvysMGzPldDH7eQ2I/61Cq6XZH/zUJW9TpkS
NhF4AIylK9SJ9dHqMW5uS3yYz8Ps97t+rgo4U6jc1XoSuFchEqTaPWO2+jKabXOGTDECu+2H2xGF
Cw7AsDzJPJkfO1icgW1qw81H2fifjer/WtaczIL/dRndle9J+Vq8tr9W0z+/9kc5bX7SbZ2wUV1g
bv5VSwxe2V/qbATGbFHthc30+3DZRoDscJn4Do43TNjOz+my+ckVy16SwhcFMDPmv8Vk/piX/6n3
W6pp36Eic4SFDQtV3196v1EMfR2leU9EWkNilt3K23ks+3sVjw3mSA96qGpQT+UFq40V3ccAxbK0
vRysqy2/oOjRyQazu9d5DIc3YflyzziLuCBCgmxAbCz1b2JL2leYGqJz1BuqCfpm8nbUA8SIZlVx
jtiM3KVxNGL1rQgoiJfMaW9oPsfhHJ/pN2CkJrXlgfEsEgYz5mCQTzASq3IwSyZ2WpUXTyCM5zOj
1pacEg6YE6BfEDCN9ZzkHQnbDjM03vx4B0p2vJ46w+fwBzQnFSAXYrbqu6pwzR3GKG8DFsVcmZOr
X2M5dxb4i/hc9GoI0LKErz3OZXa4xniQbTJtx1S4mzmcJvKUMHyEfgiaCNL+bnYixHQ6mWzUxxUM
FrKG6gWQRgKKOup1bV4bc2xgFUjx0mKPektmcIlMGaNL4vIsWqKk7SeMMAyONFHFt+NkW+shFBLJ
sHJYCHoeZLZh3KLd1L8Aq6KmsIhzB6cQRwFug/ge+5NaM6weqVJNCJul5noLZsNotjCZhnPClD2o
ExgXt1Hskzkri+E0myUBMVFUbo22iLbaNDFmanSj+JrOVnrucgHNpx7n6T1KlGVsPLsJT5FQ+bZi
yHyDTpcOR0eedGNbU3vQ3NY6UXNFN7xrjEFN2xxOER4yJL0WKsAVqR+kZJB/x2dnRnwxaHA1XTB5
kcxg4guBHgmibwTN0yGDCUJsc/dNpLcXc4wRK6IyIg4SjiePTGvsSGCbBeHKeQjWNuKlwawJk+zM
iq7deinYZA4NPX5ojZI0Jyal1NpFOcIzacLUf3CqjBz1VPTGJdRHeQc8kdIr09XMgZgh1lzlvT5+
K2Y7InsD/3Gz0WK4nlvATaYPonXu4UBzpPHbe+6A/BPstEHFt3Zj+2xWYlkpQy1wb/TYEvWzVuiq
+YL/Has/uulLbAx6vpVGXtyosOqfcsVmiPCh0dmxRzSvMWhDSsl0yE64kF3nrTW7+pY6pT5piZXf
p0XG2nCMXOfixTan7ZhM2otqFM59LzEw86BFPFapBmC5akJkcwkloxKYcGEDtZ/J/0wRm4UUWh+o
5C6vq2Q1JZ5wIMIUkpEUqGZ/1Xfkadk1wu5h6iJcu0kW+KUb3vRlOO8Jw/FPikJvLR0H+77dj8YT
hkkIwgDTA+7b8j2LhE0l4lCcUwt3d8RqlJuB3E1+R9yPryGK3cNAwHVQ9lZP9zX6QRYN+L0Rqt3n
alyywfTpNPlt+yLilHxJU2uroB5dbTfHUr1YtOwvsUd66KabNCJURJmtoZd21TY36vncq0hcJ2ao
v0Dgaa+dZHLOotDLF2Pw7K+DNw5HUh20+8Fx0gepp9TSPUtj0hCmzNr1mtORfEM3+QSkzAlAcNZ1
UCYZ2r8ii+4HLx4gudGn1uWg0/A2mXs38/dhc3V+9nUANvFUhk597xCnwv2elcYlJosJIGk7+EjV
chC9BJNn2vVsdc5WQSIw6L2ETDbWKPvbjKHrtCnzudqMRlhcuSFAHjkZzc2UQdBtLelC9Iy8vZmM
kNR04L7gzttu7SZs4GzsU0HdV+W2t8voxWuIXlUslLbtuOC9m1yn5sdI9zjA17ktSo/JqyzklwxF
fAs2aDCep0i6d7Hl4C9DGVEv+7MumIBXPgPXj2jxfYDSRFh07IOQuni5wSw5Hdz4KGFkPMB/AhAm
mu5kGlqHQiSMbSgXXffeZUS5khSHUWA1smrdOXqk30T9As1GvNseW/qBL4R9+OYePakE+p2SUtrZ
Xrh1FgbCXAn3BREpA0SrKoAkxAsvoUDyfWaWkhxdkwZhVS1khQgGJY8l0ZZfu2Eo79nLTOci97MX
ssY6AGZQGnhe6+/hQm4oa/IkN24izBsmR2HA1tU/Vk5NK1yjz6k/EBBIN8vAUXoTrZta9E+0+xjx
8cZVJ7fWvRuL9+EBqRutZEHlHPAj5UuxcCeY5zSEsIE+h0u3gCnUgqjwtBDggRfieAWjtjW7Zjhy
WpTHGJXJjuMX0kU52zf8Ws03enPnVZMdGUhKbZXT3JrhLJ5iLQKYHVXJbVk0vgZhW7SIFRbERr7A
Nro8m9l3hPNRFbl2qT6IHKRJlWwY2wQeCwKjG2vhd7RZV92YrTrJruKUXigf+cL7cEY64JXn1DRH
Awpm5j6JuR/pcz/HtTU8JiqqbpF/5OfaiTm447nJP4cZ6b//qU1/m/D+Xl/+S7nfbZeU7//4f79Y
3H5+3Y+6FMAPNSZDVEazCFepdn9MeSk+fdtmD/Dx//5ekSIPFEiCsf0vqlrP9X4OeK1POonbCChc
kx9Dxofzd+a7wvtVhbxUpHwPC6kf/yCv+Ks4uLMM2US9Nm9SK85OBlie1TyIy1xIl3TBqLsqFqRG
I9IrcszeeB43hBNjQ3fIWVpHnG6riMBlotjaL6MxfK1DKF1OJPJD5ir/S49BYWenRbOaOZMZljEL
dC0L/qP2jjIOM66BV8bq+o0elViQG5ZdFpLyFYhzOHMjba2WAKer3Pe2mKZt0c/vKU9NSiuYGiqJ
sYGDFl5aNFfv7xuu/lUs3H7VIa2Hl4EDwGFWlZsGuAu/PJu+RqaCQ28buRYxCab+3DqgdAv/41ZC
9IFW+jucVG3NxCZbU6cgg/Pye60h9aEHoLNmF/oAIJt0R1bca1viRg6H+EVFITTpuT4l4Orx8M32
eeiQVzWRzSzWxV082ILswaIICOEGxOi0JT4jB9cN47gArbh/MPGKrKTXPxmRjPaGKMxdNLrEHTJ6
QqiYDXuli+w9sqB9yTBXj1GVD0+FzL7hm0CLp5nf8K6Z6762n7S+KHfJpMdBsQBdO11cgA/VB91g
tWkv2NceItEF/D4tLewvtVDA3IUHZi9ksHRhhKU9dqBw4Ybx2Ru7wa1ONkgx3F/CA2VnLaCxUbUb
6AqnweqyoLbLt36BkkmILBthyBPm942ns7H352hbRmBIpoQkCnN0DozBk3UB78ztEO1XCwKNLcKt
+oCiQUeboaRZZvIYModeo3u8qoR6Ujl0fSLLq2Jjd2ZJqe4cnLQdtkvbdx5n98UqxasRYlr3kO8U
oaRE6+59FuQrbAJfB42JhjTG96k0sdwk0W2Tl8dcJd0GXQiTAM+4jWfy8nTVvg1+cUznxcTTpAHQ
7nibsIPl2MN+3bFA3ehjsSeZ/NrsKJSHPF18+7CovJFBqW1vu9A69ig9CU9hsxDH30yT+MKun1f4
Ju7lHH13SnUMhXY7qeaaBcQbu2nkLcN41SsH+mRjgWxzxqPytfwJoNdxwh+y6uJ6p8QSMoHMdYW4
fK/18xPZ1y+hOTOpmZt7EFr2uTZIpIvrvac5DM7UvPYkdwYMXAaXjnlsYm2fF2Knt36Am+nO7/V6
FRbl0a7G7cwQOR/SuzGejHUB+nHl9/5TlFpvURdnWxM+Fbl3ap92fFCIHlZGttAxRjI4Zqf4MuBv
OUAruIV9fWn8MuctJN/QMq3ndrSPcSLOrQ4Wb0DMyUTRO3BF4hoovS3EDLkt7YrRK2kMQVj2dz4Z
BYnr3U+J/QwxC8cqqtpFYSNAtLZ7WXnWdWzk+m7yu3SblsN36A091w4rl7Yha8Zz8vKsGmID7NwE
7yVnf+NGibzV47TDRsRQNZ/lKRxNfR3rDYPBKgrZtJAw7lPtbD1n+s8854+t6OL35ZT551vR/63y
f/yfUiVvvxyavvX7F/44M5dDEF047m6sdr8NbH4emmIZ2HD4sbpfxH9/zHIQCjJPwvaNfpDVJdl2
f6xGDf2TsE0cIxy3rDLJxfo7J+dvm8+f2gFU8rh20Eqw8DAouR0ipH/ZjLoJg4C281O6YFx6K7dx
uEuYInF7ZVmvCCFiPrLqNIijIkRBLdGGf86xhAbDINOHchmCMpCGn4UKtr2xnbZmK9UizdbTBp50
Nrywo0uCxKZFMXwSWcgMIFl40hsW9f47kpdHzbQJe/EJAM7Dr00yuBu9muK9j4UX5aGEGgngPz6y
UKHfLgxxFQ4RKGmOyWJdeciQmjE0b2TYUuqqvj4RUGKexr4GibdMUNK2dK5r0BSbjk/jQL5TfZWi
GeLG7Wtu6lQL1W5IRbQ1vZrHmkE2QO61Zroa22SLfI9ep9/29HIrpuzOdnHukJnelbeEeWbHfCh5
ybX1kozsRZ3IREqVMdAZam3Zbzmc1EBoCLRXMCvIzByQ6qxs4p+vsm68z0lUvOOVNJcymsxjEk32
msyzcY2jb1q1vX6oOv2pNByI+g1eziSV+aqyzEfV2i8k8YR7aVIbCMyLReUZL7GosckWujgWSLM2
tt2QI+pOhylNb/1mdG5mo3/1InVQiQ6NQ47bYiBhPk3gTpNVUWwawyGtUuHAJj2FlJMSBaav+nHH
4uerZ4LndaSOdaEMoY1OyAgLzS63zFe8dWP2cm0xYzGGJN7BWyNb3nRHdTb0Hlt3VDfxHf7A+BCn
SDgjWpcHaVBV5XHynpoEpRjlSMbjtIcoDrIvnb+7U/6C0Lne4r1+9WYjBocq6aTQu+CMh5suKd7W
7DKaK03lz12h8l2JR5EEWWeHki6+pDp9GgPLd9ecnlHCs2WDMVdKO0XtDXKl92Ct5m3PyEl7ZgF1
LYHyruwyJ8aAj/iyKLxWvZhezBy49qo3CM0mG9LZNq42o5o0wl1ilP2NII3r82yUybur2UPA7MTf
om9EZ7WUg/+NZuV/mvT6t3bC+JfP1EunuuJ1+uWJ+vPrfjxSzU9ouIGC/gCN0lb8eKS6n3A2oUFB
NPKjRfmhvf7E440WBGsRABuBJ+iPR6qmf2INRqOCZBv/0W9P6b+hvybZ4Be5iYNoBcmLxwni2Q7P
dfcvYqXOcBgDjTmKPXRwW19aY4vHd+5J/mp4Nll3QOdHQquMUL3xUAbFU1lJlga+0Mmcs93wpck1
/N7KISctbaov2dg419qIiBmSjn8t5nTYx3mcE9hkW97J0HIAEHkpx6Mk1v0tL4oeMRrh2bcMZPB8
KPIO040Hl6Bce6PhHT1kLF9IFu6DhA3VU1o1KZNSXtV1qZnWMuy2n2UBHn/25iJAvzHCdjSiYJAF
iU9FCq5xRcoIAIBBxC4iOyaWJIYuWbM9D4sgyebkCo1FJzdl2sKUhP9w8qdEXSP2aT7n0qmvgCLq
j12k9GukQwRZl7l35cCxCdgjqpsoaSJ35fujlwEV7lPiiNJGMwJF59QGBDTY7MSyOb2UbpQTEVUa
2bqTLRD+LOsKFDuD90aOFQvskc4lZ/qpyJ13gPOgvIY8toryIdrJxa+xSlsmTStjLqxrZrb5bdy2
DsRTk+cXYVS2s84HXWOAN3RXc6/ZQZiGeEGcWRB/C5VZvwwNww7bVwLprxWTROhGxRDMzZI9obtR
hvbAshhIw6Q4Q4EjZGVwh6eMQd47lqDiBuQV+9/MgWW5yUynfXdmy3j0JtDltYtIKPWqeC8aET3J
Me/mjass9zNcapQRedfVRAgnIY9EZJEe+Ay/TOtV4868SNMV4SbsZ5zRo14khyRKrHv2odrZyqX4
hkdbfJt8Nu4WE8GD8sujMKeQnekS2kto18YrmJbxBlcsOmTMUzcL63eC5Ua0whpHg5p661qoicXP
KOs90cQNvmjXSkkrQw81da659G7hta017XdioDV7PY5Nvq8I8diAEqvWXttwdzi9By1GTwMSipNN
2/TDG5un8qFvsohdJlp15Wjj3bTItibRdt8my+6enGVLGYq5C9SyuVzWnKfFrw9tPx1uAYcAZ6ur
+M7ScxuH9zTq6yhKzJvyYy1Kgi4r0gpD946xePxsdcBrt3iE9GP322JV8xeylByjw0Bk+YNa1q9g
49jE0lmrO3Rbcj/iZdwjJxvfXWcIv0CR179XVTW1SK7isT/ps7T3k1Yl5OEZ1XyrzAY5hm2nrMg9
rivKj/HBiC1tQzQulH7EM/BOaBrbK9WaWJAdXx5LY5QKFT5OzFVmRNYlcVTGVgD1bCBzh7zGVEb1
pfjgrJgLckUu8BUJaeOuIKLA4+iq2Yn4UZe81xA2jkk5LWOBxiIYQbZTfJ1+MF6GYYgI4yFuHlEP
jcubhrTn66QEF2jBcgLMqbpqDFcL8EzoX7J29kBQGcmdu8BlambB5LwBnFELekan73ysFhzNtIBp
cumON4Yy66vGqoYgp6rkcdHl6xYO42PSZ9XEu5EZVxSs8jJwQbH9s6ItPJHkHl+AxcxdExIpzegw
ffXAJxT9RLR7nlaBshqZEGkRFm/EDEz0nKNeNxs/K0lelEX6mLK12MOCNde+WcR700mW3GajE18Z
z2ZXrKXEZ4OkAEAGpnnyEUU/xWEEvHz2wupOChuxSN2P7GJ6VzN4j/ohP3IeoYtq4yLZUXbHm4QP
b5tWrjqAiU4OoCR088TyR/qrlInq66jHxX4mCRITY2Tum8zyvha6n163qai/6tIZHyLbzk/KqUyK
zHQKhqbybhf6H7Pjub8rRWhteIakLxWqDaR0IovN9ah6a2fUlrxh3xbvU6UlFI49rk7HGNEDFBNB
HpUXkBbfnuoJdgq7OxnxeGtcMqojYw9ifbqgrLOxPvS6vMN+pt+VsEGuhIMiXuhl/6Aiz9ipqq/u
OzlJbzW1rXHvyck9kuSwRHOmHZHrdebVX/tGeCeIBCbBZBUUP8V5l0FlxLw3ieIOTU8acEODZnOk
d9FVRbT02EUlcZezSd4Zgz6e+y7QNZpynaeaGogcRGE63xfCQ0OT9335xuzaQSoSq1Iyy+j6o0eI
4bMbR8ybZG3U47plWjFchVMzT/h7YF6gsgnd+7Sc2y91XxbPLlxGi11dDq9SpzWgK7CUhjvE8PJb
IVsSILQmSr1dpFrSYJSw5wd/HnAKTGak3moc8Xdoz5xz4/Qsmt08jh8dHuQPhrL94wB/BVQw15+7
4oIQu6qZzEs0x/MZmou/VgMrmdE2WDO4fcxSUYQg/oyptjZGVLt3SrPMq78/6f4fWjzSnP7zhvzx
tav/8X/lnyltv9eOfNnvtaPjf+Kp55j40lm8I5/40wwbVC1xry4t+UJKA439RzvOnyBy53+mwL+H
9OGntEIzPgmxfI2/wN18nH1/qx+n2vxr6SigKBh8u49v69nLn/9JqexEk7L6jrG1W2Jm48LAIuLh
jwbYY8xj4OoxZ4eCQ/m96zrW4UwP5pM3lsaxSVT/NFTMtZmOGdm1aFpvq/XGCOPQEQupKCLIsvH7
epuJhDM1HuSdUdn948AtTavu1psE9Qi+3IzwvZi/IhEWbzrP66hn+hujJmyayCbTBfNQKCxfQhgB
4Ghxgg9hHAw2/fxrSo5jSVOOgBXHQ43mCR8RrrG2HnGVpAuKmgk1ObCkiijKuhaC+w6qAyjWTpkM
stoQStVMMmnNtU84MJDsfijWqGm5Pwh+GjaJ0eMkyRz9OEfSZIuF6HjUEjRLjJQXZ3yuH3Exqv3g
GHijc/S0KXFxt8mMiKwWBOtCUG+2Vl1n67KorMCsGLPi4seyzNN3G8OA3VTSYdZXsI6j+jVXBpu1
VS6G5OI5HFuSoItV3jrlrtaYxsPodjf1FC0JPrSlRSsIXXIG8zqKiNAiK0tuZJF1W2VjMTfUYJ0V
wct7re2q/UBazCVyNe17njj6m0ql+axzkG80XzBczcmqBcla8rgaxFZDLnPKJ4FShdQsBtuFibOR
hIIjH68flCTDrovJdMCC52I/G3ptr0rPsr7ZWK63yC9lu0q9KMEEluqkD1E68JZVyUOESvXJZ7O8
MdoqOpcxJDR8k3ozPuq5Z4VPU4Ti7CZExSJe5dSqQw9V9ewrE/lNK9T9MNckWg2qO7SGJknp7cZN
JvqPP4gex8ws2FFbnbvmHW6TFY6V2ti4tVN8Ixjc17hURpcYaLeB9JM3AqkMALulknzyOYaAAPRu
ULpde7CLzL1HlVmSrVYLsppwgT2XiHKOiEr4zUMslhnc1xMb6eKb4xczq0bfuADnbJ+cZuTQ6Y1U
BhA1jVMIg+pCoM68RQJhP0goI7CdLeSJlYq+V7qGJVNzBuQHWL8C1H80Pp3mFhvfKPRdY4fqwCyn
uwbF6sKUDdFyp6Dlb2y97t/JATWhTk2+vbPMJi0DqMJQ89wycW7rrhsezETWAbg751yWqbpDIs3t
bkBUuerj2b0VZHbfGaTebmI98bcOKANyooU1M1xJ4jtuUe5WxlWkIFQ6EgFFKdsEaI5RlPodKxK9
ZMac6sOwdXpsZhHNzmcdjzQ6f4eEoYzcM3gERrHJMh9rX58O2UlS270OKg6/dlMb4x13kXXGsY+F
gLkbZ1akC+2FJYUMxlzZd2aXhcT9aNNDbJVusTJx912jbZCn1CVaYBXmURWucYRhhU2q8LHpQxtN
Bp9ksua0G10LQrM1Hnmnpxf0BqmzdmEExvB9JaZDvHxJMBPwgwYJnShGzLYs30w1mt8RQ5DkCi+S
sPK0UNcSx8IehoPGbqULW0RdpnMVNfYA19cy+QbSFdy1DiGiSwaNxehSEeqEZdfXuo1BDh9MuKJc
swAiAa/x1pTJ7FlavcVxtOj/Kxl+9upUHKt+BtCs5mTXlHoTeJpn76q5foyTVHueTVGvyEeI1glU
3R6S8q4RNea62l76VD0ojMxaM4mu12Q2hGuhDckaNH+LORuedUltsXXYZrJis+F9MLngrYi1dcOo
YWOKKty5BFRdm24977m44yue6yZNwTAHWUkN0eJYWc+xXR/KDFdzAsIjmPiRK5cty44+RO4cGeq4
DZpp7+hJuQuzRH+ps7jfiiHW7to80w/CU8lr3nnFnvwnst1z3w4gztHuMMd7LkwHhZIaCSqW5Lry
BEEJbpgzoG/bfLM9lCgpoQbguYgy9NKyXS9a7UDLRb8tyiTcmLUa9/ApXBohMzmkOTdbzS///8k7
j+VWmjNN38vsS1Emyy1mA29IgCRoz6aCPKa8N1mVd9PXMjc2T1JSSz3RWmg50TtF/OIhARQyv++1
dTI1lBs4xbF1sgBNH5lmBRzKFlpanbvBy9Ze0lT35CI2W9aWcYMm0N2YzuJ8uiOi9JAVbUfXlbMm
J5d+8mRSOCUDXZ6EZTTZ+2Xnr0h06F9lVoY/O8vONlhdSfBFRIHdFbZVMP/qSazecr1gmU+S8U62
g3+occ7v85Ie+IVSlcStQjyYuFOLYXxt7NrYxMThUeoYLVzfo/cKDIVWzWvq7gCsuWCj6RboqWFU
gs54FRn3Jrl0+ya32m4fN4uAiPzunkWeAnXU2fPL1KuRPRELT7ou+q48eSLqXqeMVMfZGGDWMJZm
AL5eOez6vievBAVw+pZIOz/GTfkxBtIW/FNJdQn7vL+kdYdJIep/t0jWdl3FY0F2W7T2JCqZ2EGO
2GRuSWiJ65yWvK8uIzzTaSpJJY8opzwg5OlWlR0b58lrog+AhRidDjLQJoOKlp1RHjHqTAhmBkV9
ypBuEpFWO0W6PuxsENzSsh+u2egl2OP5HKdYel+jiAPkXpJNCXqWD6Dxuw2+4/6x7V04vsUv9/Y8
uHienAI832ST9qlxhwwI3odhGh6BW5MMzj9XwaqAejfRBsbJvuXoFojeS+/O9Jr+w3Hafhe3wk1X
NayHXIO+OYRCu5kMX2rbao4ItIx7wkTynWgL9STQ8z2YDs52r4jcSyX74gnbY3emOMbXZb0xZlai
fzFKC4UAKioDhgjbUOql5fHY+kFTXbtwie5QzqPXwj1nPdCXXZxHEtGf8ij+ufCG7GZ/9B4jGZmv
mF7U19QU0c+0CNSLEXr5GxOYfa15HJ5mlYlz4Rd0hXW2dcC+L1+yOfIeaN3jmcrGpjtk3VIdzb6j
g3h26ePjqtw6ZO4duixzqQQEiHRI60qzhyxoaRAi0pMkF7t9qPEKvNSlVjZExMwBRGTLCRBxpL9n
BiRaQVtjDxaVsSvC1Pk5hCPNi1OXbJc8p88eU99pJgx83TsBYI6JA5eGmdS/OvFcb2grqA/eSM+9
q1z3rsWX847v2Xij6qF7QGhPpIuRluOj280BXToVl9aSEI7mzcYtKxznFngZ05ioA3CNwlqeC0xN
1yD35kNVBukZq1R+C+tcvaessXt3DLg35zoAHyi96GKAmNirkLLYBe1gXDy74YgYljyWnXIadBg5
DUxVYjQvkbVUP7rF5Run6uSXK9L+Hhv9+OSEVfIcgEg+k+y2HFVc00IUdwOFJPOQfAqD2YUQoOCe
EYeZ1piju3Eu2gdABd2GsIzuSeSdlpAM2bSdOxcvEs7FZENoe/Yx0VD7h84WcyYTMclJihmSYxUu
HS7XIJUbgyzAu8AVyStJsd2tqCcGw5AKmAOpts4+p8vKWIlobCogUH8KNlI3xUZL4LwuaBa2IVby
R9wGy8Xnf47b1K3qZjt6fv/Hpono0E5ssDtCYvMDTpDmh46GpPguSW+RV9uHrijEs9OVwWPatSk+
wCZO79tMD0hTSfoARmiVc+guzS+awNXPWgbtfd5NlK8qL5s/mNybmqgE8hBXEj0zceV1HTwp5XX7
cVDWqeII3XtUYP1AadreUpHyAnXBDD3jwNh/FkzAm5gR/C5Ew7vPODXH1TwX7rl3/ApETi5i2UoE
EtuOSGASXwnK/OzmRb5OlpHfk1MW3XtaDrLKi8LmrrE6rC8x0fyhY8pDqy14JVaPfdY3RPBbChBd
8QetzcEa3jK35zrJO3P5k9rd9IC9HujYsRLrZmECNDaGZRp3XlyM52jM01fLMsq3sajddjOYcfnp
Tw5tnb7AdgUdFu1y/HHofPxxuWedyS9p2rnUXGUJwwPI/08sezgewf7QfCxee6xiAF3yNacImjai
qnDTJyrYG4icnwIS+Jid7cT5MhStV9t8CKDyasc/VIQdTdtihqVaNQhan3GcZDeCUgOafXpLIE7s
xEVKy7y07jyOd6G5gFf7hnlXFmRElSAQJFdMKRhmIaf3/zFgBCDAvwYj1p/0sw7/5z/+GzSCn/s7
k0UekK0tzp7w/qoO+AeT5f2FmhuffD2+/7D92hz9NybL/gudfBbEP7o6PCImCMHf8vMgsnwKfJji
oJ18B5IeZurfILK874y8f6gDIGVs8EGmdFMQ4wdooomuf0IjQNpy36pNfJtEu4+oeJclhCYmzAAL
VXtVZRpdM0c2D36z9DPFlhR8bHsnpYKpYlG/VzIus3WLiyRcNZgVc9qyK1Ptigl50GqZ+4wWYEJH
PsbKKw4p9o9ph4K98z5VNFr+jm2wQPMJgHAf2tOXm022JJDNk9DoxRTxTTI4VBmPFfaLeJxY7Yys
9bqVGvRWk/ii9NnNBXHtFHYndyCd7nNv9CHiLbj5NbBj+AA6YdyoqdX3hL509PWj0nl+nRon+bXE
YnxEJ948h/WQPJKjZL+7dRH8iC1uNmPEGbwyGyvYD8gCEcrNwcksbeNhSWjUatLF+bnoC7PUV6dh
NdyiuPSoW6a04tDFdvNWL2b2NHWRSVSDvoDpJM9fKw+0BCSB3pfASR/c7zubEBF9f+ur3KwQZDjS
jc7tPJh3ouniozlkjABWnNpvqm2Tq5SjdfCCuASLB7so/Xrcqymrn6gDGK59N/XvPJbWXRYuuENT
m2FYzx6l3VmvBMAQAZxY05oSP95CPawgui7OxPJbD6g6mbbAjo1j2st2p6p6ee0a0/lhfM8/o8on
Cm0mEgI3FblDwCp6XEr04FTrEUpFg/MyEsf8LMtZPZV63pJ68pLz0BxBP8ungRjwp3R2elh1ImtE
nll3jldPNMcZE9F8fbx3OsFdlrWyWWESDX+wdcx/spSEq5Jy0rVMp+lLWI39hnXP29YijJ+GoG9/
BmQ3m0gCy+4xLkzvoWso5oYVZQA2y/DNt2f1VtlGuMdsv1yJ5xt0V3T7kpboqKtFWTsXp/bjkAzT
uq/keGYFj+8LklkwGrlOdBydlMQgso59PlhFrlLaM6m7kVMeB9tMwpVwo+Jm+1HyIBc8BbI3w5y2
JGPId7Xq/U3czjG4EwvmyTYsWJFaBTPCA8tkISVT3HXWVABgsQoibzl6viTae6DBPp1z46EqSXpE
bFf+WJog3LXL4myYkpJDPVjLHlISX4JflD/zAsLOH/zsalaDu0+rPtsOwigvtvTVJ0xVdXTG0jhg
/0FHZoQKc287vQEnDO9VTAhdFeJl7LGdPAACqqew7YuzmqW9npA/risfnGLgtmd9cTvzUuHO3jLF
L0/zRJZhwxl3Nes8feJAs4lutOZrmNKY01ilsZoclyx55fK6ZtXdG760HnIOyqNjKOf3GHTDyU1s
qMU6Sg4YkAySTxTYHtHtNzxV9BsVS7utpp5cED+fP53Bt69eXU/H2GyqtyIG0xwJrMlWVSFHfolJ
mpUdxfExq9Arrts2m24TDNO2lao9DlU5v9fDSC1glHcnM2hDJDOVjagupg+wyeliqeiAKuDkHzxe
xmM1Wuqrq0eGmYaRekXekM5s6Pw8wPpVQoJGQcRkIUX3VYZ1rPa8RML92onMI8qV6gNyX9TyarY5
XDGr0RfNk1q3VF2n1tB9hr0PcUZbNeGRYiDZEULbc8wNWBaBTUk9J+fA6KGsjHxsEAJ7pvHUIE1h
xB3m5yya8js7tuufnMr1RYzt8IXUp/yw+368o/2Vjpyokuqj6qCNmZdnY2KFr6t73NPdC1mexElH
ZdTE2yFqNJtF6pu3Kqh/fkjMcby4fdm1mxr3U6fjKYCQChFYoLgTBUSrJJznkoe6CnYUMI3boBKk
DtjmJJ585VnjNqp7eVSLir7DH3eEPwE/SXZ1Sh8Bt1nY3LE9curT8S6GvrThbozpzYXSrJkRc8h2
cAVoIzbrwTyTjgULFvbusBpNJ3fXBi2dl6rJw4gYsHR6CKGU4Hw4UF5JiFyeg7SpdLOy6T5FUQ5D
OuW9JIApmWnFtlNg3zxvgU+MJZ3addLMDa4O8JUaXkoZ9Cf14fA0knFwbMrQuFVmvCBHDk1BqHjZ
f+LYaOxD6pc9Zww5SCvl+P2vYEKyAXuaR/NaZD4gSRiH9dpILPfBhg3KV9AGQbbmRsZjl+bSgTMz
65QM9tE5F2AtUHIBppqjxdRa8/uC9uIrEUDBjlOzoig6ntbK5hTds3yP4w7Uufyyh1q8+l3LW6nN
MRwwk44BHCMW03UCtat9PVUEIF85qtu4iKfKrZDIHtc2WOGNVjS+8y2c6Fe32BrATEmEgCpGndCo
MEYOa3b+o6vzR3jvIdGihelbqSra934EroYnBisTf/gfwtsIjvCYMwi+SuVzHVB4t427FPeSRf5J
Y5jWekwJCOx0OkoQKWSFDLgJk3nrDfsKg+VrkA/xNtLhKiau/2cS3OPjWE1oAkF2qZ8dnZvhEswi
l0DhT4v4MHn+iW9fmhG40mxAthA0NLAhl/xb5WCm7XzKtfSB9rqZCcgMlz10sjiEWiThZ6r7EcdO
pVXExyZDl00NaZDXx3Ko5M3WKgs0S/jxyQn270CC3Y9a+dMDUGr1hO0povitSc2VSSAC8IG5FABQ
xIhBGqpRYMID2UXkZ4jxFi2TKjaMf+a7P7btfkQe8DrS33kg3sx+zbR6JPsWkjgV3e68zVP8MCAI
/qJ3QfIzqE84f7wrK2V8pUoOY4JWqDiDO7OfaN0KJgokLCwdSGz4/N17gFT1kBJOspkzEVp87Ml0
nizh7gQ41ynX6hjnWygzz5OHa22eva36VtLkgXNBo8FTZSqB8bKAgYhPRNBKF/GeludgRwp+Zjma
HTt3l2ZFB097H4q+fO2xWulX3Y3YAjIt+wkzLQEyfUWoQTPGbbztSab5085hBPVP7TgBF6iIygTN
zqCVRQqFxWuu1Ubl0re3uRL9hSjz6W4YSMepMCzQ7KC1SqNWLdX45io8/WiZBJe3j4hdS5xGEUCi
Td/SJz+Feu48d1toTRQBlYSBlDW5yCbsxxxn+c9Bq6imyUdQlYJIvlMTM+18rbfytfKqH+22gq1q
cyQyLcL0laV1WuTGsG3mtRx/5lrHNfeW8Y77pHisqm5ydnbXyYNBetvFr2pkYFoQ1mhpWKVFYo2W
i8myNX64RVZ8Vt9qsjbpcLLlWmTGlQj/DqrmiKf+W4dmKJ9UR8uqSiBTkSYMjvairnj3yD4URtXf
idZUv3oCHI/JUDsviUEphpMtjbVOY895TGSQ9ihAVXArIk8+Y/KGzBPEbb5UKHzHjRwyOjGNlJjM
lXbe3Qdl1f3mjoV2KrBj4q+gkooRBnZSUSBPXt3Kwtkl6JqxJt2AN1mrss6Tq8jIYea2wVWW1VP/
yOvIHq3YAnlg5vJonxA4siF7bKCIMEWvbMHK0z5PwNK93YriMaAb59wVUKoYdwz1NgKrLUi3bMBQ
RcHwifIcrH6ZZDz7azz4vxV68P8p3c6296833P34OaWf3e//ZsPl5/7BtxNzQg48yyORqvjD/rHh
0v/KgorI3YOg0X6yf95wbREgq9QsPLYb+Pu/bbjmXzyXMjQWXJ/zkr4Gcuf+jQX3+5+C41riujr+
+t//C+MYAjif1DJCDnRWr/n/RBlMIOpBXxR0typSDsu2L4dNCKdKEY7RmM29A5mUr3SdMwSEQ8GM
lN5dbICTr1Ky1O9EHYZcYEVBwFFbYOBecZAMj0yF4Ts+lWprFLQf8TQWa2wt7nb2sfnXtbXcdRre
ppbTWQ+kfersZ/4A9F3OL8JNORzdOmnPzZiWrxx3xi4sm2oXaDxdaGSdipDpPm8r90Bqi7ttuggL
f5dPO0VZ54fEi31ihHNWLgHY+yAHvW/iGmeyRvQ9je3XGuVPNN7PFxcXlOYASLwWKwyZwXYK+99R
EParRIz9xaLW86IVnE8NuNobEY/Ralii/FhrqoH9VEYriWZm2OWajLCKiG1n1BQFKUziWSYi4PKs
2lQv6rAZYZEtL+AecBwmTWPI6g1TbutvFqRLLcfYLrHOwzFKVLRcJiRDJF2CXS8Rbv5mxxEqc3a2
lTKYd6lJFZs+rKqDuShqm1oHq9CSHHmT/UOpqRukc8YmhACin6REEqnFct2C/T+bpHXubQigml35
J5EWw2ug6aHYnpL9xCTOpaLpIxU3kgFDk0oM7ckOb/MM12Grr2WcrEdXE1K9pqbqoaPhVkUzcUCm
sQMKLvYQeFCM37SWJrh4wPFjoyY/TIJKIlvzYJVmxPwiABN2Ycl8zZc1yjTXPiPIKewlRIUwafIl
b53e8EjtO024CayDYJOQcITvJodRmuY7VjRAY3S+exUPFOeoejr4gAs/pqxd0Ghaya0TlIi7kuZ3
hI7tPvPn5dB7OLWlY9EUK5pgL0gVWBFqq3aNtUyrCijzaOb8VUjB6LDka81rm8p1ZZL71FmzOnia
kuwKGe252NwNi5ex1nGVaDdg1JpM0R4s42LrjwNv7Th3G0vTnr7VR0wAUKHzUllrl/zKOu8I05lo
37JqfJffzaT+FK/5oGn8LWfjA96IOz33mJ0hX1ng2qNrj/4WiX98R3xzdPP5noEE1cUGRTXveSuZ
ZDFbrppvfpeUDDSAaFo2veZ/kb5JnBuJD3ytgnonp6Xe2WSzbecY+YESk4UNZLbXaOC4qrhapl0P
I3HvO1N6cgxv3jVMzE9LUs0b3WaF9QBis/XjZOOPUUQciNt+qbpR5wSuhnm3qg9BmpG+k7f+fT+5
Nsljnnsks42EhqTVNsXehkQM8/hAhdnwy2sw3aGczA+jYWW7shr7VZynyWVpDbI/MJ0dl9JtoEgC
yedIvldil/KMDGrZWrJoHogAjrdNW7sHgAGSM7LO28+2RwdfMpQhY2Y0EdBBcDkOG0SsFtvlb+gD
1I9mN8gtuqj4R1nOy/MUi+IZsWxx6+ywPcVJlJBW1qsCZITPIIiAwuxsoG/DXty3GJf4RTWCWlv+
mYeBOmuNltU/IqPwNyWbG9K7AKO4l1i7bsqbH3Ov6lsvsPRxZqNshLUZf/oUbQ9keWfjOQ/N7p3G
wegUQT3/NJwBNSFv67Y0x/nNyexuXzeI6VeuSRXlAJ6/bjikn42K8F27wtKRzgQZrmrJoOjP1OKi
srZarDYOo2DapH5ymIeyPw+TG/9KKkFLBDhAdYzYtO7BJZpNFZjTSTbBQrDhnB3rNFOflHr7z9S6
cgY2Nse5pcjEBuAyXm0vF9dp6TAgCwPUvs0L4z5Cnv1b4YNB5aRwAuNHCbp11Ye68KrJT/BgFbxn
6r94WgMeJcFLk3IHQFsO+T7HA0G9fRo9qCV3T1FrQrLEM2+HVFN/l9Lv8dFSWrlSVKC8O45ZIagc
kESGJiR2vIiLUzTmnsGaU3b0OhqzZjwEaxrPxYG0LRPxrFsyXi19x1TmxpnDceAnw69gNo018SYE
Fbfkzl5yLbAaUVT+apAJX4RMEowCNsqfTtcpN77rHBQpOdQGV1lx7ulNPhn5REwOmSQzPPzCfVtX
1S2ziBiT/KVrs6DGBFOEdaPkhFW9V5I6O2GrmGG2KEiAndhiuyrgr4Ymi5/IZcpOvrQVxLZL4K7j
CPsxxtK7do2Sjc7w6xZNZenlN6BVsu+R7tTgGD1Kj8pMXzsEf1sbNvgaJ4EctnXrjtulM0jLNouI
TjBULtG2N3siEanBAmOGZl8eHFL1Hh0HdZFP9DJiVSGDV3h470oynI3S3mz2aDIkyFSPlzWUhOdF
idd8SAoPX53ESF3ieozw1o94Zk3WL8r14tYCnu3xbLFTwfNMIjiGxMWd+zIShwXk5yBs4d4ikWNH
o4FE3EJuzGOig2rMIY+vUdxPdwkij3E1zTwlvPaaRM6GKAZ+8cz+DzH6p5q8cA+dU5yKoih/oUjC
Q0wf5UdRRsv7bMCat3xBjkwcxUsXVvYjvGJLdgdhMJ3I2stI3fkl5Ba+UTuanc0Js4Y/tOlmXrjd
2SD05WmbkXPw3Mk/lukoDlaggxVDZZWcP226N6g/OQ48Lr9oxnY/XdOAq8UbLbn3WDsKkTVbgpSI
B0Rl5hVIDY3sCKHMfDCWwdXonOow56l1V7mS/kmCiy4gUtVz5XTtna5ZoS+tkMljj8MZN1sm77IE
q/W2r8v6Y5Z4s6QfpfscVQbikAK1+2oxgvmJShCxsjOhHtDkutfGJ6eCOFMFdM+y8kYAkdxwyYEK
NXkNyO8Mzq6qSSP1qZVflQpNH/H56H7DGg458YLl2huDc5/EZIEsGA8JaIGMJLG0xqTeAM1eye+Z
Xh26fzZz0mRfabmIc2V2Pbv14r3xDUDL0Mgc7dtsXRc6J4lVGYezX+XdNWTc3VLTVP5WbhT97JbC
2VkKjhaEnkBItILpppVJdmPPj9+KFkPy2Atnl9G7sHYBodQ6cvt42czUCu2UFdpP2CMaxHpLTIBc
5WK1pPHypbOb+rPALvjlJxEB/xDf5xkps/2y2Hh5gm1TIwCIvhFMT4OZxTeuWUkhCVAnapHwUyN7
i8J8nrYpzEi67cmoSdcUyCQ/+A3qy2PffJytmG6ARmJVQuK68TXEmmqwVX3DrhqArTQUi1Zvfm80
PJuxGHO5AdkyRAMpWBrIVd+Ybqnh3SaSzqfFBbBybcIPOjLoH2qrTrcK2nSjFmlfM40Sk2yfbIRG
jg1GPPIiRudjogxXF1GgedBYs9Co86DxZ8Xg+TvTmHSXBtaD0jg11u38ftTYdaEvgVmJGRoCZBsf
qrM1oyl9ssw4vEqNgNeTTIkXkssu0/i4O0RA5Vkem/uu5rKYcLquA42phxpdHzTOzngtj/U39t5G
wztmm+mt08g8wshoRey5cbA1bm9pBH9O2uqSaVTfVKa79zTSz61X7QHV4s9F8wCVZgR6i2rHNsGf
MWu+YNTMATC+QANsePf2lJUnVzMMvuYagFegHcRfKYhvOgKCGWoCCgSaotCMRR1VSYwoV/MY35QG
IAN00Rj21dXSnAc40PwckHfjI1eAE3HxvrMwaKakByl8Gr7pE3w0ETnJmlQxKUe9K+0mPAnkp+T/
1vVD0cjgQB9wsalAr19yzdJwTMzXbo7l3iXG5p1wpfBtkJxMDo/OOtFcD3KD8cnjegVGNPvxq9Ks
kEtSFsHijv1GdUX1S+ZVczKHqvkNMhf+wDLjkdVBk+/BHlW8tzQBVUPEn71ZevdY/JzP/ymsuGaQ
/zVmcBjTgrfiN7b5/5JNww/9nRIXfxGW5cH4UHlh29954X83d3p/IXEQKyDRTaCbUOb/CRhoR6ig
NgY4gHREB2/8fyIG1l9c1+X/C2iAa51p5N/KPqSA/b/o8wEMLMcDM3BsX5iafdf//Z8YcWMqirRg
6NwQv0y+d90VBwvM9Zxg5lxbsfenG+xbgh9kPSX2h0zFxwBffWmrtHvIZJ28Q5pl7zI3xD3fO8yh
cyDPrctj1aH+PCwIkFj7PIpB8D33d05f/Ql6m2wy2rHWSF/L14ajauMHqXn1kZtuW1iMxyJdQFjn
PKi3Y2nGl0hZ4rVWY/U1BNLdVWPurhDAJaz3IPIbI0BaBKWKknMNgJYSWphMP2XRk4mV2+qF4JP2
ohQAoQP6eCGjgFnLyoxgN4RDtBmtxhFbP4Mdo6oN0kHU7rhmPpNH3sBx35A59zy0xIqAvJsct0UT
r5uQYqxoyREIe7b9Ybap2JaUCec6SyXfUvra7+wqtY7L4icQxIVx1/V0m/ZxZH2adMtvB980cNkY
E5LCrKV0rWGiBs1HgqrXWMs9iqhBEMateqhtxLxVMNzyQZHWNv8knfaJm7W4IekyjpPrJL9b/B6H
kEo4uoOn8dwALfIWGjOuAWGsA9WKe6fqq1vkN9d+cdTF8MgEY9Ch6M8o0Wp2Y7wjQCV8NcmA3M9R
F9UrIgRlvfZhXr9k1/vvqh2Sa+8ZQbVLq6amjZXWC0iu0Xoz4TcR5pTe42hI8z50q/Z+HDsugaE2
+l0fukQkJiPv2hANOyP1uUGcquMTrsW6DhF8EsDXY36Dh3Jbp7/aol/2eKyCddXQ30S+Vn0w6jzY
kv+bHUqwauYhN71aaWru6Bmi35w02PfJY13skvG9TInKVll9JfdYrYU/i+vSFJ9GPE3rnFXpsQfU
2BAk1M2rNOF3jZFtbe2wNndYi8lvJL1lXdRddwygYFZW4UUbikHaA8Uz9NZF+C3ua05sAHwCfpss
67P12Iqeozd0rrO0xDbouuZxWgL78v0edFbV3c3YXI9MvfK01LzyuQ2bDXnP5BksgXcnLWYuFIR3
aU7tu5zmrzxqXwExHPCd8EgsVL/yra4h8r3L2Mh6c9uUTD/hFL0p4U3rQXT1yZSuWCUOnw/m437d
RiYddjp6bDIM7ydl0vhyZVasBzt542bDRYaJ5UjhExmOWXQWwSB4b7txb9hIyeWSgdhYw41553Ni
WOuT/ILg3fwyXRZ3d9adPoK32vwFV5/view+9DHtcWHTPtctPhczctXZskDI3NJEzR2ku5gUpEz0
j+DcHyqB9W15G9d1Ot6WmvoRn2SOdWT01T6sJ29DCoG/Fjprvu+jc79MzjbqYGibobyraCvG+On+
YctnhoeQpyBcf6tRzbbhHQ/avDH4HLx8ICkfBmQ98j1fkQxGst1oyx3c4Q0X4DnOe1ybBFEHgpNI
eAuavjz6mgLvMKsaPS7+ng3IcLoplfM+D9VybioU+IiNTtlgn5K0+qgTcc5am7moeA/MHE+H3zUo
TUWBfq+M1hCVTHocMhYojD+W+xDZYZEToF22HACt3b1WAxWfc52pbQUox2fsMKnnIvz0veDshPOy
WvAzbIKGLXaakvu4rbb+kDxExMLT85Tt58q+b4rmN1P4aZmyAy16zbqT8k7KgPRu4+i5aX4hTl6Q
XsK7VA7Co12KNrCROMX1ZENOMyqUq7GybUahuKDpi/4yWWBHLyqJxt822xMiS8He6Q3Pkx/jObTy
QzkahP1QOpUVsz7NrAejdUjsAjrfKMf86uyC0HCAzk0dznQyjRSKxZwjoDT0eKPSLc8zCdaCdMey
dn8UMVmblutyMDszjHTk1Gtcsd0B45sAxnO8Az1cOII6Vcf6mjla+UikONv2DrTlORGWjREHkdWC
GHRDHfcD5kQ0uFMYbcmOqnEUBYCWNnFldYB9gkyWVT9mn7YQPxinLHBqCWSU+kSZ9cklp69Q0OyV
RuW1iHyFyX/GeeS39SYpmLAxFp1G+C6GXRVBatLHRilBDhccv/gcgmQY+Ds3mR6IJ7kvDcNceVoC
JUf/M/N8G0a66J4Yyx/yPv7C8/HAU3nsFoFVxnoy/eUuM/3fdJj+6qBhqZa4uopsp9ok8NYmT77L
rI0R2fduWL5CkT4neeOi7WkuCLTvVB2eWyaRje/mL23fPs5lcXGiOQAraYtNMtjncYmutmy6M/ma
xp6OzdvgKahDWtHD6NQ4cO4ujnNhe0B0nbk2ez5ketyhqTBRW/6SEBSiBnIkC3ud8OpXI4oA27Uv
bliQd4PUnja7W0A024ovuha9Me9mduutvTny127SGfu5wWzRR1jgraDbIdmWK1NSC9mMUb03Ca0N
HJBGTC9HoiiDh9Ed7puQid0lxZFkKtTHWVluaYpm4+PZW5GnSaRPFOC06fkS0gZQ6rmeoK4ZQ18s
nccKc8HWmXmCBpuE5bh7niN09wvxtiunT/1tTBl6DSq1tiuQv7Y3n8YJedsc0IlVZqm79T1tzeDZ
L/asdxWnO1ELYzTQbG7oOAb+PNbYP0nYzBsUZc4ul+mjbxYIXnIS+/A72kQuRyWbEmrnqkrILqD5
ZCtN69aSNgO1uHSbOTATZAHEx9DVmG4CrGbWVN+HZtOulkiB4MB4d8LRzYgknuPhFhueD7kOM0iA
JAsRzsWMRASrkoQajfU+pLfqEFeg0dyXVACkGU4rNXD6WuqGytPepr77x7ZwuU2Euu5zGxdRGacB
qvXMPIwu1QmVO35R7PuDDxTyMXKB/czmV7AEKQySrFf24CarORq/XEIgCD7F5R8lU3LwG0mFPXv5
1M5fplTONo/j9ipmOaErQmIUSOATT7k2Jk/fBSsTjEYg9OuyVOVpCix0PEPZck1zZCDESX4RDNFu
6fKK7yfcms52ibI6BCkDmB+jjD10abNDlbj+Lgrw1ucBg1pSAULXXRqdSUwsdi3wxZpOsWhnUyKy
aQQWnIxGRDbXRa26uVZQMiP3UVYFZ8PMWa2HljRqugxOGSW2zwSRonVIOlRj7SCPXunU+3FWfwAN
za1r85FEQxPvWxymhywk+tszI6SiovtEMWk995BLq4oSmK1Ilru6T9t1L/uazAao3VEYj/6ccH8F
I4rPDA0EUW4bZqXolCSGsSU7JDxZ5Tiup6kzdxYZAySMCpTQ2HSEzGg1nwsyZY2ajd7rF+bKDF8W
WyK9JJjIvBiFppzSaL2wjz8uRrv8iJscfr9h0HVjLoKxlkcgcgkUXX/l8NC3kkEQL7z85Ri0KfrI
5ugJArycCvAs0UTBth0xNEa4lPfyu5xGqCnf/l/2ziQ5cuba0lupDeA3AA5HY1aj6BAtyWCb5ASW
7ND3jQPYU41qCW9j9YGSSs2TnpmGZa+GSjH/JIMR8OvnnvOdeJIDedeKTzY1Giv8kUiz0HsTf8Lb
cC4UPZCtmtghljdVYGc3WTuos0Vw6IkVLCbZIfiqteauxyfCTYK6Pa9zDjH8gNVQ1XQc9SZOIj1B
317qgoIK7WrSzGYtshmUXpqEFxye6fKKZIemyuS1IWPLmDPAXRrEzRgNh3qOoFyLZX8D+KZNjXcQ
u84tp0cKxM6x1i7xsFPPewNL6UA9RtL+rkT9m0xjtJ4Lr3iIKrvbTppTbKsAC782olx4jG8Ps6ru
Ta01gxXPAXNr5kNKtwv1QKYd0LCAgLVikWDggjP0tQG1xq/B5K0rYtEXIGNc4L0cGSrkYOW5SmjY
i8NjukzkA7P0kXhniVsRQZKs/z1YqasXshcZx6L/hf+AMBV8dTIsksE1moJNE5Yn4pn1mhhVf5cZ
qkFWtNItqmFwzis9+ZYDJSGOTS21jUnmscZBtkd/LHzih+Gd2aVypwXCwi1FJBgH4y9lVbhWrIAy
JS3Nn7W6jNbOTJ+fppmQVoRldw8epTPrwkYqNkebjqiUEomNMkb3q+okj8mh6BjW5mznATw9sXcn
x1wayXu6FDo1dj7vE20aLsPkkJEs6b4ak3Zb2bpzY7EQcNM03MiIECfroeY82PE1jaIXFpPZa8L4
+pw13p+6+v4b2CNMvAz/WurAHhEX//G//pnawd/7iz3C/sOVAAno0TEXlN/CHPiL2kEHGsMWYodw
LedP4MD/y9XVLYeiWL4eDJYrF3Dgn/0RcAPp0cU5gZPQlMa/6///aQ78G3sErCxUDkkMADcGJn3n
H5rthw4PhtQx+sV6N4AadaZSRlsTEzVM9gC7TUa66ESvCTwRoTzGbs+Lb+LELt64cbgj8RVdW97i
qCJr1fTaVevCcJd0QrwNMg2zjYqaueMCMmA7QqqdL0leMe1aWuLCAmib6SaJk3LZBTu6yYGLlQAH
mb6xsJE/Ox2k0A5UCgEXl/RML2ZusAM3lhclteCGqtjgicqX9C21mIy3fTqZ1GOXGoUGlDyV2a5v
vPTXCHT/pTCIqmupCJ69JZALCABjd9LU4mPO52YnhighQcvD9SJF5j0Mtct3HAxOtqkDN7l3zYg8
uuEmhPz4ofMX8oATG1zLu5uaDP6Au6TdSf7udHYIC46P1VZMJxIF5PiPYtYHydpM8/gBy0rx3vA6
bicPqEDkWTXRzTk/aeOCS8078tPy0AZWHR0JjWO6UgiiLKVwvRbbOLeML+HUbHxB393wXLQZoVK9
abbYB+kGJrqkD1uvMObj2KfmPc0Lxpsg2HiT2RnBbUPGzyBR6MfNCGm/zqMXXk1RzF8yHCk1EPlU
GtBZh4GwgwwtOnM9PdTWNrbZZD04ctp3Y1ylvh50sYuRvecpFir4DtxpB0zndZPFm7RwaJNPgObd
p97cv+lZxXU9JgWQsNY44BSoz53GNWE3j+Q4bDNgkit7mR2ptS4xvCfR5zj13R4znLOlmsxmeTyG
TyARbL6hztkqjaXJyomE/TtM9PYWO19CxLzgbM57BwJj6VbAYKxEzQARYmgwY0EYkrRL/z21SUOQ
REXZywh8+EQir6W6E5PGbuCXtyu4iLDhpdfAV0aqDobhpV84MO3dGJvOwxBGA0HeisFBtwP32pvc
xzy2bv4clOMrQrsCZxDo81YUnbWbEkzxK8xFvLgjNkagNDzYMUykd0Ec1jd0rGjgDZYvirq+f2tn
zfJjPrl+YPbyew6beRfRYbLy3CF/tNyI22TR4URZtZPVnBTZsnw1xAiJJgHivd7qmLHdAaGgabr5
4DZeBJm44odH+3YpumhgEhARDXw5456mPFzUZ7vF8QJSID2FQc/oTkhE9/XCTnGXiGD5S4H2VMdN
/F6KwWJdJrUy8dvQtU8DUMZndxgjn9W++ZKJPLsf7DGDZUJX2CpiT7qGL8rIWAOm2NhRFj/WTZ61
a60M7XjNtctYONzVUoqn2c9pVatg7024Ucaytw8e7E0y4dJ8w9SX7ZK5aNrNZOnB2Ztnk8+kPhpP
ltYFq1irQGrqoTxomcuEbrraCz2GWKeASQw7oJf5lQTM8AbWfHppwLScqyhxmJSgK5Ur3tzRmo7t
6I1AErUOeHAGFmuVjpMIZOe3GWQF7JUGo0ijEu7cihoIK7U9citApIGLx1f6C2nK5U3DLFKC/XwH
Kpn5fSWCdwM9YTtbsvIxppgXJ3FQcxG70jVEEPU66oZpbpLaMo6Va7SnjKGPjpHINe8nfAIX0vOQ
pKN+Tn4Fuhbaq9FrxpvIjbRPPjfhFiaIceDZQRhEtjI6kp7q9lDm+l921aevzjDBbLMsVuvm5C6P
ndbdYllOPq0xDaFzREb/BGGJx1LYyfno6Gr8HuNuXFL39oXdFYu7JJuJQDejYJnljXtBSfJZObp8
BTFXUD4wsGCZveQyVbnx1cFOO8SBC3EC08hBem7k95kOgNntbWNDb2RwCRxoLrngqusa1fCMlyji
sVOWya3bx7NfhTqG6DCwj+VoE0OyavmI1IUCUVawuY24M78DzZG/cBfMxnYY4xhsX9K6OYYXiZ3I
03RxlxPEtDiIdCG25Rg8B7ZxqbF6CZzKm1QzlZ+liWvWe9szKIJh1ZkwbS+wQpc1G656PCXgUK37
cvGZRA2MUWvxnlhEMWg9Xhwp2eJNwdccbIPFr4K7GavG4mEhEtD8QpbpkBoK8UyRR1lvo8XyQkMj
7hcnyzpfBG30q6JD7bUHObilJrrbZIt1pu9DioQWOw0IVGPxhqg7jV/fRiNMf4Oh334R2Mp9HqzB
vlzsOW0mqarTtIyIAuWk2xEsItOyiQyz+HpoMJ8eZ6+O3mb+W9tx4uQA0MPMGzbDl5vX+W9D4T1E
oEmwuA94jnYulNxDarl0G5Y28pxZhFsi486ZrUPs656CLlu75RGZlZtQnU2PSeJa+3kxLtnFVN7O
ocENsHWTnbkYnOzJ87ZFl0ffGXh5f1iMUMZcGj4qFe4oczFKtYYyj64xRXdR3g875WnFPlysVVoU
zifNxW5lL8arZrFgqd6b76OyL9b14tIaGWJ2di+8IywN49LmbugnOk4UxE+IP3mHMhtGOrqThs1n
jt3+nqUIhjCy/PigvAIWWTnoNSdIoqGUVBK+iLegRug9RfcwQvgjMxQPnzqkFloAD9SVHVsVHgOV
9rvc1sY3mnXYrkw/WBPDoZNxkjk89tic4xDAygJB0dwmeTOMvt+QVU587IBiU6jB2Wt5Nq0McE5+
NmHHiJCjn9sExko4oBVEFV5oEIjeOR1HawfEYFhrQ6j5DnJzufJIuV+strW3CPjU0vMB87EWhsdx
rGvEQerc1aTGAxtZ03d6EiCWtkBFKuqOaPCWxRqTvLfNNdu54wGWXIPQUZu6mZHoM0qG2izmp+c4
9xuFdGk4wrwCeCS2D83vZHdGeerYN7BYSvWNrgzl15R+7jqobDggmchMINArWAsNLjKWtHXT1jvl
cClrt2D5aFQ4JalTHip+6kvelu1OaHl8IppoHWzumTdhoIc09ZjFrTVgmGjJDO3DdBZ7dBqHPYnE
cp4ZUeSLfta/YOyXm0QyqQ4GwavRMrzD3NOgaQe43dYaTgcCRsG8wHPYx0iu88WyFos4u1Z1bdmf
dRN0zzkADujr5eyysYH/s4JrOeJUmselzwyH4GtbzOXLCLkx22RWEdIaP87ybBFUfMpsW/scKg2S
VdjFIWHGsGQNprHXU31QxXvCXYgCWTYVX/3Ul5xHeaAIW3lV9RTOhDFhydvNfYHcccdEytsx5kP5
bUWhe5hF6Ny3dTC8Kz0lGNoFrY/Q0u6GLCE/a7jZsPPKCC5f2wrCp+zEnhxHg0olYuPB071Z7htb
JMY2MV3S9MjqOgqUPlxbymGBouJy/s5gp+Am7ob6vrDG5HcZVaLHbkR2f9UNOo6p2J49g/lLod46
SdBS2tnO9+NkdiwPSAK9FWRonmjdTKYN/afiRGucRvJC6fXrzzXs37pwXmKirG353f3P5a99lBVH
bxh1P07yv/6v/zdd+yZ3tH99Ld3EbdfEXfk/1r+ruPud/ZNlPH//L8t48Qdrcx2x8E8d3H97PWVP
T25d4OjnKkrj91/d+1QUCptAtwvkA1HOdf66jBfA8F1upXwBBn6+yvh33Pu4/f9xGY/RWOASYB5b
LsuSm/XfLuNxduTaPKbDBqY7Azu9YoPlDDsbMWgjYc9jF26xzvJUFmS1EACNC7npYWUoAQ+117bu
YHXUQMx3Ey5irPvTqxV7J9mkb56nTkMnrp4FzwUyzD5NCblBRNg2TvCSeGjkelLf6g1B0qByn7uJ
6uLQg96pk9VsECVza5Ywm0gOOa4aWMjZJ9OOqy39VjO+fA4J1fb1hjZqcU7K/BoFOuJ7PZ1YioBU
8/JroyLuqU1a43MEik/KMXvSATccJhpd8E7WxjqrkwnIH4+kIs/bVdCK82zln0Dh5nVJ2vMSLcjz
flB37DbqzTTr46asaqxJ+sy50hwtHPII/TaHU1jf2TylKTlxm/3YI6LWSylOLjvaLaLoanTF84zf
ayVjnnBaXt7xaxm2Udzvcyu8snjmKjqLRzvHi6Ch1R6V7m1xCtmruODSx2ud+07hoEqb3XMxUogS
jc0xXbhb7Mf0TR8vlVEoEhifkxKHrmfROUwwNCF1vzMl36kOWm6VC6HWwPAe5o7wfYtF24w4xYLp
EqX9dcLkvqLvna2ixaBS6Y9mJeDE0t3NmbY2R8KLJkuEiTl15fRU0ipCuQQniazTuIDV1NCeUyM+
eVUwrdxMvKT5nJz6pv49m+TGa4P7RcbIsc5j97ULNQTTmOlyMhxK0gabJXGoa1z4kg/CkPYmHpsb
4jEFvChj2/fFnja44juD2wQ1Jh/82Jr6LXi3ZK1PxUNbps8mnXAnvP28pePwl8ryxneQPzbt5MUs
OwpujxCsDx4T670sjGgd1/D8IAyzN6iGG28wPuaQIh5yI2ujCwfig3QxwEplruHXl0j7ij33iIsZ
q4lLFW7paM6tTvXcQbeCkeMFN4M2x1tJrGxF3IwHc/pcefETIjAQwX5cC52+lQYK5AakIHWMCZv/
XKbE6Mv5PgYhBSnVyZ4kp8Oxb4S9gXl1iirzY8EcG1Bad3pkV9tGsWosqb+kq5h1ZmSx26FNaB0H
zQ2jllgTnWy3KujfBG7+FQKVCY1P3tIME62jMHjXkv6FThr2FUPzMVvpRz4vEMcguyjNeXGa/BsQ
+LClNW/0s9qEbevCxzTG+FRW6kkftN8Nm7acG9LKiYduOw+Zr0e6rzwDo3ZJW092zaEgr3NBfanL
FkqW/TvPo10O1yWju3CN5eVurpJ919S7KMTEApN8GNILXZrHORpOUx+da3SeqioepkSeKE7lfRzR
I6HDlu1N4Qd5/xZ45pcBLGKsp0fH5Z1paoi8GWjauCvOsNB4kVX7BUq5JdLZ+R438FXiTI9mYL50
rVnTyACNuMMcaxnJvWUKks15znqdJ1XpDO8iYm2exN7N2KWXFJRUlXQkXbqC92srSESH6Xtsuo+q
a78tCyBCkFHw4MRHqQ20UFOu7JTHcHYvANCvfZR5RFKYkEI3gWpVTGc3G6naiIxf8+zgGvCcc6wX
fP608j6t05PeuW9NbL9bWnDVRq/bhG5z7zTO6+QMH7XpXPMmvmMSPGJdIlFp8QgAtg7f7SboygeJ
DSTT53kPias6WvGiPHIHngb9WNDhVDcKz0sXfMx1c1mifvPkYQ+OWeyRHEZX8MumuKcr+aTjQabg
xyQ9AG6AdQGdo5hQEmpdqb0YJD76VKt2iwa5Mnfapq1ROgfwX84C5MyleKsmHlIa1ve4VkB5Zlzu
puudHDdx115MutfjRr/CYkp03c15QrfxZxoH5ppPuL0ek+qaGF68z8gRs7eKc3yrYJNIGcs1SszJ
MUu5ilPUFkPm16FgkZ5m7IPFdOdMs7Yx5/Z3bcfknuzgITC7g8GidT2EttqyuAVL6bQuuS77PgPU
dizw9jr1/NFl8yt5ricegoe6ZxmULuWOoDADGsWMlHBs1+2oduzQpZzGhydwkjEqgKEnfjZg+C1D
tRdLL2+Os2llSn2+jaJO7kpjfjILJBKTdxLmJ162tsGpRhYtvRkTUCFpO64Bdadrb8gQkKn42rL3
myBS5NfA0eNTmxj0OfV8J3bB2rIHXKBx8Kww+qU7Wr0xaKtIcd5M7MlFse5U9p013S0MfPLlg7TO
Yk7o13I+gSH4EU3nKGg1T+JgPqP/bKEX8tAomf1bPoyN9jIaxOQkeWqA4jvayPkQYgB4Ctl5vNWT
gRtARLe8Wiy7BS8LhqVXNZCgw7f4lmJeZirF213FEpsB0eFNpQU7DpPt/59T/870+V/DnOOP6Pfn
P9ue/A3M2fnDYpZkomR9LyQ4579uTwwKBqEnwe2ybUv/4Tz/eXsCWAkXKW1MusDzIgz7r9sT8w9n
+TM6lxzKQixB8PTfCJday7//D+FSabCOsSRYchhPP9uVv/GKRphFio6U1sbCD7NJOPGpsDMHXHXZ
XO9zhKvb7CcsZA89wyG500uxZIlq1FvYXLF+0UyD3abtZZd+mOJLw4fsEP5EktpWS/fZKPhKq7F5
OxYxKigmSLhl7R1kjtt5NjYKZUdse0n6ggbu0LprfmQvgExIYFwckcNm9opc44SWzWt9EcxKU9oH
ah1Q0TSSnI8oaTX7/9w5MlQ0NFl02tlKpffLFfhwsDpq7sVNp3ofRHX4wnaD9YBuVX7duvOxKttp
lyfhhJYQpC8NbTy7sU6NOwuL6dEONWyYXWoeUMXYLC82B7Ns9DvC8/qezleytm3Ocdkv8iIdJjbm
DWf8bS/io5XF+lH+KJLZIk6WoYNOKa1ifhSAcY+1afbnIOooPsGq2r20XQWGN6Avux/N6WQtIqie
CKi8sdZ2ew+Nf1oR44KTOARjuY5jWCa0yyrfqWLxiKuHaGdQiPv8R3nNQq09xYsci+kEZbZdRNpu
iJgSfpRbGktMuDVh7euLsBvUZfDOcZ75Vh2271UWFSlO2EUNppo6vjYEJM7yRyxeZGORNc0+XaRk
isFRlUHx6V9uhRVqU6B4bcIfBRpEVvTGqigieLoo1DC4DCiSGo8usUjYpRepN3uRtaVCJoOwgdYd
2UH2WxTl/F4GI6GBRR7HSsOFfVxE8/hHP9e6fD7goVWP7iKvq0Vol+zN1xgexnhDhAs3Cc3g3qWm
vDZfA7JKTx5cwvMA0/eTyRD9Xi5SfrWI+t2Pvt9VFsjbGtcfoTMWAFXopPeeE4qXmT4+P8nD7Bmx
0T5pVcGZXfxsEmopCQ0t64Whi01yJHAB9tjgiK95yyaiGrwUXQmLQrEsKgweAxz7AeJfCdL4opSZ
f4MXzWhxT0jfBboYzvACdBwECSOlonUGxpZTfKuArfvKNaKW6qxlfcLwzirFXbYq8C7ABSybltwQ
3BSHwS38IeGKVNRVi21u4h+F59Z/4iqob4Y5z+76nz0ONw2MTsmQ9SvRhMYVpzAOMWMcL5aTy5bF
qo3YntskxemcfBoajHa8aThHZ2tGycmEtHc8ztIv8DXM58vSaTHCaasGy8JuTAHPND/7qWlZVSVO
z9LqZ381jFb/3XEMbtJlvaUkNYOMv8vWy3QHXIzBzzZsEins8GVFZjM2/CZrNyIiLiu0bFmmDXYa
PlXLgs1eVm08r7r9xJLzs6F/i6AxKzn2B2znpmVRp4VtJFkQeP3JphXrCAO8OS1q4MbN4uEtXhZ+
yZ92fz97wFYL8o9B763q2qe6aRwcPQIzBZKl3iu819o6oUAWlJYtxT2qU3BDpAqfpa2PgDMcoU03
cQWAmF+41PZp13UfrUPx2MocbKaDMsytV0Ce2HhzndB6sNgUSRdBoMRxDaKLARQqOehlT2y9GbFj
m1HpYgOs5PKxghbfKRzKRo0NtTEpO2ce+PIKWRwSiiHOshmGfsuSDHUM8k35wuuuPcNoyiFQFOHw
atDWaOxm3WzdfacWi0o9Sv0pG/WCHo3Usb9r3QRE0XD7+cJ0zjXeaUvjxelgXe1A4umRH+leH6wd
U/Gdg3khEhS7zLTsfYrPqS2Hp6qAo7mxZRodwGTyf+klBhuWXVrxqYmgiDe20u2rsiczWPdEG45t
q7D1TIod87riFngJsEd9lHOJ0xe0GHAjHbawgqBU9s6m0LDzw+eAKH07JEPa4aujja/xaoO0vNIo
HojCr9hVpFMp/qwCbuSRcH1p5+N9ZNWk6kynGL9wWRkts1/Pe9eC8XdD8zxxqyAf0zuNye8taONx
puygSQ78/muXnI+LKVFXcf+deT2LodLgCcqJVbWf7Sjcx7S2Zhx8Kg/f+tHTQDUVdJqABo/ewhzb
NcN0c4dVLvfpTjdq4mdudEFVxslQF0LpCPlG/RCUC/4EH7ITbWlwmmwCvn3XMUHa1cFeHPkrqbfq
LG0wqBRyS/O1TIowOLgMuPampauRAkBZgs2sWksO64D7xBenlfulpsWwpJdRPJ6KaapwtqKmnSrB
/p8XKxv71aS74jHqvfyhiS3zCyfWZB71yYu4w0ecK87k4jlqNb14Ip5n2qucz+GDOc8hKHh7mvRj
TaqbWiN3AhnnJK08Vy1rarYBon9bFuBvS4vNayWrZgvwqLpMYlkEzFUZeOtxCdGh0cIMewmEF+hb
A9p2cgzpta23aaEnoAFC7dYO2TqtTbcHQz1ZeHSXeAoXpE5vouoI5r2UVM9kXhN7my6sXCDXRuK9
WvgSHzt7CRgbbml3GEiS7Iog7OyTVHlPnsH30+p27OMeZKVKH5XYO3H+pSS+bu8n19xZRFvt1ND5
uVgCuNCffcLkqZ95Rf/bMFx4YmY8r6tq0PbcCcxrgST4ZiQF0nLnEquGpCYSYOxN4luW5n7WhBn+
2zTyCUTVf60Xr6Py4z/+939WiZe/9ReV2P6DrQA5R4q+F633LwYmh05wwRgnuag5iL7M2X8ewd0/
bEdCduGPBQqypzM4/9nAhOKMTZbYlWT+tg3pmP/OCM4p8HcjuGsJxm+aTflQ6YBmyID9vULcKF2i
DtUm1Vqt5QHq15yPsbTkh5nz7sI5k6GnhKWQ1zwByiDGuD45cejdhZ5IkbTiEYWzLUXxizQPDG4H
80ugatdbm6RXGATyLnwqETqw6pFxRkZstXo9cwri6k3x6tmsw1n2JHHzFhQ0NWAj6cODCxpOEmJp
ohcrjev3ydNK39SG6JuFNAmrVDJGrIQqg1MKMgUyqJMGWx2USLVSiTUsXnQBfTCN22br5HUJZKvS
CDp2oTvzvB1NcPc5jpVsi1I2VmSBsukmIlH9WaSAm8CasGKWufS+OqbhjmaEst0stvDNPJrOFqSB
AFbWq9mfo6zElZ8qDoSSFdqBR1xn7UWJfWJFl1p2aTUA77ljt0dHG/guu07dK8Puo4upS8mimVDu
bwZIYq9CVycLy8SdrunyUVpKIAoJL2E5raFTUWVqXp3U0hFT9fyMfcM8APCA+kx07SJak+uTyndK
pDknJwJ0XXv9S97hQPJbHDe+5UUUskRgw7m7xBUjWplsW+rhqLMWxJJoCfFt4fIgrOxhZw6y9YOp
G7AvSRMrTKeqZ1wXc7Yui9S9KYwW32nTNyFQAgNH1DTk9EA1LvP3TGKO+IED76sW8ZE3WvKNO6A7
43fNth44s6+Mj8y7Oeu5X5lF8EBeGs8TaWyPky4L/ZF37NlawlOtl9fHNKybBybm/GjqbbLXO9U8
auTJN41FKqIBWXEcif/42dyZGKL4OvidyMwpvFq0yzA+cFPOdjO8/mwtm1J8a9It38tlzZhTGpCs
JtuobzTluE/03sWPEbCBQ9SjCLX0WJ4zEnhrnfvakYSF/PJox8BM5nR3OR/gTdU4bEu4tz72tF0T
1OvCVyPqiwuCsdgEcNmg8FGCTO6ljfxYC5y9VZT1bYIPK1rLUnh7WnGVTx1B8W7FOLbQK6W6M4K2
/UoDWd0JFbPV7YV2j3JLz602VVhmWH+vRtJXNznB31OZhXxcAyf1wNc29nFq3Pa+5Y2IHVDV2AXn
cU2+IMZnK5Tx1NWK7A8DlP27q0G1tyEd3RWbZvbDo3aU8Jq2A60zxWqET/UxkMp+dmn/C/wgnrVz
RWJuq0H+w7s89PQaYOjYWKOVnkTm0skCBybXVwlb5hd8KDl9SMqtdxOhTLk3Z1S5WbApoNgb1Hlc
NbF6ISGIzKZKOztBFZ5bSpcyhe6Nov6SxXhY9nbp6iHugSYE96Jk+j0aevs+A5V9bWDX3fVdkjKe
imaxAQPFvMk0RDaZAcdBFjarz9gzpl9BVmMiZrvuJdQ5zEnIGyLhcmNJ6DHYiSwVolXOKZm7oK5g
nNt8LEtFmygSX0wNSVpuczWkv6H8g8Jwe+8pbJr4ZhSTfuACM7i7sWjVUVJc9x525nQx544Zyk25
om1qqNHXOnTNy6hUy41JN49OgeW6Q368TKleL+br9MMaBmMNHWj65YaaPMi5ttlqlbV1tkXhPIA/
mO+tcpovIqNGNGptekQtRtUHLe6Ngw50kze23nzEMsf1rGpul6yVg2EX9PpI7DYP93XndicPD+Fr
05AYaPFDfwKRKjEn5AFJU6UxEYf2KeADBJ+o7y+uqp19OxJ8H/p4+tZcp72H09IO7DiK6FySPuOe
zfz2wA8SrQ1dVmdQSrhKZSZuPQxru6TQ1WdfYK/ZuI0KX2bbna9l6/U7purpiXlxjkBaFtWTJ8Vw
bHLahyc6bU+R4dHDZVf1c9dpDcVbFEMIXrxxqgknjrH7lAdUxUsrJwRq8RiIZQXawXsJjSzyZ6st
zp5M5ZveLK3T8Hd3tZnLr7KOi7MregNtFck6C83oQVQqhoY4D0dpasCXkny8JbuUyxWXdPPLDmZr
k6Fp35ISlUz0jV3KdVl7xTEgy4/71QxvjF4rT63XcqFsdVOLN/ivsq+8iUBYKi3Q370GS4Vbe+zG
hojNDmSPOzuLpF8AQdyKPA+fQ/iAZ3qaI4rDBL8w7gwVjV1Ga9/IjG4l2C3WHWs+/FlqjlL2linP
4ZgbFO+FRGUgmfj2TDHX3BbsaJtFLuwt5lSgbHHXX82RbSAJ5LrjhhkJp1oVIw+IVaZPxmGMG7Hh
okE90Ogl340XO+dJFIJ1S1vc0zdWnMVQOkdRTgSFwSJ8m0qEp8GY6mtgEKpYRXHa8o8ahcVYzdDN
7ybiWuKG4yEFKHdASVZHI6glQH5Pf+KEJjnOJ834JdJeX2cVFCaHjs6bjvYYPzAGtSey1/qG1UDK
5uOLhbKgJIJ0N0/ZqrI5Z6fkjmcju41EdiaZcHrU7TJ7Ijcjnu0OpHNL0PGMXbv3o4Js0qrXZHwz
UGeJyjb32wQB52Tj5dwpo3YitqlDtXNn13hKOXgOUhmdvYpqqGgDTRsNjQ1pu6brJTsEGkZfDRuI
WuuhsuATReI7lyG3oinrRL62Oi/dsnFU9maW0D/uQd9M+gphjkwSlijGf/fJMFLTZWOh4jdj0KPn
kv3yFjMazWNYmpElUzV/hvhsNz0JjmsBncnPDZJjbiqSlygjO1h7iY5RfGy3muu6lLlZ8tZMHHXX
2HPCXruCsMO01DU7lsHhNm1ls+XhLO9VIaddTPRpp7noHyH2laD2sWVXdymEnJPrQRNBq1JHs2vD
vTF2+yLI5nTFBzk4O3ZmH1tRwg7vOHo5y6KNFzk64mvOIdz22fg1EPGTTJtz9JC2unq2YEB9A7N3
SE4GA0hQO+vfI88LnpoMH0DGn27mYspIdQPU82DpkgtlpaWmxtuE9jj8qmUE/y4paHn3iom7s7AD
HNR2+UWfRr5N2RUd8nrK9yGFu+xfk2qnJWSFXSG9z17Dbg87uWHv3Zo/3B0CL5jaLlQOqNcmdbud
AQya0c6qb6GMdZ+RnQKZLyhcWfWT1h81T4RYuHW7fRaJkk+C7o6lBzOZ/bJLOp8iCXQhQ6kDC3W4
hZlq4h09cGZxLArdODVu6lxZFb6PJa/cgEB3ifKk9cu6K9LNsmOHOBOfmsGJse3a4gTBvj3VA8K1
0yr9N09z8zV1LXVHKp0HX6zGT2o6OcKcthHnSFtc4QSUb/JUK9kyBf3vSDINr/OqTfJTBkhPrLNJ
rw+0sTcvFjCVK9O/diSLg1HZTRbzhMlnknIe+qnpXSifWbTTBUbw7ZIbuPUH+mQughTuh9MYsNkq
OX0GWQSjO9HH5Timyn7V9522B+eyl7GJrjKE2QWJP+Z4Zcf+K4yd7LbhmeJyHY1MyKYJJ/sKHbE5
STflLtKEOZlfLVr2qXpQfiWDAWo3ISPw7I5Rsp9bttqd1hovTU0xSs8IA9MOzWKE+HCXTKQOUBrc
9spBQJScV9dCK5lN9VTEpRayj/fcW06c+ezUPJ2RooL8+H/YO4/k2LEsTW8lrcftZdBiWNAO13Q6
1QRG8QjhDodWvqNaR22sP0RmdgUZUcHKYZv1JDIyHh+h7z3nP7+4lZKyNxYKwQEDMg7g/EpSX1SG
DWHTDfIz5j/pBzE/wieK+47FQCizY3UTW/3vDTT0qvhXsf+7puRv1y7fF+m1bbDe/EOjJomSwnY5
K0pYOknJ+D2Vpx7NGzA5arpcuFlj+kw2GapM2fpd8/onRxHnX/Nfgpa5H/x6mG/2HVJ2vZ4Bvi7u
ItBON09woePhK9nYg6d5jBsPyETtH475laXEMQ36XNhSXJ8hcInfLk1tBmbZo4GBhYMi1m7sy1Fz
3gFP3cU+83842B/uIwdT0RTpAui2JhpzQ/y7mRNp4Biq5+XFbVzRk1zRkU443zjinRyOvvZ2Ccm+
/JcvkA4ezw6Oa2gohYhA/XrMqSDdt0X1N77TGQWNn/qLExwRO3cgszu/XeH/5+/9L1HgiZnKX85F
7V/Na/1HOGb+S/+EY6R/o10zJKxuQA6/asqUf4ORZQig5QrJMr8NTP8ByYjCv0HW00RTFRV41PTZ
/xeS0UFr6InZDxibyvzUvwTJyArmPr/7BFVCbSDraSZUKeRLXPC3N9Qo6qK7EFXgyHVhvM1JIeve
IEqUmrFUPjV5QfpJImDMoUYlhfpUsJgJZEK8anh+7jqULieVfCm/jdQMaw/tPEqwofNoLZgplV0K
dcfFu8lwwDEJuiwE42r6uICUJ3yBx9LOcHBB237pzh7QR+yl56TBoRTf8tKaGH763QCkCbMeKS0A
9ZuRQAcUFqN+pLic1mKnsWqcm8UjoaLyL2xVk/cEp4rVCCsCR5Gqc0wtZaYzlM3uyoiVnh/hpTOp
mvgAnThbt+Ni9AYMDbfaVcz9nGsH5ZaV5FFOCqOwZQJYVwondRpyHbPYpj3nzzU0j+OIZVCApk20
o+Y6hjBHEiTAY0zS29AXj2eT7dkgmmRvyIr0iJFu6fHlditzxB7LUsYaWfvATwUXUemf1JYeCeKU
uvBu7AtAXpfmk9T2DqGRgS/PWZquaA8k48g8DLJDLN8u+6ghqMfUcR5GNdyUD2PUozIx08Vudg8m
bLSVhce0wGdSwIAAVVolLUJcQKVVnixgFOGoDuMI5w39kRYJihuwLSYdknRdkxEuXYHa5dwl4U6k
UVOmN3WsBTRRWtmvlRa6oJMtmuFYw+SjqYjGPVE+MDBbDMV9/EYhzyOYud7rYqz0QUODKRKFMRin
doB0DAfzWj7UBOV610q63VPWX3Zi1eZBcelKH1wvDyt2TFw+hsvC14asflOuhN4oyaUMByyMP7Kp
0TQoceM1UNsscapsTF+4Y+NoqZ3crQ0jkg6LLkY7TYoRfPFGVc4Bto3dUYY8hTFio4/7Xr7Ow+AI
H+JMoKvV1ETAqjYTGapecKy5W1zqBeGZ2cj8CbmwGKK6qj8lLNg7LGoZLMSRLh2vUpq/mVKL9r1G
BInSaYK8iv88NgzteW4gSvzPtVuBLQQRpX6kyDPPrcXYlwFscn7A9AGdtSBRA/bKoDMUa00P5TpE
HUDCNMRKIV4urvMXSBwqdVIRxbC1MKT6NdQ9CNe5jg51ksmN3VxNxYkJyAvx4bwR/3uWBpMWEsdV
R4uTK+yhIccZhJzYD6DhCDl6K63xD9JPF1T39AvTeEwqvEJ6nH3xPEnMIiCOqTmpWCfsDbzy9vQo
kd8xTEWsXE7bqKjKlb7oag/GrLpe5Gd4WrkOdoFSkVRknZCz2aw/gWd4xfKAyUmdPLGyjBD4J705
afSN7/GUC2upwwdvHCNzWegGUWyTtC676b7oUXdOCqyMxJE5r92igvMU61Bqm0vZr/peep5Fc9hB
qHmLmbWq4fcSL2JfhTxK2I3abHD0gjQsaZ3hFdj2lpiwdhp4ZwyDkclH8omrbbqc4kV/KMYOz9Xc
IPjC5XVVn0QCpRceQI2gWLzn5Brjr5r1RJbUycUyIL7QQ4Ib3RdRWud2NHbXZZ+rHZxDPV3XSioj
GIWnUFyChDgldPFjcn7s6W63UMf61styZXi6FsbwTMgJcnu5u+qSpWpG9jzd+i5zZDJAkKMXpvpy
g+u9Im4wcmNM/lUH61ZzGZsmYildhCJ8nWGOhHSZaIkkMEe5AZd/ANNw40lDewk1YpPn+H7SaxiV
o5BudqpzQX2VbqX6jEAP4KXPs9s7+kYmXjpJgpDAyjOEPaBSvhI9K5UDVon03Qx5b49J08MwTQaw
xyJqM8mJ6yi5X5Sl+FJSDmN/VEWLp1QV+yNEnPq54/4/olQZa/6kGypLQT+C+bg+qjSO2GZXgh7t
BwSThw5d1EbMS6jX/TR2zx2G8j4uhAyLewXc2xT6iPaIHQhIOktiEARD654upN0ejDHKtrfEKF7q
AgsRbB1v+KjGbSNY4NLdpy4X+apsNPk5yvLoScQ09eFfL5H+3xQvqJQd//0w6t9r0ojK9D//4/Ia
F3/7+PW34+v1b/9+/aj/8z+a//03wo/69OPX9T19/ds0/1H7isoBjUN6/RMe2Xykf1ZMzKP4VGal
u/HbNIo/+scQyxAR6KMqw/8IZtjftQz/rJjUuc5CA6pSakuSMf/Cf6rwJWT4Ahk7/ENRBOVfshyc
9Rtf6iXqAlXn9xhzjU1F/626luUer+hyTLwBXsuadEi5t+kqScXsNtFz9JHiXf0Gl2HhojdmncLG
f1NukE4VpqdC8lz97pb/WQs1j8x+30IpDOgkeLLUgiapDcI30YWsq2WXx2PqpbVHQpiTurTaqg0z
AgdEPJWN3c0tnBTbJLvTDoL5w/G/ZRKykhuA8QTTmZqoUct+H+llspYWAIgLt/rEgc0FO/IzRzzb
/R43RRu9wlL8vN6Jr80xecFWtP6hUVW+d1i/HR+iuSyJqMF4Nb52OxoddZXVEzxrv2fmQoYyLOMQ
a9jZIJ5MTdITLk+mHKiPkLIHrD1Ib3Y1fM0wJDRJnfOVt+aoXS3Dy/DCceQ9TkvlL+VxeJxKF+NU
kKRykxqWuh93l8GOXuThAGPqaLh//SDlr4X4fCNFoi9UXVNEA72OPD/o37WKaotUb4ivsccKi1EN
WafObQnYeFlgxr8uEUTr1uVRRH73HK91KP+2vuld2aVSMh2FGKoBEy2vWayirbHNH6WfIAHpj3ea
E6STkTWRvl3Tv3UKUBDoFW6cIGoPR6FxllvSYgjlsS8MDkiEWSvOhL22Fd8js5twa1EtcW47vYig
DVzdTm0U/PVNE386J6bav79pvdK2gO1F7JXlAezWA5pzumeq5csn52BYuB+5V/unFvur6+g/HtXv
7sS3d66Aq49cgqP2nhGiRfJlf4YrfkIPJNasL9/2/EpgYSNJOqsObd83eKRmiDoO2C15woHtMHcQ
arYfUWUxmLke+5VuT170rhpIxCFOW5Mju9cwwd/GApT94UbPN/L3y8y3U9Hnt/d3b+dVjok3Kyoc
Njcgz35OnpTVtxY7uGP6kSX/0oFC7/76oH/yxoFfyAbusiprLdkzXw8KWUpOp/ac8cYNLmLjagvA
+rLYFXf5Q73Ep8nNNxDR7NGtU1smNsXLHeGtRJvh/QPn+G8BsT9AVTwG2jRRZwOBEwEl+eu5TK0y
YWn227kYPi7Z+srAkzJykskqB2dOsPDJiiAE1O5KG15AU7rFD2utIc6L+den8PUkvt2QWo7SKyzN
zGvc3rk5VYiA6lPg8K5+L4XoYhhR9XskHncL05om92LucI0XUY3nmEEuxE+xcsp342bN3pkDrSyp
FTbcwny2brMyE4XL84Ksmot9k9YXXJmWo+qmW+0g72raPmpFOaSJp7iVPgEI7Qpfg7UQSmToONk6
3UZ+uyfkrNrWOD8FmWSRXhlCGL4s23W9v+zJRxatcnlbmytSO60KYVrtoq6hW7TJTqmsc9CvpXLb
kO9F4UuQ90OzBZLuHtIrPjd2ub69S0C4dXDb9Q7nYELXtTIMQBdaAB8Oya4UFgMml4yp9/17MiGs
JbIgqJ2ZQDdY2lZzJyhpK0m1yoV3XY8O1sCYq1ROdXde6e3SUL3pEhiMRGCpjM7L8CrIBzEBlyTg
dKPhxQbAYb7Dq0OQUaRPov6hFxbtXL697q/EsMZIMdZqvx3GTVlhp8hi7miGM1VI84mO8OqOLnyV
yY5WbeMgOkywEz2aD3sMaIriF/LFKx+rrGKDK0DmJY3PzUw+kgTXTtJ3VvBB46ubtQTR8Nwceioy
feUdFL/8FcVXD80cBFjYYF+YMxHdq3tzrR6pVm4UxD58UGI/sTZF0tPb/X3bunrKYv2kPEj9Ggor
awtGdefzXi2cs31ZMdQz7mEz1Ms2/zRiN1m4+XrxGq158fMlIxQEb42n32EnX9AUBPhJJnytkY/H
eDW6uZt5UeZwGzi1gJCEPkjsakvQ4s05h4vHa+eqkM/s+q0hycZ962D3BWPQBuPd7dA9/brhZ2ip
b5UlhFrYLqvwBmpbfZ5fk+fcjUOdAVVmGx83q7/vfCReuNWd5hgi1bkKTuHLupXbeGLai9xGdehP
mZWyyR8Uxt/WfXHxb6Y/2PJ94xJxeFXdcd2cSN9tAu2h2+Aol+IleCd9yFichoX9dvkQI0tDlBQw
30HHvpT4+hv8i++gQ9zMU8QrgX2/7qjaXdO852QkRxbjeOqQlRxUzFfK0FSW8aF97AZ8Pt1r+Rjd
oxdISPHbL043bGQdxTG6QFjGiis3cFHt5lnilJt9FQeYKiXnHfcZuTssx/mtrW1ioS62/qjirsYg
KgRAz662+YgolBxULF1Ypm90u7MjYdAbofGr3nVJIEe2ac/IsDI8Vk+Y+0nHziNadcsSGihBCsdU
YxRkR0/13bBTqWr9bnWhlIS3u8vNZetKaLLIG3Wbzs99BEWbNnd0+7ypgxLrVQ/yN3EGdm4Eoy0e
dB8P+nBa4ZC9Syob/z0bP4LIlpcmqHS+S9+HpUaaZWVPmCKd70TlUIbkPhQSZQbm0pw/xFw8IjbF
3njSZRIJfsnFKhe2ScxYeTVdPJGCvD/F0oOaHbmeFgIKl9i65RZ+5fskb4Vuib6xVHbE+J70lYBj
cunh7nuBu/yYeKo7SOsxVCduvcMY5plZICybNY7Vy9Gt9imPEmnssELC2Z6Ds4K/rXP5lI7itnbz
+xgOUXdHMqZqi6frXQo5xB0XrtSGieFwLw00JEtGidnCJQlKc0A9heXkdRLbFvrk6Wh4mriP612e
uuPDgonysBZyD1D1cgnK14vmkT8vC0uiCsg1ip8vYjCtVd7aG+JbxwXiu2ybfdk7huBc8O+HNh7I
p3Z7BvLM0PZh7I1TrCVZpW3cxbvskHvnp7MZkB0jEkLg1L+gkbmKpx+6997ld7gtnDfErUHuEaQW
qa5srMTNPLIg2OzsVFijllj+22K+n7GLa9iBGzFqK3wG45W5NMNL0OwItDy/D3hl9Kg/3KJ10R9k
g8NstHdVm9TVxVxio3z2iuW4xWHiKb+XYw+cQkMZvqm3l1fNS3T7hp3wNtsObAsHPAj96GlRW8lq
OJ6dFANXLFgj+0a2Qr1qqmMFJTwO9GdKzs1UOsg05HHTGJvoEYNwqx5cUXXMuLEGdakrwJVuq6wa
4QhHHV6x33ngEGDX2bbCbDKI35Ow/JUdjDcgme5ez8P66raX+X6SFfGAFYWNWGY5XS1lXduL0Y/5
5spXyfSkIlAJiNiZijXyARH+qziYckgZVfKS7MklZqP+5HOrAqgTtIjEXm2hqJcOm4L8wYA42gpv
F99c3z6KLCwezb38DEdAO9WD9de11p9U0oizDFVAa6XKIkPir/VNhhlUntzyzIMZpPGKHsW3mNM+
MEMuX4mk646JWwWA0frfLQf/+8rqj1UuRwbRNkgkZBIxd+6/Ly2N7JKSVvZbZZVuMU10oQLtL5bp
Fx50mscfrvNr/z7X7l+PBtn190fLehlTl6jOvPg1+9ADI5R7q/PxmVzzPHPhf1LGa38snr8e89u9
JaasLAvaVI89edxn69G04q1kq2tSMHGYnROlNtGJl2AMGyQ57+I7umEkz9Q54x6K52OnbpqVCRpf
OfLTzDQK5PXwYuSO+KSFstOccjZc7VA9ZHvTexE+62UUFmHGO26llhYSeEC9GPnw0dwx2EUs8Q/p
XbGa0Hd+5jQVzlw+ql5+KO/JPHHK2xsULnLNNiNvvNe7/Ss7wyeya/4jlufb1MXULOg8+ZPO48SC
6rcrBLTDRnTYHaXGY80xE0JDrf7DeK1e4pf4V17YbEkVo9AtVmzzXadgfxVSm4TaftnvQO0oqijy
2tSCIYqemn/JiKhO7zTDHtd4bm/MLdJ1OIae5owQy0bswV3pOfIwUX89fxiSc2s8hHPR0XxRjhLh
tQsLbDtqHWmfEBJUL9n3We/Sff3QPYkvbIDQFtxb2L+KISZm9mWHaVezWWx1t3OwPmFrwsfKlf1y
3u0aZ3BuiCzs613VW73unIsdG4GOGe0ry70TYxwRYGTm1ncJ3gt4Wtzlz2YYPWEiQ7wQijAWmBtS
7ieWSaG3FnKov4qjdRsp0S0dWqDhwOCBjozYmftPStcjhfXiI8EPhzkWRRgOFjhm2TXLXeqZzx0u
WgNREPwgiHly9kflOKpOidLYao6GYP0Pxsvzy/q1B/n6Mn8HwOaJVgzbmqYUBdPgggT4iB8goeir
GfJpHDw22IAwwY+BU/7lz1cFehMYbQN7m+BNXz/fRu4J/U6K3DOPqbiZXqHCuGyvbivfCw6r78/j
9Pl6vl7vlyOa3zrftCQgI5qPOHpNZWNE7mEVSDofPo5B5iGLwcZjO/IputHjz33nN9XqvF4RmAJN
AoNRxBPgQl8v+AJhPsH4iXBteK+YcnZ+/Eqe2hs+jln2ApvHEqYXoT9RHkEnZsu0sp18ly68iiTh
0QLpgnyXE0D40CMXXA9IQbIZICyASrCGYtMs3Zg3TVqNq/iX1TU74iw/yZvwquPU7xfqXjy7iEQM
K6NOw5zk8oCEiY6j/GEH+pNuH2NbWSJLDg8SQfiOZF4RQkLrGlJQFcLg/cyeu/7UtEmvD1K36914
Q8HtSRaQzsZInPNzxhtm2GjKf4KV/rhgcyqarDJmhxSPHuXrTc9hZmLoIKf0qPE22eteRYGL3+hB
8gTn7FztyP7hvf4j+oe7K2pZSYDbrjCO/3pEskdLJSGJ9Teog7TGEGIpoFIS/gQq/ckLNcfuQB5S
yNkln+fbZiSOWq5Ntyj1rk81GCjQQeUgyqyjDUkhGVN3I/+cDaIv9aa5uTewndwWmNbRyBZ2X5BK
hZWNp6WuXmJCL6wUHOtY7ejVLSq2fPDTzhXFTSFhurlObi71rpoFU3efkywCQKJ67c0deqSrVurA
iDbX9bsW7VNG7yB2eANhAwMdHfjk7a/vMWHE379ktCcArKomyyqKlm/3WJDqbCgnSpwZwMTVxgNj
iFVP9Jq7ggZjQ7MLd3Y94iKX2BDMQ8mj0Dudjzi+/LSQSXOd8XVZMTGiAN2C747TsPHtMQwLVUbm
SKUbnRIJmoRz3hqQ+4Lr/nxHMml3KF64N/gTqfb0cSYMVPXOmG3rCNc2i7NfnxZUBlAR//oe/YYy
/9VpfVvdk0mb8ibltBQ/Dro7+ILPnZ959Nkzk8JuQ0JyG5BmmmTUsJ/TE+FAr/in1Qc4bFef9cHR
d7oIau1RBgvbHmfWpbmU7mrnp2/mTxYMvhM4anw5Ml+r9G30MWDcfqlGPfYYXY/AYXhzMkm04uk+
F1BHvPBgIUZSstBizFaPn/EN+9ZDVT6LLlaGceUk4cDeXBEU9Ne3EUvGP3m+nBFgOTwTTlL/VmdO
XbSo4AckXuU2n2YMRJeUmz52s6WRu7i9RrVlzrG36Bps4tSmZIOCZVHusnYJWzYVgwH3YMlvXpGQ
1stYo4yrl9rNxoJG6+4IBGoVO8Y9KneUUMeEPrIAJWEMWyqT15sFPII08CFL3RZdw+gIhg2FwayX
HQWMY6ClctU35QQwlZLT8JrH3g20Ttwon6bp97mHfkK/eJMQ9InLX8TMqv1o77EQnrCPygH3MDNe
T2G5Np96TuSOvzL4eI5Es1MiRZff4GzjlljvoNbAAQgowTffgdUG6KE5EhTrcl9DhEutxQ73HviQ
xIeIAVSD5PwMlKEQNuDgNuMv0JlukQMM+kq/HYs8qK74KKxy/XjWHBVaEmp3NqaLo/wC1iq2hcll
K5pVR36Gm6Fgo13GKCUSgttlncDNKHxQvppekLo38RGrFKAsH4vEL6Hc2JiflBj49qFpRb5JZrRq
KQcpVMCeLoC69EGAcKYF8HYrrGSJSVUXCiEtG7rS1ya1pUtYS9aQ2Isj0Srn1OZ3apIPcITrybs2
g00fshUdSorp0la9qtqiOAZBRMrR5nZ6JfDQwrePBvQG+im4lBkPkyuvxSDiByyASG8OSqZG7Z6x
rPG0B9bnmrU3fKoCjEjvS76FfkmpUm0Bii4kPMSW5ggXm/ROt9rgbk/K5RXj1M5tzYBYXOnh7C7u
yp1y6peQLYKLN77BxH2WZiCXaQNBr6XX3SzFLpe6R2Lu5rpLnjVbwArzOXqQg6vD0K00lw2qT2TB
KXRpvGqaJ3OGnK05YVz3wWCzBnCXZ5K8c3XtsX7GE8lEf4YOAnGcq66WMZc3hpcj8RjHzCNbRfVk
J1FPCyQPL93h4sCP8q8UmgH+PSuRgx6LmBdJehXcuW/RfMHGcc3J3XGF5/6qXUaHfo2lmI4174rk
F7veCa+8y/2y/bhJ9jkY17pHyV9rIH/A2y0XmOx5w4qt6Y0OEu6QAmTxmIbR8/QreSdDo/lVHnVv
8aZmHsYPaWzdPOJGkSd7nWkLDxIRwuOMykmnAkGONbyQADTnWdh4fjWn+HCzmJfZAAENoPTg3u5z
t/KLE/R2RHPe5E1Ov/XzX/Q5Lt0Qo8jEWkf3PbKkEjU6aQcz2oNrrLhdZLa6Bak6vlcANQFWYhiM
QVgTNjwD+ucnHqITbxhFvw3bcncOmtd4RbfXudqGUW2YPpBTCv3cyx9kFulmVQTs3PCW3m/Pkn97
Eu4E1Rp3HSiEfTnJeKs5hQiCwwzXcPU1w9zWuyByx9jKMq3rOltqYfZ0Do1l/oQsbDMd2KDoa5zS
6dxrb00+WnXntm75ogNjWwJ2Q3a3NE4nfr0dbx53SnCMgxaCefqDH31SYO9VbzwOG1j96YGcpXwr
Ome38FHUaEt6vS3d0pEud9iP4T4zgDit1O/D9lHpVzUEGqAvAkZuPrfYv3qF1QTwuAigehA28Yv0
3K+W1QF30SXWWTeClJbp0vRlV3uv1uAeaBIsdPEfBRj15/7sq9jJbgxHDMZjve8eWLYC0bpvTiNN
X/JAg1gzTxktmlS7e5AeqlB/PAOwUmNfvLa0RPBn1aWusIUlEken/Iw3pI45pgeaOx4rIG78bhur
Cvs1XXTzcN1Dbrvd60+AmUCUVmdfNtdT+tg9fpJEtMSOjQqqCZDFWJpoT28j8EEw3XXMiTdYiHUh
o4hf8Vs92J+p0+3IJrIn0MlxI3L0trGNdeeZtXU+zXP6Zk0n7mB0c59v0nW3OZ9SN3Ho0r2znXjC
Ur1rXdP3kdk7nYd80r+6wmpaLe7hX85BRL0XH/HYilbXd8ZKF577sgjibe0wT+cpqzGcJ4S31nXz
OYBvrboViR2b5kHtLRzmxCeEORT+I8TMZ9nDu/EhOmkHhk4MPoOyWmr+zC0Yg+qgcFcDvizxsTwu
tojU+RkbUvWQ3ilhsaX+DEwcNNC52unNNVRLPs6iOUpXK7uPt0ZiKwfUtL0nLg069xG80CY5p3+K
52Aae0EM65PJntRsp7BdK3bFUxHfCQ+oPQxBvO6hO8QrsXbOD+ZS2wj2xAAjOof6BYMxEsvJ6+Lj
4H/ZOeqFdWnces1lXJbNpzDBwmK/S+7J9tgigSdByh0ujr4kccARlxcfPy3+ZnavOrdjQgShDWFp
D37JXOvIdziBviGa571G5MBqNmzrZaFZky28iO+NG9npLuZrU/ya15o6ez3uRs/wuSl3bLS80HZy
MKCFNw/tst31y+y+XWq8nA19FgRT++bHbgWl9aQjm2OZxaje1v19/yivlMFOQ1R3trFU1+PKdLun
8VC+DexT2ZZqMOs9gXGMgiDWga9L4Vr9OoexOx7SMSQM68Zc4C377CIioOLgIp0U+dHIKE5YsRDi
rRoNOobXlWuSUK4kPbwPv+3krhFOn6p3QcFizQCTz4dBxFSdPvcpEUdOqqH8dsaVsB96whUdilQx
UAZ3XtkBEvdQIed9o30rkOG4FV4rS9bRlKlAvAfMV0SnhI2JEUtNWJw9vOe0lbmdg9RYpvs+OEkg
eKVhG8fIiz6Gfecp9VJi3sH+wkLKHOBBM9lkb/YYbYHC/N4ulrfwQiXW2dkWIKRLHOwQJ6fdMpWc
3J5/r53ZvQx/tc5vkV5jc1xuh3Wxv26VdxWuDCfQOD3CFIE4TEyybe19nFhk7Rmh5O/1lCOdnWwB
/vN1ReaePB+txezxHChP7dXFT6VZZoyomctJoVGTsMMcBThb6zDD8IUa9SaScxssfaKIuYt25RZH
6JUhWQUffE6ZiDxllS+TwPCa4+Wy6shnxqvaOV/ulMjK9+e9/JmCNdgx5zEssxAO327+f72PR0/s
VQF4N9/6VnYv/Y4kK/yMl609rXBKDCuv2FNrEhr0uD0Dt8MRccvXmNO3NGCVTeU9Irm38amzYrvw
RDfd8zV79bZ3WYNZQIm2XNV2u21fGZ1W1itPxcOCkNDELIQkcM9odocktrJC9HjMs5Cfn535D+Kn
GaBBErQnmvxZDWvDll9iyTLuZX98yIIqsq4pyVIWKiLt6bzPAj3E8sO/uQvRl97VEMUOc5QOn3+H
geg8hhG2Z+1Oku2+wo4jkF8NejRetLV5SiknXCYrN9WTTDIt7CTaLvx+O78Ct238ITK6QdnXWGgb
mSYiln0gIO8O03uKZVf+5MVQw2ov83GpIyI6tLnvEoTh/rLXIJjZ8olxhMGWhx5RADe1ri6V82v6
zq3yCXZ7rNwsyBi3WFUwrcqXSPVhIpv79DHbaK75nIX9ob468qmmtJunKjP+TUNM4uD9s/HEu8sk
xES3yXxqbCxlxS3WPMEjpC3ZXrZzkYtPmVV5/abbZ4fhTVt1kX+lEotxUrcFBq46EWPLGFEr5x89
GYNH/gBDNHN5JhnQGimWrOYeK01uArnfblJzFGUtPRaOtF4w9V9L6/413texB2hLvq9p2A3xa/B5
+c2wAWBms2n1frXXP5PLUsU65UTOWAE2+WaItom1LSP0A/Ohy6l6vOJFc3bGU3tA7+skjMtLelJz
iSHcY3JaBJSrFz850LYCiywlv3/O/H4T78gcTILaBs52a7CJPQd26HycMxmq28QVyPl0Ce2kPe7d
aJsLfsEs67YpnXo9+dGm0C11Gb2sSltyYCpD5Xq9Qvtmy2WZ0DfDXtgRsYWl5edk+s0SICXZotbB
Vek+2RFC4g/rS4hqc5c6mbXws/mBv57vh2XuYKvsXHzAsKBkRiQfMz/mNThzVZ0dmuF05CHOqOi0
0t5yp75rbh692WZ0eb+5x4/tIXOTIIcd2AWlXYbJgeHsr6vhlK+Cw2junjnecnCE3c1mCA/5dkO8
b/rc3klvsXcanO6J+aPynu+nNbS0dS67BjMxeI/352LTLds789fNJXLSix7NEFn3E7b9q8JRVvLD
dOxw5mnuz/on9PeF6gwfi/hRf2gwizIswvzKE5S2XekbXu9fR5s8hRs1LV/09aU8c03tloWxs9Pn
4jk7cG6LT/21WwqSJYdgTmRq3tVh7xe7ymNOaKz6LR832Htyd+5tpedtctUEKbs13Vf3+FxicFvZ
Nd2EHC46Strn2wv/6epX6avgFeabMc2/h0Wz+pD4rPHfQtvCNswSYFoMZhd+yydx3sGbsEH+R1/i
BcdSzmVr9whANbxp3Zv2ec8/qqXoDvgr7yL02Au7eJaCMpzhE5cTg7+Nx+ixR/Adsia6N3aEdksA
Oj+jrMdX5odUzrzX4y/W5HbD4iYEHPnZeMQXJGG6qwXXU37UAjJynCbMH/l6XA2Yzloso7f2F+yV
z5LPtfAYMHQ7XvfygPJtYzBrhjiFdRgYJ7cb6uOrxHONKuBWfA+LdjuJrrqYS5AxDlG51IbbVa7d
MGb/YSb4J1Ad2BcjQRi7ACj6d9RbXiDOUm+wbLN1EWBA5d+WEFvdPGx+zWpXbnCAIJk1g3QFHnbv
8l+29YYtPP8JyvkjasipQCqGYSuLMyj8FZk1kjwRkbFD+P077REjfRR8QA3LiXEvcvON+sOQ4zdV
4DcQjkMqsM3kGd0S5lP6HdkuqgtdPyeIhntv8a7YtKOUXenrzFVqToXPzIFihmp4qdJRGw95OB5T
97xBgUrVJgfFiWRlD3v0V+kzv1Pcy7HwxdwiKMOdHCJ96aadNoiC6L5kzDW6mlc45Sayk+WFl8u+
bVBevrR2/FF4pY8VxZ20+ZynsULQPTYQk/YX3oh8pT8nh8u2cNrTj/j7H4e08z3/rxvw7Z535O2m
C9ToHmkV/lyhjquUoijfE1xu/8znFP/8Gf/X8b6BdbikpYKEbZ6XLVswEIVGQ6EBF+EZkLTwP5lj
/XTEb/CvGvUkyLccEWFEuYQl5SwovwfvvImXwjz8O/wE/M8ZAN8RZ24qSkNZAvnn9n59q24Xdbhl
51tC047sFVJVQrunUcR1+9L/iasIq/5PjmYiD5NFBnY4eXw9Wt9KTQynMvHSz4m+wMU1U2xCNukn
0PYwIppx4dD3QuLSrSLMw8vVovHcMLSddgUAxn21HF9Fms37geAwNsu78XNaxx/5R7fsjvUp3WGr
mW2SzRD/9MX/ceKHUxYmoRjPwXgWvnNddZFAslzl2dBXH4T/Q93V7bYJQ+FXifoEG6m09KKR8lOp
+2m0rlO0WxesCclASnAl9ja93EUvpj0CL7bPGAcMxHSxW4nLEHN8fuxzOIbvnHyJEs44C0fqu/uM
AjJr78cO9Yw/vVvjg3H1uvG/8LSvBRapmFgDhYGOPWGW33KKduIUlRCyvSqtiwSTBeXfIcWr/JcP
OE5gQsvZPgbAmdctJsqJvuc7KqeWY8TvOQlQg0q2xvBlT5DGn2WPEIDYm7dXgnVZ7+VJXbwOaUqA
YclLafOKyw2J6OXZirCA7JvIXiBl4YVqRi7PNDYb7wdMdL+FAAwL2oqUUIqHPYntYUsbnyuGkUYY
IXSGXW5LeEsYowD4MAB4uK/PcP5BvEaznWGTpJmYQeKE4oCmiqbQzwXgQHAk6pJYI6dpf0PSsPiT
KEKKNqKsunQ67RvyMyCM6uAmcI6uoA7Wzar4mwbJvaZ79FiZAbhtz3rHqqAMpLoDtpcJK54fScua
QOrMEGFtF80iY8UTPIvfMqgH+JcL8hH5lcS6E5A1AVwYFF9/8ojkGusVdQe8bwnfAYWndCwWekUc
zxm2el+RB06z4klRalBHJLWljk69jyFJqaLUoO7A0VzzkGmbSKrFc+AABloMlyHwdPdyy8M4KJ57
1ovnxAOU7acmKuh2lS9wkLamvaFZn+4dRKgVjwPgStHwTA9PlXUdeLKtsQOCpXFXZE/i3jXvOdhR
i7QdtSu1ONhPyyQnfp8rcBFSjdVuLVW+wP3JAw97FuTUwVIv8c7t5xip9qkD/37H/T4Pef7efpOa
StpY6vwLmcBJorZuj9KRGFj7lwb+fELioAlBV8TraFIizo0C9WUVcy39uBL362nS4IBDovUVGz7O
ekgMj1AZTA+JSom1nOJo7YDhL2fTM52mUzaHp8ZsioSYRlgOE6gM95hUBp5lBmoY0BUKbtEkVNuh
jkcw+GSTYLovH41YIhqYxGqFkfHIhVBhkqsTZcYjGaKUSbJOgBuNZJW/kvikHofYjVIjEA2fqF8M
WGwRFb/T0CflQc4dP+TkUjo/QSyLEZAaZj/i8Kf4TF3u5zfy+fWER42m4rsUZsdITKUkb8Ti0KJa
JSyJ7uunTaV0HmfiBBZVquMXKP5g5DeSSpQYLI9qTJ6gfcbzurtlSHI8PIkhPqMknf8DAAD//w==
</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_xlchart.v6.11</cx:f>
        <cx:nf>_xlchart.v6.10</cx:nf>
      </cx:strDim>
      <cx:strDim type="entityId">
        <cx:lvl ptCount="8">
          <cx:pt idx="0">10106924</cx:pt>
          <cx:pt idx="1">10106936</cx:pt>
          <cx:pt idx="2">10106929</cx:pt>
          <cx:pt idx="3">9421486</cx:pt>
          <cx:pt idx="4">10106933</cx:pt>
          <cx:pt idx="5">10106930</cx:pt>
          <cx:pt idx="6">10106928</cx:pt>
          <cx:pt idx="7">10106951</cx:pt>
        </cx:lvl>
      </cx:strDim>
      <cx:strDim type="cat">
        <cx:f>_xlchart.v6.9</cx:f>
        <cx:nf>_xlchart.v6.8</cx:nf>
      </cx:strDim>
    </cx:data>
  </cx:chartData>
  <cx:chart>
    <cx:title pos="t" align="ctr" overlay="0">
      <cx:tx>
        <cx:txData>
          <cx:v>Oil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 STB/d</a:t>
          </a:r>
        </a:p>
      </cx:txPr>
    </cx:title>
    <cx:plotArea>
      <cx:plotAreaRegion>
        <cx:series layoutId="regionMap" uniqueId="{4E3DC997-3E87-41FC-ACE6-F30E991338C0}" formatIdx="0">
          <cx:tx>
            <cx:txData>
              <cx:f>_xlchart.v6.10</cx:f>
              <cx:v>Oil production STB/d</cx:v>
            </cx:txData>
          </cx:tx>
          <cx:spPr>
            <a:solidFill>
              <a:schemeClr val="bg1">
                <a:lumMod val="95000"/>
              </a:schemeClr>
            </a:solidFill>
          </cx:spPr>
          <cx:dataPt idx="0">
            <cx:spPr>
              <a:solidFill>
                <a:srgbClr val="002060"/>
              </a:solidFill>
            </cx:spPr>
          </cx:dataPt>
          <cx:dataPt idx="4">
            <cx:spPr>
              <a:solidFill>
                <a:srgbClr val="7030A0"/>
              </a:solidFill>
            </cx:spPr>
          </cx:dataPt>
          <cx:dataPt idx="6">
            <cx:spPr>
              <a:solidFill>
                <a:srgbClr val="5B9BD5">
                  <a:lumMod val="60000"/>
                  <a:lumOff val="40000"/>
                </a:srgb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zHrZktw4luWvpOXzUAmAIEG0dbXZgKQvsUcotOULLRQKASQ2kgDXf+qvmB+bG1VZVZKqutQ9TyOT
Hlx0OoCLu51z7r8/r//2bF6exl9Wa1z4t+f1T7+qGPt/++238Kxe7FN4Y9vn0Qf/Nb559vY3//Vr
+/zy25fxaWmd/I0gTH97Vk9jfFl//Y9/h1+TL756ik+1i23c7qeXcXt4CZOJ4V8+/S8e/vLy5595
3PqXP/369MW2rmpDHNvn+Osfj85f/vQrpwTTIv/1l9++/Zk/vnDzZOFd4c3/+c/5afynr708hfin
XxOWvmGUMZ5hRHmBaM5//WV5+cuj/A3miFLKaU4KjnLy6y/Oj1H96VeM3hQIEcZzzFLEM/brL8FP
r0/yN5zzAnOWwR+KOSd/s9CdN5v07m82+ePzL26yd751McDv0l9/6f/ytdczZhnLOMUFQ5TlRZYS
Crvrn58e4BZev/2/hlT1XSadrVXarAepelxm2eAvcLfHajVLV+JM5kdu2+myJ3w9Jfk41cnQ5kOZ
mdHtwuQEX/N1n+tvTPlPtgaW/n5nOUYpzjJUFCwjOX3d+Tc7S+eZhmWKpm5wN3xUa9Fd7BPFopB2
rL3hyelfr/cPloD1CpRSzHCOENzG9+vtdspi3BpTZ0tyz9q93jCrfrJE9s8OxTMKCyAEN87x94v0
uzbIMkcr3e36rCefn4umR08Su20s9bRMKDmwQLbiRLckvvRjrrLST/twSihr3tFB63e429jtnE0s
1A5l5FMRgnksOh3ux2x1WHR2Dld8SPaXjRkzVNmK2KPq+JLWHUZGC75t8hGhRN1tRspNdCQsuAp0
aNNSR0VbEXY7PKqt35RQC2JEwJ71vXOFbiu6d/tzh/LuLhua5KO0avIlc6bQQo2Neuyb2JHKxFYP
YkUuS8S6rkPFV7yuouh6eh9JH7TAvYZX0qHZjDCKx0XoaYxYoHZL6HFum6hKzlJpy1028+9tlzkn
LEriJ2zX6WvwdKvtzNVhK9pdCkaYvUt5019y71ojwmblbd7L9NGxPH7qmRsuOpeFOvrJVFO+DQ9D
IOYjt1rfbTLFdUPS4Yq0eV91S08/xRSnj6tx3Vkvxp7dvq+zcJzhBzy1yQ1bsqLmfYK1sFQte03Z
ttgKIoqngtJ0+pLQ3XZi8zKxlely87QTEmyl/CiP3RzStl6C55/6whZBbLEI12Tm22HLet0JOC59
iyY6ncAp6UPsOvMp64ftIovr/BR6Kass5fmt2fftPM2o6wSJbH/XTK0v1zTki5jaxV1Pw9rMImZr
WMTYD2Dxog/JWmbSki8sid2V76ZRCW6XVgpfpO6eb6F/P8QwhCqN3g4iRklpaYZk+sS2vTiipTDD
Dd76nFQsk+ht0wzLbTLgZS3XQg5LhRJuxzuEXfulaWWqyjVX60tud/mxWdQ+i8kVqBzb1BihWW8u
rHPTO2a67ED5PpeRTJiKfpXzQ760w8Ww8LUOTVdcz2Rtakxj/xwwHJfuvH9eMo7eqX5QDwTNMQrK
1njdjSS2J9az6SpxzVLbgU7HXa6oE0PeZQ95EVZULjFRslySbQgHmfPpjq2rV7Wh+fgh7V3/1Dc2
82JJoqula5tzvqboesvm8DIwNl8VcUwzMcR+YKWN2hwjm5pDseJWKLJkx61Yu6PDeX4XcZtfd3LN
jknKV+E5ZvVYrNm57cFbuymGKBY17yVVZqz8tpoy26h8NydhvG/w5k85l+aC76ioIqGJCK/W0vuS
lRqyQF3oznwm3A5lX2h2KYMvLqfcL2IdsvGu6XJdKbwPh84g91a2OT8kaEonoaEkl0sal7tmQ0tb
6jl2myAdWAH+4UdrML3eF9IJxhAW2di4ei+8Kh1tmtO2ovSwLMwI5bq1kpud1jKmnTxkYSgEwkbf
JXtDL9fFRnbkk6bXZFntw17M6pBGZd7qTKtH34zhoRtTWWcD92WUBalaObEbPazdYdPDUqs98ZUl
YyL6flVDtdMct4diWYi+6fLQLMJuutMCITs8kzjsjchknCeRMdVdT9zY66JLsmrFLF5glwZ+nOCu
K20mSB9xsmOlnSrOQ9OaTwbP5msx2ywKNevumHTLVM8Z07ZcpJLP1LXuo1ZFe06Xcfpgszkp29jS
+zbl5C7Jt3jZDCS9aqPhF7mKm8g1bVLRyGw7smZkFV3b9VO7Qtqf8olDHI3FUC79Tt87s62/N0pO
F03ol5d97HFd7Dk6h7wnEK59d2ORp6cQMnRMlUm1yOkG8cKCHYygW9Z8TsfJvG0gY2mR+VTdTCqP
dbbteRTebnQq6dyMzxtt2pNffXNwaYR8XvDiqOYujgLNqlMCL2H/vS2c28TCWnQj9ZRfDyTi5zE2
6tJGsl1mKGvrtkndJ9+StSp4NM/F1DaXSyBJd8JTP3Ghtk1/VCnelZDc9C/5Pujbsdi6ay3HEYsd
az2WPppYB2t7W7XTHr42S6RLKSkaPmeeraXk6VQ3o83LxUt5KSeJ70zboXucjIuqYrDj9ag0u107
5K9GJKeDbHEjgiQzEdit+zkNnbroQjN5UWTaV47PWypMO0AMjnKGkjMkypR63e2NG+1wb5K+O05u
l7rM+Ny4at3a/i4fIDzHBq9XRI7FyW7TpMRGbVo67fNrR3HygIuclL3C5HHmizquu2s+LGh2R9TS
Roq+XfqknDvLbwtO/X3vhu4LnvfwMOUNfxyWTV6so5NeoMjHMzGMTGIJ1Ppy2HN1uUAx7kS6NMnB
N/MCNjYmf8+6PcQydjS88J4fcKP8WY0Edhs0XVSZS2JvQqpCGZsJf2l9WuRCYpvUcOvJWwplvCsd
IlqJYPtpEM1g4ixa6PdC3Vrf3IFt8YMEd3iUMdvue4T2cnGDutEtQ5cKx/BM2PSu6cDNDuDp+jJv
p5zB1kf/kLvFXigyzS/GGVrjPNmudxTCTdxH/Thqb76GoNpUQLtO33Eph/zoFrdcNTp2jyqs+wXd
B4UOPYaqcm76lN9OFrknD+UMi63r93OR7uZG9rM7jHiK75h6/6+7OJJCk/Zdzwyd4rdNXPF9Eyf7
Pdn2Xtl6KefKzGW4+b0YBa33k7vUXKzlcCZVqSvmS3p50R668l9v4B+bdpblvEhpUUDr9Y9dJBsH
76As2Hqs5mqvXCUvHuX1XOLykz/wTz9rW7PvzlvQtKCsyBhABYQYYI7X59904q2XUSYLdOKQ5URL
B5EVN0PXi399KoA031j1j1Vymr/CnYzg9IfWeCuSxep1MvWi/Rc3d9WY9Afj2aON7QV43k968e87
8dflspwSRFBWAMIADPb9oSLe6ZTuiakH9nHdPjb7JMzYVBz/BFb8cFl/LJSmnHJAWZiT13N/Yz3l
0gSpJNo61Ngc2tNwtGUU5NnaElVjmVQ/c48f/POvK7LXEzJANOiHFbv5FTeNcLSOCJTUtJawxj5U
sWrwEdW6bipWQuFda1+pAyun5poe0Gn72Ua+R1T/uI8f4mTISeo6DvvQMfMliqMXUCd+AhPxP71I
igqC8wxSav4ard/Yd/RrYXIJ0RgrfMBVW+tTVzV3rPZnXBNBkGDnf+2p+PsE8MfB8gI8lVKS5egH
Vy2mOXrMrK3pMZ5tX3aHogpVcuTvm89t9bPww0AD/BAZWZ4jkmJCCQHE/8Nye2aUmq20NTTW8uQO
TRWF9WK42ipAE3Xxk/RCfrbe671+Y9E8nxY5Ulgv1Eu9Pg6lP/ry3F6ayh55OVV7nV8q8J11EG01
/SQNvMbd35PrX2z77WF/SDaFGdFONyAk8qk/2Dk+Nf3qStSnbwPNMzFP7BqPwR20s+lPlv4n/sqA
c+CQhMDaefFql2/OPaS4QZsBT9qHYSjJyqH3SM1PrPtPF0kLoFpSilia/3CZfJ3mHTouW2cjmt+O
UEduVjqzn0TFP6zCCXA5DKidPIeFfgyKvgWEkKba1Eal7so3G7/bWsSOfw6E3/5CuN19Syc9+34b
W6n+YNz+9vE/rv9K5P3762t///9X1u7vn277F/c2ji8v8fqp//Gb370I7NUf678Sft99+Af271ti
7r/78L9H/mGEUc4JOOd/zf797/Fpen76lvv7+1t/kH85f0NTRKHE5FBjWP7KB/2V/CNv0pwBIwjk
HvBcBPz8D+6PvQGqEG4PWgwCbpgSyJt/I/8QuA7lQBdSWgA7mf5PyD/Cvq+5wP5xlqdAMkKhyDNK
0Q+5cybAWm5L5ytMGzvXdFeMnhcqfS/ylechuVlXamxztg6t562n06XM6NLXmqV+rKJn+y74jNJy
o4DJSmd89qnvub12a5ZWADy2E8B38uBYAZ01hF2ZAnskuiFbT3hpNmGGhl/yPk2/9JrYr0myhIvG
AzcA3K+r9mIlZdi2tuyIX3oRydjUct+7VKQsR19iHjGAtmz4sgdnbtq5oec9TMwL0+H2HSd6eHLA
HVw3jMtryLK+ymgzfQ5Ju5Rr37UVnHg76o0kWmzDQlpgI5w5TemgTkTicGwIYUJH6x/xnPe3SnF5
1a54Kneg466asOkX1+fN7TrnNorNuOZmlRKKQJurU+E7eTUbFS422aED1wMDfO3lYEW6x/1uo9Hd
eJ8xoAPxw2g5EHhxDueFyOY+ZG3i/nyOA8kDQPLJztoJJt1+u60uL7e1Xc46DPw0M2+/yHRlpwQZ
fL+TgiiRZgV92rMt/RJNWEZhogViC5iIC+6T7mljXmbl6gcoI0VqL7uF7+7Yzuv4adhV8942ydAr
MYySSbF6CkwWWXLZVXI2sTu5wgVAs3EZK+BvfX4ESozcpEwvH4cVy0W4PZke+TZ0Rqwh450wieuY
cLCZsyf7MAsrG1zH1iQXhfYMKEAdT8Sr+ZyNOj14PMMhdk26M5BbWwLkxdQbkbWGf2jRai+BIgIm
0Wo/igUDmfbOrmR9wZ1JknKkwDYc5r7J0hqxZXzFYUMCwGMc7xLGUSi1GofsaDtwyVeSYrjhTKNb
vynAUZ6a35Vf7XmYvaxls+UXg6RNNUDM3tCpH8tm96jimaYfIp5TkWlka+TmeOR8SA9oIEBrbaqd
6yIu6n43LrvCu52vuyVTFZOE1qbbCmDNefayjonehGPddioGld41JBZHnY7paaLJWnfUkYOUZj6O
WWEPey5dHXM7l3TLp2O7ogE41G0bDqzt0+Peqf0aOqI1F5qOfT1jvh9buI9DoVSeC9VBVGmSxntN
9rYiGLcPG6XsYk5yfCgY7Z4yss2ZaKduueF+yctEFT2qm9y2n+JA+7cqDFMQEwnQyOp8Ooymn08Z
UvtVQDY8FDuSZ5Ky5lisU3fQJLNKTDMPh42r/jlfNDskzpGj4Y5aIHspXYWiKNQy0/F9VxTjTdqv
05EUbDpiTrdDijd5CO3uL/jmhkuejmQQ4Ez6PMPtXw1d0tZjEnwUs0p5FYrQt2JKwJ1nrxHQRQ7s
n5oWVuuIrNCq3YXsh/VgQ0gfcKPxnR/y8JLFEZ0BVqojUch9ZpMe3xrX+sobFu/TnGRvW5stT2BD
etEMLaS0bWKtyJImP4R1trcxc9OH0POs5C5091ojVGd7TzvhZ44fXd/yg1nW6cqSHi7UqeRzopSU
ApgTBOS2LPApDFs8hzjpj2nH5k5keCDtcd8Sr+t2Ycn6/1DE/z8tz89+cvFV6pOtd98W2gy6pv+6
MJfeePu5/a40v77x16KcvykyjLMCA/4DRutVWfqjKBf4DYPODOQZ6LMZ+XO9/qsil74BQMULjuEv
ZQDn/laVE/oGmvO8AC2OQ2mGX/4faXKwie878L+qcrAaSVMCZMMPCC7o0Ha2aXWFxoXctnZuFbvo
VNoae696NzbJBlkrWV1doCGwt6GfF3oiTTJmN1gna4QyMd/ifvi67/M5ZfPXLq4yuV8zLtvS9sAX
VXHO26823YHSXacEZAeANNsD5VjmZdo0yJ21hDjVwrWEmMOOUZ+JJEi91UAWxvnRqU7uFTFoWN/b
YjEB8mKHV/I0F96bctA8+jIDoWgp+9VkXAxZb8zltLc8Ea3DcnwY1SzDed2J2gVxc5N+nj2a+q9z
cO18zNJWU+DENVsPMZm3STA+9yAITglzD3Pf7bR0rosPSIMVoGPggym9skt2QGnCgrCGWcgrHule
LHs3E8gnEwKqes9zVvph8lRozTGqunHIga3R3ZpcNEDw8hK2lpuzoo5ZYID7pq8bI31TTuugvNCS
TSNYcnZoZGJNdGvrrd9JXwXgMOVFB8ppd9NFvu3vvdKolc8oWP47c6PrRDfnIxdusMl9NmSyFQAI
ikQk2gXQGzID/zN5x6GGK+BhBUB5VvwuVbdQMZB5aX4f+6Z1CAorXbfDFFzTfQQCuDXXw5gpeY6U
vlKbs9/7kkJptCdDVSCV4jQZq6ZY/f5hzNMO11BDuK9yFxNsBE8GvzsB5XF/MI3H8shJRPvjtKDh
U4vinAKW3nymakdnm9aK2lHVAXsylIOKaTz5Ypf4ZLuNdkEkBnZ/Y0Jh50uLUWMuaV4MurTbPqHj
K/mi6yKRar7QVAagz6Rt9Zmue0cv5lwNyz2lw1pcki3FptojS9X1RPdtA6dyvBWoSPIzDRYPJ8mB
TazSPpuQ2JHbvi6x0Gtl49xk2Tk0dFAX4ChdBixk64MYin3ZH0AMzOFLGo1jHUzO8V1vp2aqp8QU
+ZVeabKdUwtxUYVMZ96DvLktG1Bg84TYVdwioyXImWtbAoyb9QWHhtIfdJFvql7UOG5PoJg0/Wfc
A2FX4Xluh8sdD2D2fU4mdhlC3zRPMvHcPybN3nWHyNtR1ix4/GFKmmX6qAImM5QHcID5PgPpp3ve
mpQXdQgLGctt4bwtnUS4OANVv2SXWeYnVm0J920m9m1YdxFQtsQ6T81u7nWhjDq76JoMZJk1aaGF
beE7A1DO3RHlg+OkSixqe9FPttPQ3DnWvzbeeMsr0oyTr9G+cnTupsn6PoowFXk4tU2zLVdxmhv9
oGXY0soYlOUXUwBl8EBN0tGK+HXoPkiQAi6D7sF2ls7mvew3guu1cd1Spo5N7Rl0vWjgdotxu8zz
GdTO3RZdWu6TcUPNcUhYxUmxfi0KCOAr1VkH7tEDTIFOMBajOxXT1kAMEa4tOyqQy2mN0jnNDrOH
PX8iehv70rYwTXGB2Fqg88BUNJ/WtetxNdvBtgBzcGMuqJbgLd71/VC37FWHmFC6SqAkx6Iv55UW
AXSoxboFJGxABeOD3fs+PLOxKB6h2TB9ubsclAq84hTcts8+NGaecCl7auU5uDxsFR4M38VixmWu
pxwlrAZpu4Bc2/fJJ60odwKNETQPEptVwPhAd5x1NjxwSDUOXK/pYpkBZovQ4qNxFjKfyaVViVlq
yFtjW2Ed9OXkpAqgnM3FZUqIu2riSpzIUGprwwz+oijdPmfriFoBQGe+olGtY9UlYXkLXBCpt7lZ
7wJPiwkmAnoviYhL14Sqp02eVPuk0+Z6AKjDqoT2cauxJrqpcy1jeDIzLVyZEbTu1UhpaKDf8UGf
GNq5Pu0w6MFyMRKAosdO5p0EWWPaIMLHpkk3yBGsny9ABjbu1DRZ/vtiCZFXNlPcyBP43Th8jUOb
bO8COEEEdjULuBy7XdU2xncFaUpJ+J1EClR0fAm4diiRWy4YRJLYPXlch+JhYKA0sRnSH8Mkio4u
7WHNElbqYHORhx6dEE3ak/T5cAFYOdYI1CfR++xjdNld6IujC/G+g1woWg9Ok6B9rpZmB3UFQk90
Ll4nFF9p2w6QRNPlXEh3yzx+P2r1NsNbIfBmXpZ2vR/2AKx+RiRcRHiRa/Ik8/y2S6Ey2W0p1ZaC
fAnan4iUFFdoGemHlLhUaIfni9Hok5uVugQVBB2zIYWyYgA3yCGB6AiDKtNEv116fll0dBY4aiJG
cPA6W6P8iDI5lQXcSS9dPGa6YRemt/yIiZf3EUIUmGTX60xMi7O3C85BicFNpEek+i8ys65UyaqA
SC8Aeuj8qU20vFJr8DWD4Idf5iBCTxbqGJB8BUwixNtNKQWF2t1s67aKUcv2wYPadChMdmNME5+g
nfmYbDgvuy69AIngMWkViARw10cIWCWaTD1xP+BbZdd4bPwSBG8BWYzM8wPKRvISu1Xf7u3ylW2r
OnAERPdk2EViYV5gt/w6X+f7mSAltHfpUU/rdhx935Sx75+M1/RhU4t6n9jJXkSV9ZVfdfZxi4m+
dLsHOd9FekqdBwEYu8/bOAbB+ulqTwZWBWyBxQBisQwxkcKNSH8OM7o2xlwV2ILsBWnTDb47zE0/
lInP8ppvxZPSchA5qCCC7CMvNwDoTO5dDdUcJkxgwiNy408rgCMytXdguuWKgk/5BYTmaehfLEQC
wOL+NLriFEfzftzJZ6+GUzfQRZBgrttsv2CUZxXX4Qokta7UZOzOgGBgQsDdaYXOk2TPNIZzQPMB
gJUUHEbElnU9KPIKkZR96hI9nhYlv2jWYeFWmx2XNdhjt/GPM18T8Gl8ZMueA5Hqj+vcHQsmSzUB
D6SXYqkgDTxA//1W4/Qy68erAGBbwCgAkDFFuFw7WZoJcijpZAKgN0vLCGL8oUk0OiVJCiE89/ku
JLX5ETs0HHou+SPdW//WA9L9ADTb/FamEb1wp5q37eamDmZjxvw8w2iDFLjZIlRth/W7qY/QJTGY
irC+KzYRUqwAaa70qtmgRZ3HaXqa5n59x9pCP8BXzF0Ri1i5PlPXCoZAQH5d+wO03cVLz1B7SqHJ
OrmN9zfT69TLHJvtRm86lg12+decFvouuilWMIc0+BvoRTVM2EwY1Op9nEHB3afw0SueqJM3pMiu
17nfOiFNs1lIZ7sP5dJt+3gA0YpPZwd99GebQFdaUq7jUBV5Ik1Nx21+mwETAZl/jmw7QxjOsZon
k7fHbG5dd5Hm05r97k3L4lUXcd5BlqD+E8xg5dNLYVDLjoM3DtNq2KSTfcn9mORlwFwWghVY3rcm
wE37Ado3QbQuVtECNRUqBMNs9xOaxmvHRvR+a8cIlaCnF2gbYKBAD2MxwSHinlcwytYQsfe4he7K
ACKC4Q47hiMLU5zLcZzADFSawUCHRCI/rdDXEFFMDf7sk/xDV2BXU7IygWGEpwOUMt3CSE+d5BEo
pHSK5QyoooKQXYElAkXaLK4/dSHCzM+goQKDEn8AgSUvQXfdhdcpPy+NRyLrOnwBCeHRMKoe1nUc
7pzc0stWbhkkYtSdxxmd/YQ+wogPAkGEtGXbBSM8Td/HMfudmj6/Jcy/tb7AvyvSjxfeIijPIIZV
MGi5nHCSvPBhzW93PD/5nX1e5rDWdtHbRde2qlQ5crdZtPHS9rM9BgjZa0WKAOVUtSVfzPKu3zYY
Cdp9e4AOw37d/y87Z7LkNpJ16Vf5rfdIg0+AY4uBQ5ARjDkkbWAKDYAD7pgck+Pp/0NlDSllV1ZX
dy960Zs0S4VFkAR9uPec79xIux0O8S2pjCp3WJf62klM5KHbKnEY+QSyhw/eIzoKP1uiWacK/RNK
RyNTHnW1wQWFog5tj+/d2AIlZewzCsditd7v/BMKObtv+iZMeMFv9dUM/kFDUfj9iRkkmDjut+Vz
1PjtSUxdjlIcbBRtOn0rg7zHvbN87cdoyX7wUarJ12PUGJm0bHzFyQDwb5E7fb0u8nW6M1x8Dfso
4Sw6iFwks9Mk7iFdFYx9I45/bMT8NJEFp6VqqwRl3xrnc/RxzHkT/8CrtnaKMt0LHjeGfqRM4J73
IhLzob0JQpwzP8irBjhCvOXBwVPB3dqxu8EbX1H7udjYMh3W4qXq7CG3gGqmMbj1gvozdLAPvEHZ
ACriknN6jvCPEAWPjS/3CwF+9U90SxCR9J3GxfIPfEvWy93q6udmnr463wKEWbpbVF63g/PH21Ch
CGB5za7w0HfItiqWC8C+ofZvKQ2OdQjU0NQby2Y2ANOTOEULtu8g0cWLEsch95/HQu1/YGABB4fT
ROO4H7ycxzNvv/zgwaYRCleOayQJA/SIP8iwKgCCoWqhY1LgTXsrZQAU109sDdIhBBT6Axrzu+FF
FcHLaC0ELqd0ArTyOR/NfqqjOWb+2O2bNZyPYxlN8YAj9tgt+mHc1nSoR0A2uB0yMuS7rqI4NLzq
LpqbFndGtCbDXEWZbbwi6Yx7rarpDP+YZn3kYSl56PKuQJoa9PMw9g9+YP192xZ+7JaGZsLvv0SM
2HiR7AHEX0JW/5lX0f2sqxta2gsXUfIDV1saVTx0A+t21dJAfa5x/lTUg2zxD3it5w1PrB3qJKjo
tMTaTOFZVzbAX1IqKfzAnVsVmFgLwND+VPpJrtV5NhL/VIKNmTz/bhPhhTt7ZGuDdyMHDrSvwwXt
S8CqQB59x/faKXMcPCxzihYt18alGwlff+BwYAimWAbRYxsu57nQt642JEZPcahY8SoAwvoe1PJm
qz9BNri1wr3p2b78E5urfKqx9OUBZ153kIPyM3CKOkVptCQWWn1CFlSpDsdLvOJZxD0QJRynIwjS
zkE0qHX+PLerzjrTvBCvO5uCRQ+ctPnRTfiTvaZuB+F8SKcias+Ai7sj6rh+DyiU48IJp1dUq6yA
oVAZFIJyOA527mxCei4MNIeV7cQ21x1kHGNNUkVdXiTbMuTvvevmI8wBAqawc7NCM9rlnyGQrlMm
AeOIg88EbkXR1LOfRWUPzHiugQZGKp8fvSqnJ75ZghLGQ7QAatWzkthEuXLfPXxpe+fPa1Yw7i4m
4Plu8mYbQWlypsbZwYGQcT0ewna2BxGM5rsmnrgZoWQcR79HzxWQaQ+iCfuPqs018VgESuKX0KjF
E5rTpJvxNXsbELDIlzOPJw2bGTIFwFLQnFHFTrWp7S2n3vTBkGBo91VNcGRT4HzkGJGI7FWk4JJx
D06WJro4NnqpsaOiOh+OjcnHJNiYvfiW+peN5tE9tH6nHrtqtetRjxs7bwpUKR5wM9ysZqD7Hhzs
XUVQ0ew9cL9NzBquYaVB6YJS4EgcoKE7oYRYs0GN6/cyD5sMbRU51FtLIB6yjaZSjB6OA9Dhnlc9
CG9zZ0XMc8/ohqyAKF61WYI055W6FINvn8hQPLTbfHJKvtDBDvCBUK66YOA7kLUg1Lcdvm900gH7
7KqF7novUDEHBByvkrwYUz3kRX83jUwlbLL3fCJVvAp5XCt6x1ezq1uWtaHf7wMrvuqquyHoDebB
+2RWAcJzHW62UvtZFbRvg6kuHWnaTErlEgLFLA2MbRLamwnt3lpjlQW494JgB0cg0+hEU2Bt/g7F
6e2kAGyHQfVxmNW5RhGZQGcEJFxPh8C1t0Ed3XihyLxhlfEsZwePBIqiyaP2gYtyhLg31ykpfB+3
ZFRksgWe7En0DRXfFqBvIbupKVGXCJ3BRTQUbDdkhTYeXaNw6HG8O7CvHXS7dkz7aNLnpYQqZ4zv
33k+rxJaz7dzhD7Ng1qMx2JEXJfePtDteeLwJbf5idVVVhTdw0DzBmYJ/E84vQeobnUyKu9Ec/vC
upEnZKsBDMHJzgJvxCHIuTp2ATMonvPjEnQ8XgPvPhq3N7v0UTyv+XPFcP9yOn7wBu9S1QCyO6gs
ieVdHgMt3FeqWVDmjXdTE+Jmy821qbhAmn1vZ6znML8LS/NQrTSDbb4vnHvUCxexaTqYhiHO9an2
jmSi755HT5CKi3gLvM8kkp+IotuxUjC0Bw+9cFuDaQ7PLnC3Y+Eft1K+rYvLpkK/WE0PEEzTgdoj
L7d9sy0FWKEmq+Rw2GxbHfOc0CQMl1vHy++0sDdmW2911cOYFQ84dh5Cr3gpwv67EPqmhQZQMBQg
tXGXntbNvtrQmbhw+D7XckwiNr/iu02jQeJqlxnNJ3yWuXlzsnroXd7FvPGOXE9xvpX3wIu+du2c
eSvD9rM7sfQH27aQZvHdCsbSqjXpvNIysaJAxTE8Uq9HBzlm28qOFAI+r9r7hfInrQTIRAG0fKuD
+6Xx7qDU3YZmRq6Hmy+153/QQXmpXX+YbISLWrzgzLepbW2fbOs4Jt0i37oJ9rEci4Sa2YfYGgYX
gvYO3Yhr4zz3WGzzmu7HHPbZ7HGYq7hgOxJ2r3aE3E5aO8TdgGKx717wBC+ymm+mbUpGuR6q1j9F
MyqqPl9vEJLYSd6datlnnEM72YiER9/XCBA438TY+W8GREVcNF2xiwo+xe1QHqEuxotoP1u17FFU
vhTy6oS279oNd5DEzoWevig3CixK/VxXQzZsPBvW7gLg/NJrBXTXrikEwrT2qjPq009VUD3oKk/0
BvXFjJ8R9vBiX0TYeLS8FnB2z5ZNxQZ9lJ77y1iWb2Gnntt6UPHa9MUBKY9v7VxA4kYjiHKGpJ1R
R9lok6g1el9t/j7WYtcX5TNI9M/4oNUpKNY7ZbEwr5WSn5/LHE4h8ZPVeF3CNGcZLb0yE7R7bmi0
n9em/cyNiG4mo4bYXmsWuhBszap5WGsLmlF1+G2xltm8IdqQQ/6gtL1Xi9s1nhclvtI7mnfPdWBf
ebuIjLb9tgvD4GvYBd5+soYn3SDaHfeKR6g/XxpP3i4e8dC3hdeCczupnNyCXC/jZe4eBNSixPXI
rJAFD1VMD1O5YnW0xfO4zB+wVcuD6qK97OmzVPo4bbqNh9VbdmW4zXK3Nna5EX5UvRdAy2/pNpYm
lvWoaNpTWeMrMex2yju7w2OhN3BTIAnAMkI95PcJTIH6C59nksxokz/IwhNgVgiKfpZv/BxAXn6C
X7M98tZtt0xPNi1tALGB53J68tREjtCx1rMJ/OGLgpo1Jkvf8Q7VST7v8slfP47aFIcejf8p2lby
cRj48BmyyvvcO8gq4VV0mcsczojALV4qH/9r8iR36n7QgEtK6z3LmTX7BrdxGwqdhEgBFcs03cql
D4HEdBfR+dDsJ0eTzSega4zos14tKfFCKMMV/OaCYpfmPo6BIIJQHmGbQO2YY7QED7zmN4QNT/D9
sExD6XZBU7N7xdiIEJD14Tr1OsXjgnfdB2tcQ1OPTR/WMRTZR6/tJEKPCGtt8s2ZYMDDrz8FVfje
oj5OprIWCevmHlZj/lYMZaplaw16n/U9UOEHV0rvg7DtHkbSkPl8O5jRf8wJeR969rUEwR8Fm5ey
EEoBn+s3tyKB08EuSauetnGXo9QmcDmOSEAZuGrozweFr2+d2REhjeew9AJoheOHsfbOwCgudiZ3
Y09dWhgbHAqro6QBtZMGuNTjoTQ69pRVMeI+O9J0pzBC2sGrcND32wdoFxcTDp+17z8p0W8xmdr3
LXD+HRnmA+H8KV+RC/EslPuV6WPJgiPDoltdz+NyRQ1jcn84CAgV2cRHxFVEp9J6npHv4Hj70Eru
uWt7cDodpDM4SJ/8a3RBNCHf9dSIb22vmrNkE4mndemPuqDlE+sW9bQ223wjKDY9lct6kWOuofZ2
nH4LsJBTmEHVBbaRQLJhCFrkA/uogThcVk9zT4s7MnntyUYW/Z71qYcDlPf6G7w6IAaLl/vv0aDn
WPYR/D+s1gRhruU+0KWAhD3RjBlTvBaeYucR0MiRbAxrPjBrR3a4fIM7AVX26IUtv9/GgKfLspU1
Mn61Qa+tVx/bqVo0FHa8PcqAHVugUOAQ5ZpByII606pxeqDrtEKk35CcwhnBwg7qIfSOWPuOHFc1
QObs0UGZNaq+D5HCJc4adu6ZbR712jRnNrfhDWsdPUSRZ77ThRWnmbgeSSngbnGpaosXJQ3vbt0s
PXxNpXyuZbEe663pjxErlxuS9wJsMrJjEM7YmOIEJB9YPQE+64bgKj41dyNtvX1O5uWQs9buCR+G
U0vgldmiCQF8RYaledcFOxO66t5zHQ7iSox0TPCUphfDWvYaXHsuKzs80JmhWWi2EQKCJ9TdjJzh
kU/jlC0yUCeIV/5uIXCjYsPmbic3lL21b6ujWMgIeqenVTq3Ene6CmubBF2uj7lXeIlHpVkSv1j4
qXcl+25E0VLgaCMzCR+jOiNjgVocKHHUPhJtnR+D66Jxv6EUg9rzQuDXyGQuFvWJzH752oqxzgyM
hy6FeQpFqF62rwUc13TqNXtorsKuIQghyppVb6WGwdlHlX9bmdWilpUSNQoXF1qFy/0QgPlLdddW
QeZD+dq5aS2y2ooBR58Uj264eBI6yTXDaQdY9ZF0NdzwcLmhoy0OZB0PTa63Os4b6HUxyIUqLeFF
6kfR98Ls8rGuyswr5uYbyRn5mttoAXIX1t84C3KVzk1uP+VQIl5nhnhOPLY93+J5U/K206wkoBC3
6hNp6vVTU/qtQNIQyPopcJFnd9xEw2piEHgt0jANmoZ4XgI7Jw32BITqblgK1HcDwT0RzgzhxB7y
JkTIzengvghLnAVBXgzLYWtLFHq9n5Pw6OhyEOoqF3a8nvEUS6pOIm+jF4levU0d1ww8BXA5k01t
br09KVwU7MLphx/cLKiklnGs93qaHMuQgxl1qiMIgLEVAKsyNTSw6+toQRk6IAdMkI4TbZEUfSiL
AyAvfUNWWY67kc/jOwRYW6eGWLg00xiNETRc2n8AuYIbRonCK5O80+uwG2nB5I2WwJYVwfWXqnDe
QwEOySF0XrU9AkS5rqayo0tqGNuaGnpGQ762jQeHUnoNTloQ5hPC5maCiioKjlYWPwS7wYLhKkPl
GyrKKWc1AkIcF3Rqm4kHWeXLxpxKXLkSNpMw/W0wF1IBd4MO/FmIWovbpZ3W9dbWovloq2lZ8a6p
hjdCJuJcXPRiTnKgGqZfxxZGSx59o40T3/MANUW8QSW0p0it5kGWs2cSC7EoqQYwEIkn2w2aCWiR
KWZ2lN1e+GMzpzYv6jajCzSk4xT54zfuUVgc/uY7P9Ul8rhL5BCY6WCjRnzDiTHW6otZgRFm3RhN
ERSEhoEGMVHkHsmIgtpvRzOdJsrkF5gcbk0A/0xrOuU5ABw/8KS/G/y8vi2iefs+1iua/sDv/D71
ckxc2PvGC2VWrnroUs+HzxGPalJl2i6mO/PF0fU8X5GRPSrvobq2ZiWa0UpadppaC7UMa0i43eJ4
COQhiBAiPHNvasOncM5DL11WZS4d9IwiCwogFYkpdDFcJsUKlrmIAUgIp2uQcJ5BnZyH0YvEaapN
dx+u+cYS5LROI67ZBR3WtNZPFWq+4ZZOxYyCZvMosJ0gxzKE8bZ4KOsbCR5p9bsej7PauhgsFMCR
hUc4iUmAQiEjc8PMbg49glgtqJooayrrfSkRTWPnDnAOlA8yQ05qc0Ts1i0s83gMWpZIUeGD9q18
mL0WAAlInWAGYlOXLMEKhgxZqwi2kvHzKE86t6xPQINsgbbLVS9yW6l8cMWi3yux2e24hGXZIy/r
C7IbAw/tvG8LMLQVirb8FXMSVnNLSquunGJkVxhm5YQ7es2ZRRk0N+Zj6F1LII5IcoUq3EoI1NQG
7k0MwleJL5cyhFJdDUESIhPyilqXyRiBxb54CBq6fV36Kd+Qkc2B34ye2j7UVQDn1OWN5DFGYEzv
pN9MnShTQjMcl5APlw5s6XfYn0jOtiX+YtZFm11jgsEUrxs1BuVX2OMy7aBm1Am4LG/95sNF6ncF
6Jpw70dzUSZ+KZHxK3oEVVCHV1Vxo2nlvnMD2uHIBs1l1nZ6jmJkW7fmFPptMyR66cBSNaLiejdH
YxnEylT0deYLd/ueh8JlIRX55xIi7/QJMd7R3nReRYe0qESPczwcligZUe5AMPaMd0Zbrpo4wJph
wNJD+9jMg3/n2tzUSBN7jUitG9opdpMGZ4PDHC01cBV9WAFDAZEFZaH8ee6SGtwxnHCHvhC1nmHi
jMRnP6Sq9LW90ayIOI7FAccnzA24FKMOCex+ePpNOgHZBRNcbnzd5XPfT2/wMOXnHEYjdFWi6Rdq
Iu8tr0U3p5HTHI0+FgcC3V3Eza4Fgi0eoHiwOvGFq0sEkm3Iz9XiDRdedU2VKGU3Cg+bA2wevQUZ
cpy0IzuNERqIdAFiZtOxKUSPO67d8lSTYHIJNu9YnluWMyBlq6hvdYEfnMxADKj03tXwp6VcsS06
u1xQ061qxywD6KUaTw+nEdlknpKu3VrUnawuzxbyyBbnMhi/GNe3Ztf0eWETqx0TiYOR0u8d67na
l6hRRnyabfkyYv1EENd8IfdU1QCmwL+u3R4Ybv4e8cIDrzwURu69iQ/RLph92L7AmntQW8PaoA6b
ylYlizLBdWzEPNz2kWJ11ldCII0ZLdtlDDEkINFWh1U8cDcANOkAoqCDbn11M1AzrhmoGZwcrBq5
PW7tiBz8ipezWZBPoUsMfldkHKqgTcKlHec9hiEEKzpu5ApuyhbiXMKp6RTY5R68wEvduqtu5Dnu
krC1xN3oigqvjCXXBTaTCdx2R0LeV3seLWK6HikUaWGCGzv4NzGmn0MdSFBBjPMJch0CiLQkFOTr
H2NMQCdLrzElRVOVD9gNoyU4mtiw45PXxXiS9cH1v0PEPwWB/jhH5k+prdBHmIRCjGZRCA72l+gU
YVxBmq9ZykPjP4YSqiPreyCpdWt3kKURMC+4S2s8iGQRA8KWfwB8/xZE+uPrX1NhP6XGQh9BGQHz
k3F6zdP8/Jmh4pWbE3j9sW+2HVHlfAipAy/hY+zEf/5SSG5FQobggJGg+fmltgWFZ1d2LCV00HfU
R0PuAZhL66KWj3/9UuT6tn/+WBQwMQ8ARgbAG8Qv+ZxCYXfPkFxRZjiQthMUxaJHgSnSvPf8czVZ
CF/1gBLI4fDtIMHHkx/4/yay9qeEZYi4kYQU7eOygIjwy7tAtW4mnBosLUZD32sUpnOy1p6Ou143
Dxbt2PZvXvFPSzjEZw2iEKFOoNrhdTDSH5cwmuNcYU/iY7ZBGbfV/A3wjZ8CAv5QDv5DXwAQ/OtH
/ecFxBCAEgyJPOiHkl6fwR+yf4NZS97Pi0hhyzQpStItxmySEHwgUh1//VJ/epw/4tRBEDFkrhhS
3D+/1P/lwUa/Jyp5EFLku2TEEB77+fX+OeJJyZ5V2e+zm1Zoi/8uOPqn0CFC4oThRkZ1h8Pn12f4
vxlt/J8EqqWEukeREveRqeO/bMDJAY5fC15ljRFs17QV3deE17gSbJUMkI6SYpBbjHzlq2uKPAPJ
0SAN05QJQmjXjmCFQR1iAsNff63Xr+2nvYqm9o9v65evtanzFdWTqDLXlIA/aoAI22QKbEsPoyM2
MWLURVHd6zyi/2ZB/em5/wh7BtgyjBAE568//8Pa/euw57884n/dIVziYJcU0QisWlTOv3w+H3qF
hslG4N2DkBikWi8t6jxMdMrL9K8f5a8fCPsPKUeCOwVzvxhjv6zYgYFuR/deQXYmcMq2oB4A7a9d
uGR//UK/fiasVOQrcHNgOFQQIcn985OzPugXxJnKHVkdHW5FO1ePPFh9wD1gTubfP9b/j8v+j78F
X/E9/utUzu238fMfMzz//J2/T8ojv/lhiKtV4ugn3L+e+n8Py/LfIoxQoMjbMyYilDb/SMviJ7gg
UXWAceeMYl7eP3I55DdE869BWoRoUBWgMPlP0rI8vK6Gf+5wgcCQBKEKZh9FjrxWWD+vlnVU8xIi
apACFuB+ysYQAvpc1YDZpA0nnQRaDp/7tl+8bHA0uI9I6X8vW4QJAFeAqZ5z2XXjDmLQeAosK+7X
Vq2YHTRi8Avg7s90XrdnZ+hk0FxAU/R5t+wwJSe6myC2u5Sr0GxJM/YuCeawukG7OT5RQjFSBtjA
oSezSlvkHTNAoz3Kkt6yHYYB5V862E7fJIYHZiyfhotZ2XjaytG/8ZpgvXTdUoMgBNTpF0X4hvxs
uFOY+nMZ+0C9B8gSoHRfxw+E1eoStG2YzCGHm6EYSJa4KBYH542zWxVId8lbgTwEjxQsXg4bT5kB
9ld1nem1aH2cC1EdXCvtN8SMEa6kvHqBPgQ9Tw/lp1VMiF+UOaRNVD23U2OCx6oCM8G0sx9NvgSf
iW6hZbUdOv4N2/q4Rl7wWjvFtszQsj2PpOOniir9hIF4AuPXuqCDSdwX+xoBoKMah+DGq4PtpuDC
qbhb/OYbSFwLdAFQSoZgGLBuDUzrkfhDeFuqcIuQdvTWe4UALlBcoO63rsDkoSlsQPoVCJGleFjs
Jpprc3KLnL7KCdwk2jmdnwBwmr3GaQYgawUuFjl6x9TU3wUUqrg3df3HZt7oQwiY/wUj7ySkaR+p
JAMDqyOu/ogwV/FgtDZf62XWN1tU5nsYa/I71/WMSMoWrcCZ6wrOSNOot9ALIh/QMJnPaFwAGue1
f1yniB0VJp48zR7Wb1KMfnPCBLDoyOU8QZec5yc8CA+mxegvByoJedwwMg6z4rZCfHHWi57gPCrI
T5Z2bcIiDJxL0An3z/6yLbu+Crs9RhPCe6YgGZEQl69NMS11SpnZnkLkoB8QxXH3KIggi9RIg2Ps
2yjyDDUnBeYzeJCpAGFOEHElwip9MIg3WP0sC13XnOa1MIfei+AnNQ6kAkIp/Ru+ffSEgGm7KS7k
OoAO5PShh5IVBwsCxmDzVX3jFXXx2DeY9QSNMUQh7QhiIhzZF3NjyoXsVhCxL5GN5EW2TYNFgwYW
sE97NS+EuHDrB4e5qfTJmRCDtmDasYMUvDJgNzDuii1leSBNOd4ZOsqvEqDKri788LS5gmFuBS/C
05JjCfKiYixGeQLXOPSh++ATF5M/lN0NhkIOu2X25nPnwHZ5VJNTjmVNbloCKmnTfOMYKedXKqG8
E/eLJ1kWRCX5ShoZwnhqsb93iKEEj/Ta4ydIm2OK04gQibmBoWLxmIByfihh35UJXDYY7bSfP3IN
Vhj9bWNzNKJkbEAUaQz1sJsDlbLJEYkK0+L9FujuvyKCAqMchsz05maN9CxOg5DGGmPMPhnwJ/B9
Ro3hZT6zZ9/mpUR2nbGjE2r5HAae+cZb0T3j6y4OyAQp6Kw2P2PqIfoKrnryUMKZJljPXfOO6Ply
KmBIngMRsh3xiuBjM4hmjNlMOge1HT18TAW0iWTeMA8wnzGfUGktztFokMJGPvQIOKlKoEQ0aQeT
Cd7UVC8owRxs0WD5MFNSPq3Ie6VgttrbFTrMaeaV+LRWIUtax+dPACYN5jLqNaAfKtd0sF56jrRf
7cTVOWkW8okqQClLAq29854BTSLVHq49ARcdLuthEJOq7qDDbzqWrdGIfrNQb5mE6dunBYZPvo3W
A48/1SUsQg3x7gH5tuZku7XHZJUpso+zDMh9D/YBmk1eRS9NswK56VdFZIz5kuOKc6UtXzC/UxEg
OXrIIiWq26XHZEnsgxHnUNvI6j4fuPeNDRvgBzVDuUjLusf26Qp/uAcfjgDaQMQeIhJFFKnLJ+hp
xVtYKYlRqBi+hI+V49apbJ+DJUYqFXWtdP6VLWHLWdhaIq3Dx+KShwOcdoguR9kN+kJABGypI6E9
8TysUzEN5tFNjO31toQZ6PkgyzdIJ3yrEd6o1upclBQqsYCye+NVkAdBTa17RUN2hDUoj3VQwWnx
KtvuJih6+MUCkDd47j4N8zm4gfripatplzOdOazRATmTtRzrS2SRoQ8EGFo75jgzSMe8HQ7P8KYo
YMSXjbIHGGb1vlddf2iJ7shjo8MwjKPOtXU8jAbGeMNpdG4W13j7Wq+2APZvK4DiYAFBKPmIHcPg
8TFdTnSFPUP37LoM491m0JcD05cCMNHHZpnsFndW0hVchtVPkrUa8yEpPohZfOzRpWG923l1Sd4E
o+UC0bwPm32PuCbI5t41+zas5XuY2/odj7CJUq3UhDPWQcgSBvnIOOrdlkLwxrLNtW3v8khCq0cO
/zrRUE/Vw6BWnNxTjYg69uPWHETd+4fGRKC8uhzfp83X+W3ZmEZCCAM7rqZqZ+Z9PvqkThFUwbXj
gSWP/UKjzIDcl8ALWY7BFpApI/7MH+cJ4bs4KGx4Bo6MMX9s6t0b+iFikhrZOvg+Q8Ra8BdhMaWI
2kx3tV7a+wreaoDX72AGRCbvigx649Xl7EZcJG7K7xsMkoswpW9EMrT3lk4mSERN5zHQ0QfEzOr3
QuEzk7Lcvl/lCxz1IyB+7pa9RcLuceNd7yWhB9MrLtq1PBVbjQDCj/L2Pyr3/x8N1v/LodeMI/Pz
V1X862etv/3X12/6v5Jfp9/87Xf/Xs2L39C//X3szXW8zT8z9pCRMHwEWwdjkH5odX/L2IvfQOpi
GLV/VQ8E5mtBD7O/j71mv6EUCAVmX1P8B73ofzT55peRWijl0b9iOBr0pTAkAarVn0v5oBiwE13I
0vnDnKrDdsCYtFh/Zsn/ykC2n7vM318sROMMbRJT9EhwbXf/0J//n4iTXF7f+U9Nis/RmgSYHYBe
yfflL0ooD5BwpguCluPa1Cl2DxBdL/R2HYxReJn5nKlgI3uLGjwbCnDrQV+r96L084uC9YxI29Rn
IajKDG0XvEPhB7HYcsymdQwZe+ee8J2qPaZT19mEAZ4g4ClN5nWZ7pBQio6RrZoE6S1ASRppCvC+
TdIq5AFH6KmH4L/ZO6/lyK10Sz8RFBseuJxE+qRJehZvEKxiEd5sABvubc6zzIvNh1SpW6ZbCk1M
nIlzZqIvWqESK5OZwMZv1vpWWut76fnoZKbPRhTYjepK8J7SDAzMpOagrWe1YRvRr6Pc8bZDK9TO
SnX2dEmc3rDriNeMXLWV24XJxmoN61TbhXbyNCF2kZO7J1fZ1q2c/QmJxtRfl63rXRUsQ55s1P63
Wu2h0gy9PjduBGjLitMdHykPQhv9QROPzl5vsvm7jzwlDtCbIa5z/Opb58bzh5OMyVNe+jJbj72y
H/XWw8UdYqpkbeDsqnmOPpt2ToogN5x+IytoMEgYXcXGUG/pyEbDmc+TN1mH2k59qrDM3HTpUH1n
YDV+UuZ2sJHEFJ9Q1yDa0xonQtfJM5pFVhvrKyFltrWa3r7XR9N80qCU3k9GPTxWfYJvvJ4htlEm
NLRCefqK5X66K8aSTxFOkh/4cT6v62n0FnycUkPQTVI7KaHN/R5ag7o3IOG0wFCj8CHV0/qxCb3u
4Ntat2VmX56abBThysFm9jYtE7ZcG5x7C+XIGUtHs7ZdK9z7NBwfpWtq+xr0aB4kHRBm6YXGXe34
xb4EO8NDD42Ou86l1Xqo4WWuB3rEFFsDxoqtP2+YwqJS2Gu98o589817wZP+Zc6LHIyQUQPkZhR0
amJn/ACcpAUm5r8tdut63Tj1wMStGGmJoK/SXaqgFlB8cBfPaM7Y2FsQhLaqVAawXf3Zb+u1VNaw
aWvZ3NutG9erIinCt5Tq62saxdpLZIzTYzW2xqfNXKALAM2IZJunqr6WoHofzLBv9nnjx29+UaEa
0HxVmDetFYEVMDIfdT6tD5oxj6uhZv8Z+hshQgda6Si6nVADW5lqNDGxx1TeHeoIq9pZIAW+lnpI
EYaHnkF4qcDq5BE+vNib5ZuMxVAGmVNRAicx/tK+ZBcV+UXpobEGxxqoootAxbfpsPIHbrmgxG28
BkRpXU+idr+oDGn6xkrDdA68JPLPaW/XJ9VTU2mlad8xbdRu4lD3yjVeYucBh72GHmDOTX/bzHrn
btXcghQpEnQdoUrEJ3aD5AO3dvtQOlX2FNX8E/wwUBu+ZuHILZGun6dQL469Z/KLllnbn+Nw8m6r
pMIdK2ZjeGq60sKlZek5S0kOs7tsWjpaPu30QIiCjcprBJubZfHO0hzjPplVfRxxsh1Nu9KeM64t
nd+nr75rxkjDos2RWKO2iWq0E9D9VQRLKuxs7EN11NR3fj6037qc4lcoYBPQpNUX6XglgIApSddp
G+WBor0sNhCfc8YZwkFzczCVLz8HDfeMTBv31kklEr3Q8scvoWZpGxPeO6rTxcshZjCCMWJcT+RQ
n6WVHZrakCc9meWmRC56VCKDCDDq1SbDtHwXNqG7i0yuGzarLWechPirIdrRbb/cG73qr9oegAFn
wSIkj0tQK1l+bym9CnzMh0cbyP4VWPivTc8kpXZwZHa9K2mQURTGMeIa9IAofErKphpky2GALLYt
M1wCltMlW1XN8doMtX5Z7eJh7iVo/pyT1hHpfI0wwNqUGeVebYIzmyLBhFbvureijKegLvueVrSy
T67V9dfLKjYYemEd3c5yN+YY2kczlnhTTDUfah+xH+oI9FNlrjZRP2L6hwWD88Yv/Pg4xUXN4rCl
F8pHoFhCGSsDlc1dzwOQ8b+hgK6o/oBqkaPGdhLtqqm66dFx7UWXKJMbTNjmtYiByplRjwO5HkLU
vFIcTJw5uyhB3JvmCYAAUXtrOMNYCeauWePWtDczyoaTmfeQnCmF72tXZscw4bhRqjf2Yxn1Vz/r
o8Ipzo+NFmtvHXttRmzOsOHVwa8zMtxkuaU4das7c7TdFdOjFjNmWT2VWTI9N4QlYFkyZ8bbnqDD
LJvmsY4SvPFt5EEKYO61ynBZ3Ihex5aMv0YP4MOoQGtNL1jEV95cMYzoUMTvC/hEp7J3fex//Wze
JCYAgH3tSxD3F12W00vHvdLqubtuXDbfozGxnQ6FMTBh4x6FbtNnZw5fG+tMg1c/7qLuKEvbPLg8
JdATpOWI7GrADWJK5KkCjaZXCQGCzm53Tc4Dpk+n9BGJeHpO/Tz5ZkxK2/DvtNNYhOXd3Mflkzsl
7t53o+TIYfhNK6ri2ekwh/glopwU6BpzrTFT69bT2mDKwJ3kAC25fyk3WMpGATASnF4yo5nLMlND
7O/jNKkcnCxw7wNjZmgTI6PaTiATtrpXaCvoIFWAv0ZbxPvTl2qQ8dKXDviGS+ubN5Txd9zZ7Xke
xAJdSPUXbWjGqxGUwAnlFYdt7OnxO86gQsMPmKLlMKxyipD38vUHHhQP0PNy6TGzOX2e0HTvauBw
d/B6Rnj62cCTZWbqe1dg+vpSmYmxS8w+2WuT4n0D7nGOZeiqLZYz/+pXJfr55+rv19vxC2P4n0Wh
Z9kCVuSyLjMMFo4/F42/qkDDugnBiTc5RNeyXzWP2aZ9OkR7a5NstGDe+XfwXpqVOoi1AdK13e+T
7V9RbJeK/1eF6Y/3APLXFijulxXrb6vgeJhywAKSE9hPg8KLdkBd0IPzfwrCwH2Byzbrvvmavolq
WjuCMBAwMSWJt2GS3hVeiG3qqbbuWitfVxEWtPDKrOutNOa1tJ+qTP+5ffu3+64/YHAvH9qv3vDv
xv3tgDCdMAtc9DsG+uND+2TfFjfWptrlJ3sKNivtvTp0N+jTHdStgbb98y/tgtX+w5f2q9f/Xdvg
V2EKLYrXt3G5oPMPxKbcxrfOgVnCc/6OtWWn9n/xmsvf+WevuXyJv7pQvAaUTWUtjK1rDJNUKwCi
E5C/6X1zU2219V/pNhai6h9fcCGtgTJfZA6/a1e8VNbZzHoPerN224E33vbbaQPsY3ub7dsg2vg3
eJeOqOP3gbUFQin26V+sT/+wj79oR9gfIbDwLMhfv/2dS3g5CeM/cKXuyanUpmbeYMcfsp0Of/7p
Xhbgf/h0f3Ub/u6X1flsGyvkG+3W2fsr/r2dsWl3/qq6Gd7ZKm04sa+GtQkXfH7uGPausvWC7r68
i781lvjvDO1dtsX/fgv58F527+XH9+aPq8jlB38ZXhg/WYuyAMD3hQL4q/GFa/3EVpq5M5Bey0ef
wh78x/jC+0lfdgysiJbssGXA8I/xxTIMcfjrmNa6NioTlD6/wIt/nN9/ltoFkOk3tw2AQHcRdDBe
WU5Sj2HJb69ZlWrmHFvFvGackh8iUXKvjpkTsQ7L1XXVIwQya+GpvU6Vfzc0WXaaEaTTXUlVPHpW
LMBaJQVae1ZQm7x3AFjRnUzUh25sDtvccG3sm4az4LWSnagLXsAJbYGTDNEozTjJBMFgSZ16R3r5
tV6i9sUB2KfHqbSzwFddMewj/G7vbZGmyZ5Rb/ZkTAUWOnzzmNYZUn5LiaD5wLztXU80ACevxcUq
Y7z/DPc7gGMAvtDtNZlXPBeqLzdo9bECxBPmstxPZpaPfo8k1qqURxdoKe+6ErFzD6A9f5rdqfw0
kO2h6YRw+x67aXtE7e2tx1iD2tVXNNt4LRqmtItp05HzQyMH3OR8XFexXU47FJNwEDBBSN6Q5zrf
Kcqd77lnSobCoTQx7qTVOKzmRDFICAeDufUwWG+gJSxkoL06z5qmH+EDu98Li0i1bTiXOZ7PGtm3
PdA0oA+Uci3Mub+Log477CR1SHwuEVpfkKBmmLYuXNrY6x/cVHXbsXX0DxJnum+dsqvrcrCLg57z
B37q4EZHZoIvvRfVEwhYAM1DX11Pqtb8NQ1PwbmG2vu29Udk//0o3iWNRLuyrKQ1g3ykTQYb5AF6
Gr0n+IzdKyovSe+vyzcSl7w7j6+yDUSoYUDREI5/ZeGdoXSMRU8TqhU3fhGX75ZtWC5u6358c0rN
uUOOazP4d/2vjEAw7VagAeAllnsaR3mtJ8UEXwpCk+/RJE+DUHe5maojIr7o2u+i/Dzn7C1Wjl66
H1UOG8dmWAFA2e4OChsbfW+4TcZc7VmyA26r9HlfNa0HVDTOTiiaNRyaSc1suJrJGonsVwcV5z5T
DQXakIW3ZjpK3lDafYrSz3ZmWmvY6Fq6+5AFZCTog9y+ki82OGCP3WDWW+sJBfB+mmpgU0D/ur3V
mNq6BHUIKqQwcUu01KnAIsxaW6V6xSSOVCN8SWCJUA62TmXcWXWqrBUjlOGDPUv8FsHHOabFnH3V
fC+MmV20GNjnZSlWjxCk2C6kxjUUNPltAJvGvmVEuEthqfR4w1olZMVcZxgxKfEBROXunNMvOEwg
QG9AdVn1jaO9erFtXQna+iEole+8SU6spX2vpvSA69k/m5Ws33Q7HK7DLgnvjKnqX1G4RsUKBV5m
BKEA07ly8Qxx83CPr3oiCXcyU9ZLL7IebiC91Ksyqxi/BUsp6CFguOcVJg15woLDJpwppEvRVJX5
jEG9mG/GSwrdvATS1VURPSb6klJXN2nurd0iFZ+JWWUwjZZIO5O185W85NwJ3Fgsztv8sWM3+1xD
wQa3W5SwNoSZPs2OCp8qu2GZ0ywperWos+fSjUd5zLO8f2lRlVdrIyrtd9DN5Uvq9MUX1t6QDhJ8
PFRcZJadW9LbBjxxuqkdcpqo5mj3tsQ5WiNPv8HBkPRrPHYpi0R/aQfIqsPhj1x/eOn8meV25g3G
A6iilnyqkLQ03BEz9nmcWI1HspqWnnRIqYCxXLFNRTx5ga2sQsAJ1+Czprav4RVLvRf0X9PW8hoJ
HIp9mg0wtdHhIAPiZnGrBP/sVXaFd5TrHj2FirXH2LO0J3ytKfNS9IgnsyJljb8zfJFpRTvXWrFq
gnTyuq9gxeczkswFwzGAKQZZwOTXzF3lbBk2GRA+Ct/loVFymDhpVd4lKE+dNbut+HYc8+QzGapP
Ky0HEI1Q30ItFxh3inhjFQgIVl4/al9jbRjS9ZCqcd8lU/JKM+/+XLb/rfLmv9rW5WcplIne6N8X
LgB03r/9z//4F2ULP/ZL2aL/5COQMjyEmFQgiDD/sXWhbGEnYDKzB27jo3Gl8v9Rtrg/CdvyTN/R
9WVF4ThUND+2LssPUZkj50R1YqDHtf9O2YKe9ndlC0W+ZztMBSwkXPxvKWt+1V6kZqFNxsy9QipW
/wpdyb/CGSCebYBa/rqzkOXAsKzXdj/jYAllFd6wz8cgm18UDXPEanFh75osakhAWo9l6NwlfvfI
HhBRsq1lKH6U240HpUr8DI5byN1IUg6pZ0wBvrm23l51uYnVvKj6+BIHKAJJPODygGwi/ypJCH8D
2lrLXZd4pk4P3zi4/IqJe2Z27NeeTajJGHUy6Vf9COhx35feJnPs4jWphvhI7cbZ0RZjlGw7Nw0Z
C2rCiDdJXhP+GFbTRHJiWG1U72hfozmEmFVZoW7t6UGim4YPblc5yruK/QK7mKwiYvJqij1M3mEN
qwwHCmQvuyR/rDT9q3aY4IeRXhgT2hLYxQg8EB2q3FRFWt9n1H+3c+2zoUmqRhL6xdjDtEdsTibw
mImnl12/C6fnpXA26ttWdxg3dqMbnlgsAJlrGmjvcGCIOrSwtKVJGx04Z+R7a5Na4tdN/31ghP9Y
G6PFw3wOzzgq5ZVVZfa4iStHrCptzrDixuT4lV03XRcDPJ8MoM8erY3L80JpRzI4jc0cjx3oT9fp
jyU5k3iFGhkypgXQla+KJU9gyuqYcmuahlcgJcZN7xeMWbKuNrZEbbRA+C7hBEo34hR0bW1/4o/G
4K+negRRhwcr62e7aa8bTYXFmvIFjRLAC45pbG4QXRkkXXkpUy8M27b+EmIuDmqeTjdqrqpd5jTG
oSSW4W10xmEzs2pZAxa01rhyFCsCVz+HY5Q3e0cDQRdIRW0XdlL0q0lHQw8iKmVWbtgTijaphc1z
XMVAtS710mhOxXvUG9mVKK3hC9TX7iERMyPHpdASZUfN1Zpd0gYJV/ZtL9vso8PYDQmBQg3Vs/dU
LcUbkYTRxsJ/TybH6CHxEEXfiFUX2uHZudSADMw5wqdZWrejMZcBWq7qqRe5xHddUkPGc9lti6Ww
zM0pOiHp4k4alrqzHPkTrXTduzwSQAWAxTUrv1PiSzU10XESkbxCugD4aF4qWnepba1LmQsTiHsQ
JH/+oumxOhZjSPKiylTEc97J02uWXsa1hoxnTSxdugdE0t+VmBIpq1HpQmuqFREYfdG44dK4NJ+i
SuZP8uEozfNwnpZzIrxJlqpdJAn1+6Q7W+WE2nMPT+oGtYu6dsQcUXF0Nt9poeF99HwUN0U72ljk
lm7BXfqGcukg3DkDdDFNrhbElxajFt1kUb4trQeO0G6fL/1IX+r6CztWwBveRGjzurk0L8KAPTsv
HQ2I1vRELizOdt2Zym9+1EfPfNN0QWSP5U8I1+McokrXfwHWVU172SLJqkGt0qosHZWr4IhbSP8W
RBVHa0AEpc+mryk/cgvn2QpEI6uNPNPiXbj0a9nSuRn91IONsQfuYEbnWYWEq6gYrIFy9i/Nn770
gWz+aAmHxk1PYg6L5znjubGzU0UfsvSReTZFhxz8Ou/eFeku4vjeuHCYn3MLc3ZuCWLasjHRvtqX
Z3y3PO5V2+DU8LX5w0OFtjKb0qZbI/TkeuwMw1i3vMZDgW/GWfec+ADsyDE6lLE9cvpcio4R4aLE
fG7Lh1yW2b09TSaiOVUSzpFmeLJXeEiTF0/F9QtQNHCMyOaSQJd69ZgsZU93qYAgq1ENlbU1UqRj
+M5XJDjkciUTYjZWMej7OXC6aN5OhjXC2pFAfSNdzDcpvf/OjdMw3FSGUHhsNQRCc597iLB04QlK
6SI7uzRX4JQMecYkJyFDcQVwTWllzd2Ee27lohl7No3M4RvNRXtTtjP4g0IT2eeY1BACfCdfW9hO
mHRCaA6tgkMjFyo7D66sVsCqnRW2tvhoopWCgz93G8No4rMPd3vdoVY8FvlcrQfaf7UG/5Df1Yp4
kHXbLttF/L/0e1ky3Lgs7hafUATClZQYClGMvOKcgEIBjzmo+tHifHno/VT7aG2ZYtOWmXvf2dAb
WHZ4wKAb6ALs+KNHAI/2PpwLJq96bzn4XLP0Ne37Xqy0MbN2Km8Jf2kEmRwrbtnhyhjN8Psgmvwq
x9L8GTl+AucWv/zNFHf6m+oi44ZjaL6GvQ9c3IHHwl5ac278zOV4JVLTedNqp3vjeNV2htZUW+SN
/gJjL/S3EDbJVdaNxU3MBf6YRgN7QCB226K3+h0RmSGUIM8/9EBQ3xJia/EvD4YTrdkl2fAo+/Ij
A3nNf5ToJ6sf9dfG4ZoIWonfNkxN7wrxCGqrRRzArkM7GmmZPfijY35p9cZniZYXrcWOIjacAI1A
+BkmoSKaN0Gd0MAZf2gNF1Uu/9kec6S/rXJndIEq9cMps1EAg1SI7wWG7L1X4Chc1fNk4BfX0+pa
gXtr1wo7H9ZJ+vYzAw/ADLKVDOkHK5Yr08uta61Tcgdwuf4xsf9/oJJeErP+fSUdvLfv5Xvz/Y+l
9PJzP0ppkrswgeF6c1D6U6kug+lfzAhokUgJoQCgnmaepzPT/lFKOz+RtsgalqBMRoSYWChw/1FK
Q+lFvoTDgR+jq/5bAiZiwH5fShsYfXTMgeR/omayfzcBTBbsPuzDZj1aNcJY4yKMTdslBUcselkA
gBagZjS0iNGHU9dY5dfoIrFFfKrfJViKzbW3aHATrROnGRv+djBy+Qj4KPnCupmFfJYi4CXcvMBN
1bUQzsRkPRc6RssVp/74BpEbBTDNt4aDBuLAF83EBm80fneiEm4+PAcW81LgIQklW4D9L+w6STB2
qUr4OGkXBsQ8hVmg6Vb/BfPyeIwuGuWYKLovWdPTJzulnRtHyUo+DULTUHGgG2X3lBXEgmxQdtig
84ZCbin5Oh6UqcWGX7fPoo7ZtmppZ/DY6tP5tjCRZh9nqouT30mSMuwovykmbsZkYoWchNlEfeow
j1l1sZmCiLeg14GGbHZ23TTzZlRNw3BTX3T75KGq9AvzOkB3oq5CbAGWLkBZOfGC7hudLY5rtPvY
wt8sVshvetJQSWLQ0Ma1Rumbrt0RI/sBDuMENxxV1G0WGfjX6BSqJ3tu7MU0bKtyI8mXeO3JvqpO
Ggic791Qlw9OUVuPQ+OTTdJQoMsVcjfjJGwZQeXKGsN+h3QQ3/PryA/rkiLULYFC2eh0hzIiZAjg
KjAgJmQRgNlqwnmtLLHVgBNeVUtIESZl/dGZl+SiLFZio0Ppu47hUm64mIyzPoZGUHUsTJoiSXYQ
44wgCh3YZnNRFod0SUmylrykeklOKpYMpbKx5AN5JuVXy3Kindlq5rGO0/zbyPbyXC5JTJFIR5xY
pDMt3dPaWhKb5JLdBH5r5CGYqaMr0+gZzllFQsqS9QSBgIu/WRKg5jmUQKHm7DByXINqmciK8pSs
jrXlloGVGN3ebmt73xiNt+mqzr+1cfM8JEv2VJZlyGfYwTtYpROaIWqegYkOiVXM1iEmZsP40eZw
2s0l2krMdEGdIO5Kj6zpql0isIxhVtveIBYLlGoHpFBa9UMYovdlnU+Clj2AbUiXWC3nkrDVdjJ9
j0192I1xrB1MHZ7xrBMdojVefhdXWOj9S2aXJ2dY8DmCMtAv3rEp4Z7GkZe5oDDM6dpbcr+sJQFs
6lPoODYiYVSuJISZkYvFHdTUNilbHZsN6W2YdwkWq/HXowowz03ijfvpkkDmLWFkRLd44Lp7a5Mt
UWUxK4RrscSXNakznhQ9XzCWuRipgbNhk3li2vUGcjjXIs5WC2FNDGYR7tBauwgQB3+bOnVz7Q5p
vqsS6RwnKv5NsmSrwWnN38olby3sQ3HSDGXcl5c4NmBytc1Kn5IJDHrUnLs01o6s6qEdNIpja1O1
JSRaQftL0IpvyU9AGw6IuNiJ1U5dIuHi2rHuomGIDhzWw3tyCY+TFmZYpMv29NylciI9aGlNOw99
UWQRiL6mCMzQaSQkwS3tLDaHpbF11fdmaXbdpe3l7uWrV5Va+7h6rqIypD8el1bZRtqFbwPKfGBN
GRg9cAzrOjba7xh8MloYNJvgqUQ+Im2mDY9YpOwZOcN4dkpvChieFHcRk9N7NiqAA7s2cz90h1z0
urbFkYuqOg+K872ukBgEmq1VmMIvowGUhyElz4hAq0py70q62rCpaOTuQDQKax9fxgz9ZeIg8uSR
QtWw1wWr+ngzSgVQsTayyN5UlWIqGC9jjAwK7+uwjDbI7W6aAKUKhYnbYNhcN8sgZL6MRC7TEbeE
zb7LfDSVBrodUtGQ1QfgvPIv+SBC76rWDX7BiBP0ZeiarFkZdRXv2ssgBj5re1Uu05nOAJW5MjsJ
lJZnBqqn0ohzFDkloHgdJwcKsWSGXnAZA40GfQv56YDrVyRB4euotTpE4zot9gzuPqwaRZO1fsD8
fSi/2Bc7R7k4O/TOMAO1uD18r8bZo5rx1Pm2vnEmR7+tnOr74JTRmtjy/rq6mEdgJjEi0EmBQlSW
7lGatTvy1vGb0LIGqSSWkvUyWry/v6v9LzrMpF759yXY/yiBikv124i2H1NQfvCXcab5E4NH21v2
rfiasZ39swZzf9IN9qnCIo+czf3iFf3HFhaXJiJxk6RUl1t3+aMfNZj9ExWTY/gIDdCWGzh+/844
8+Kr/uc6fxmMIvgUNu+AN8A7WUq0X00z/7OM6L7xW6Mqw1WHNbTJQtJ1BI20+TtFQ2cXaAFrZazr
pijCK+jlgL/kNHVoWwe//saxzcSLrBV1PWKrXtt6712Dk7FPXukNmOza+esMi+bUk1DIGmd2sJUs
uKggm0c6U/Jv7OcylEwRfQUiLRp7ySq50OvPaEjbPYoof6PVEF+FSJw3VaY1OSVmf69PmngjI328
kmDP7m3RextQmNHWa8KRIc0YnRNtBNsoE5G8NiTuUF+Zon4yego58K+XPtuJm7MZ2dUVdlzzVM2Z
5dDR6nTngIHp1KfBgw+hmq5dqjYt2gjGZvsci7fYVlPpoWs0+pCVBIXhJxPJUgRtUtdj0ENuPtDA
FZAmQndG8ZkvstXL1kZkUzfwGDbym4YCtA2sZcVTRiM4J00QEhIoRMz04XjI+3UHIdkk37NiylGr
2GnY7OW2dohCox3Wrq3S6w7/zT79edF0WTrBniq+VMsmCjZDdKf3MZOOyJmbb9iliY2hoBHadmbZ
VAdYcOavbRw5xAg12aHShPkcsVHbtgTk3UDshkZFYKXOxEyU79Kpe+C/Ujf2sdmb00GjAn0E6Tlc
ub2Qr06mUiK8DIcDfhoWV1rM3rvNqvxzLLX0sa+T9sbUMfZBUINuylb+uyLI9TgIrbx3sMq7iF2T
7KSlxWRt59a7Ic/L/yBURJyg4cY31LJzEHf2dDe4Zfo4pUK/n3qGxR3yhnE9iKLmtYeQMXfINPyr
bsYVkUeu+GzGfJEQEHlCTr3SP7zGbwIzaSl8vDBCQeZ3Ux4gg60OUFmA4Hvp3CK57v3wPurZ5WVm
BDk4nXF7IYXPUvxZGH7G1iowsuaugROs85vD1JTIDsGrRMeeMLRHh8SWc1E2sJ8HphFeHzlyRXmA
iWrCKZoc6kYMJKBUiLvJD8NSu6LSbqdtYTfmdyOGt+MKdBdbBRfvmt1zP28SaEhXrc6YdiWHof4e
DZ75AoJIGxdgM0B1isCvigBb2Him/kWlEBVXSpTgj8kXAj9KutJb1/jhq0/7983UUNhqut8HRSyd
PcNtsnLDrCZpsSkBFCc9lrRxqtEv9kv0HeF5n6kxWQ9ykDb6jygszx1pZ2d3rNX13OEj8N1yfgKU
4B90M3R18K9mez1qfkZ0rVk/aUWX90HUanW6g1DV3luJcDK4klnSftHCxWWLcHk+xbkJ6HRKnA6+
lp0cbLtBXkg2L6Mdu39ndDqtHXuWO7iHKE+MOUPjxlbT4YDqE2bSkZ9nd2x4xMqUMDGTrCeQHVz5
RgtBpK1Sv7E3BJhBrNZt5N4IjnfY0qKAESGbcbjo5VM2YgZY7ALReS5HfT/Xun2Pzvijn6l64nBm
10CJJm5y0bBwSFhXEuaRMyibW/80OtYITxM1ta/kvOH7nALlKzvwOlIfRo1drFtwkpQ2vSsGNp0+
uEf/nE8A1GVYJxxpUP2ETy0VsGZAOUqHcVKe27yCVDduzSl5gTp2DiFZLbPOHC/l0Eak3cSQ4YM0
duZviZUaVxn+y4c+Ndik1JGV3HOYRdjaIyd98RgRU2dGNspvxuEUZi0IpNwwienJUwTDx7xxnTc7
abXuxgA7+iM4wG5bLzkMPNOCBhjWIRNZiD7I0x8NXbnpeVagyY7Y1/Ubs2lLf+spvkSHcKN9Hcn2
Zpgja90lzrDtPTfU9z9HCNQl0WrABqV//Fc5AjjJ3bdmFHeEW2OPzBjFp5Ep6FqM7DWSjvEZDzDP
/yxUgGq9e5ztWIfpsuCyM6LdzChLDppyWK3Nk7f7q0iBRrIlqhNc2ur/fIwA0UhqrWeWvjIGni88
CIpjXE5il6KKx3QeJ0ikSQLIIs27Tb3wTfV46gdO9BXwQoPYxuGg4gE3QU7wDbqSYFAAZTzSGaFw
ziR9T+QsYmRIBm6sdCEvEy+4nWPb+PhdFgAsLO5Z2vvT/48A+L8eAWCMxOo5XfffKwLAIcpzxdgM
cPfCW/wXEQCwMurnuSdY5j89AkDPSXc35f9mBEBtCOb9ibrKR3/tOrJYu38RAMAWgTRNmXT38b8E
/2sdZHzGS38O/i8sxfg0utbn4TH2FZRoZH2Ul0QoNy65rrbRbhIgmwdNdztWQn6p7aO8ktAgEnlO
C8u8QyQ4EwNRs76olioVs+frrCvrAZyjONVLPmVaoAmrfKpm6ZEUFfUWh2eZmx8eC6lgTNOYNp4d
iRsm/kJoeczyjI0JTr1Vb5LfHig89y9REhHW0UJlNnOpUfH2rwN43Lsy975EHmOKXB+to+mmLB89
uwZ8Cw11hRMrXcu0fw5DrxGBZoXDrV3X3j0pCdEr3rzwPjY7cjAwo+mbDgnqLu7K4QBgwNiVQ0Py
QEcWiOEb7kzK0NAJPARkVVTWgEksyoqgYryWrxirNtoxicEqB8g72nXout8h2RDKZA7nUbRfe8tF
uRV68kGJYXIRlKafFCtpMOgzgycomdfUi8T1pN4yPkp2htliNs+oaUSqBCnAQ/bid6nzzKE8BrGl
31Q+XiHKwhe3k30AeRiJSDs/M5QnKcImmrU3qn7Vlb4HexyTKoUHGVDiuUzTHBA5EH4TssM25vm8
R54xM78w3xyGmWsfRXEA5Do/OTj911AMYFtoeDA17K4rBFXdNkOWetbFaK6knbywlnt0fQ1FKMAX
SBwoNCO3N97ZDwD8d3KVbAhrJqNp7kAGT6l3YFIa3dZeXvCKcwzSoB9m7aEl0O/G98wxMLE07bME
sje/eXtfkG5wKkyP7M+WC7XMIx/raKozSalm46auE0VSLED0K2+wGY4VZXqfDUWxHytiCmyq+O/w
WIdzJA0Xy6YtjAeq0mYDTrVYZ9KhmZjwoS2Fr7yNacf2vtlCKBrBwrD/jYhbyqtmx4S93DlQVd+I
qkIFYkyYlokJkASW+Bj/eFKePayYm86EN8NGY9TXSTcU32qkvdB9FNTUKCl3fmq356SpCbaq4Qbj
N5zmq4ZO56teWyYQgXbG5PO/2DuT5ciRM1u/SlvvUYZ5WPQmgBjJ4DwkuYExOWBwOGbAATz9/ZBZ
UqVKLbXV4m763o1MMhWLjAiED+c/5zsVRej4K7IjjioeJX2mPFvl2nglFgoADJ6zvdlYzQWeD4So
em7ex7JxLzx4CzdeMpX3fauoIykzMO+6HVzaXULeIInFN+pL9JAzdw+nPOifHaaZau0ElltGDRmO
oGU6+CqZdlT09pd6MUIYxwUojtQJUHph5dkYao0PUNZY+n3XK8Vlph3aJJRGV98rvNFXvjejmFFy
6jzPucagxkhSPxSeXtwWtrg3Y0DJ0ungZ8p6gJO6DHvP7fOtNJZ6B49N0GI6yHpP0bqe7GuKh55r
XSJKtrn6QHAJ9s2QD1emXw/YS0zz2PJZXyRkrrYtrrXbCtcixmG8ufmhy82FExJBwY9kbtVFScr6
GoJe/SYVQKzNyAAlPZdtr1CFl34HMLIasKqk+fdCSu+tkJl/ZVRr2osUN9RzrAjThtZ3XA6Y0l8l
KK6XobXryCtThiJlvHTH2hfaLvf9/uxDWDlTvNcKumAk/gaBaezKacyash0m2ktDqXVrp2LXYKPa
ph0Ymwhyn34zqonyZOzQ6cb1Y5wxLQAOjWsPLpqoYozx3qaBdUglUOOoN2JG+iXx5btlUf3ZVLX+
zHxqvKBxxzuUfqrfssgaHzp/85XD23oUbUer9iKsNrIEGXtI0aTtjbl/LcHtFOBQbPr35iy1nwfT
7J9/keF+Txr8RznIG3yaffdf/8nA8x/iOJbve5brYhBkimlY+hrX+UXS+r8JMQSfCHmT1IRLq5O1
DlV//c05l06INMjek4EBoP2ez+e/rqX+b869rPmxf6O4yrelKt+6fx56rz/3x9DbChzThKzJWNm0
bEyifxt627+hdRqkThAXUWLXxMnvgqv+m0Hm98dsGz0W5oTLZ/e74qrZvzGndsHmET1Fb1pjf38h
+OKC+fj1AXWBtFq6axuWATeEp8RZw1y/PKCdAP4pkZoivVXmdYZakHqnPLUwWNyWZBIKZmWNRPfE
R+h4MhzBmJGLL62rJRir19QJsg9hYum3Jqv6lhgg80IJo0iGhpcldxiz8FgNWAefKp8gcDXXldjJ
xYPap3XtzWKY+kVMBB3RgkELC0MrriggYsyt4qS+lQMdg4Ji3kt9kez6MxXa5xFi6YWvp1ArZmOZ
dlzSKdbqe0/eW9R7g9D08ItlQWNfmanvZPs4NhfKiCH8olmIPcPgYbicFEtEVbf2lW9J+41dg8OJ
o5n5PZwN98HMs/q2GqgTprza8g6wXiXNWX6TbV1nNr9D/KfPjoi1uOvTBTo/lTVlNLuL9z0WJWlM
DaP9BrpesI9xvJEogFcQGlnsvOc5CQncuKW1bYbFvWTu3Nz6pP2pIVk0xr2gsS0M3hZwsWIu3rTC
IrJdsGA/Atdk8pIUw4XNFPMGdcGZSFdb9Pq19OY9wnIfb4pWn7+E0wF/8PRSO2FxNi46jG6KDiCZ
XdS+MW1racTbiQIVjgS5Fa/KZlnwC6lIOLjDEDw306yeqBgs38rBohOOB8nZDtQYzFtRSn1myu4U
nB9MRCqKNry9Jkx1OXsNV3ZGjbTMsMNtOGIaD3ZqK2TvUctekEbj90WSHe/7xTjB6mv3VLH5VECX
HHDIGQCXde2WI2c+Uh0DQi0IvmSTkxThtW+V5w23eVtRaE6V2Te8eEQkbLXUTOv1dLcwrfg+Evg+
z/BGzI3ZYuG0qJ1+oNbFJOo0zMdAthk3KBoUXgEqiYPS8yTApamyb4OwppO/lLD727HjguB3I9K7
XBqiCUnV3roNJDc39dpbnzanPV6+0Y+ceICHJiapaZuW52TfBm4pDziip22XZe09NMn0Ke5qxps+
Y/BWuk0XpjW1pMHi5rta43hzmUNf/DKMLn/B+LhOM63VpMendHTAGKBXzINzKk2HntN+Kpqb2PZo
NCP2tQ8gkp0dramP2tSnbw04TIJpCcdPsK8LalTZ3YDMk98sXQ53Pe/uWdKd8rFuwqHpJ9VrS1Lt
ccCxse+JlWCwLr739D3uKNDxcfUqh9N5QorNIRxsDnN/XIKgvExylxR5ZQta8KbKV6E7+EaUZouz
r0nCf1v9vPeV9LML0c3TgR7j5trXq/lBUAv1QEK84cjnMnbakAS3in3tprqxG+3UkJFTq4Cgmdu2
1xBYKmuDi7d3QkVLKm2yIh5lZOcjOXvP18fbJtCFv7EksM7dEBNPecsGDGs7ikELvK8yfplxZuph
a0K2ADRIDQjloc1aQqtKJyAllUjsMIaKtznxq2tzmcWTDZ6B3he9nK/7do7bnQMf5jBrxXSDxWk8
kdp3rlnviuDRyhNSP0KBK+DiYor8pDOOP9EEmvKgQkd8xhxpj5sOL9xaBVncGmZmX9KcxJ+gYHu2
VGOn/W3HmBUOXW3R1GFa9fjmBxQMbbDrjZSP0LT1qhVyNFYKEL0SOijzTU0+gbKxrutfsGTCKZGB
Tc+wFSdQd8GXtJ9jqppz3mU6Dbd9niUR69k8RMwJi0dXUWGNsXBQDzD9/PtMYWHa5olr3XqaVRlh
pmHDAd1mPVJROh+rWCwfle8Wn51g4oT3uimuR1Zm7gd0WBgsYOPyFE+0vzh6TUz+WMGmvCuazHr5
p9aMBbj2I10Qxiu2y3yfWlMNgoVWi0cxOu5hsqf20NC+EpXgRKIB9CeiLyVztuiB13H6vRnLoTgz
LdFJaWVxGVnY77NNAM8IG/QftRtzbet7npDiJYiTmJJhe52Z1z8KOIDlZc9K91hG+kw2JUZQH6Mn
xjN08cAN1FOsmm5LJ7k8aZQ0mJuYkCTdJ7W9fGudXPueaX55bwdG/ukZvrGv8Didg6Z3XvTS8La+
xgUaQlxVwnZcKzwcQ4kJ16qVHHWr9r5lNHIcbL8zwilRZjQtcaVCZ7KNsNQHMIUMeJot62F1XfVa
ypihZNOjcsmRjz9bPzQCIGflLubzYDDvH3O4eJ7HE04DSrwAy4EE4KWGT0RoDC4k3cq7H7UgSdIt
+5Qa6GzTJIt2iavV5zuo0vcAtXyXxhbDo1nv6W9lInjI2zq/GE1UBEGl3JtR13YcaolMnscYPiTB
uUw/LI7qJSQiQmvMhVyKVpsmcx9+rRcpFE3M1eDwHWVMEY1rqfFASuVo5oDlGjG2Fz8LR6i6pw6r
6zTGproWidmwLzR80Tzcs1/c/No/MoDLo93Dr8fnHyUkdk5ooM2FhRUcaTgxDdQk0Dx0Of7RTJLO
5XhU7ZhizPulnoQ1bTzQm64S/NTEcDcL38pH3KnlTcHvhZ8y9H00N1LQOMo19bbjcnkyjVyeyrao
r7i5J59l2S/fAmgHe4zj1PUNRoHTqZD71GkBeXh0sE5t61mbyrKqw8+GExpAi2Pl+82rDgr5uzlU
VYSvHoO+5Uvyhq0WBPXe51zx4KSjddtxliGlMsY3YrSaSHrx6i2iJa+gwvIC1yBNfSmz4We6ANdv
qlHeDUVWnpwuz775bQ+tloajJ82UrD4LfXoM0QbjXU8H7Tw12djtJ2vyvnvTHL+58bicsmXivUpt
azl3+qTfaPZkHxPGuyKcJt396h3bPAddrF/na7eKLvLi6Mc8tJufBSssFvq2UZ3Pl5O39ojfPnnl
okro0Wz89pubq3ncFNijKnCZlX6yOYIfk0TyBco4g73TpN0eIZhO25y14gaISLDHD+xFWpB4HDA0
Z6CGclEHWKg01SuJalAh7NWbJFcsqTILkgd8dMNbkLbTZaCGducnfhrRWbputiml65t8Vj39v268
mZwsOMVWUx4HYkSEFRp6NOclvepmu9q2LVkXLGyTs/lR8ELor7qZs1YOofWj5aWcA6nTMcdYNayc
1RMZlMu+J/rE1E0fGI97fbIv+YNP2TQb8H5kvYoeDdnUn00waeXZDx7HFQqxKFcjXD4Nb74hxLzJ
3dQkqsswvjXksG8kRfebOB2RNiA3XidJCseInHS2xelsF1tjNXEHjK/yTTfo2VFmXnpvCrvbeSVu
XYoNeR5AjBX1xs881mGC+lyZlQPbDv8pHecrQGerhlrugrRLT2QsgHc4Ls2CTJ8dmMw5aM9GkoEN
JFTMaOotdXB/1M1osIUZGtriQNeh3YeViXqw6T29Pvr853cfR8M1IQ5596OARtfH/topbAQImVvm
FU0A9Zcx++YqKv69jwb3UEHBnt08xnmP04JOtSAkYwDj+Ec7TcOo7hPb5sh3Hl7d+8+emgFjJ9Ld
KNNDVblsOh4+uSkJpodApO03YdbBDhFL+44SWW0ne+2wGdN+fHIzJ37ogAO5m6mQ9rPeewkRgzl5
mT2uOCVp9Ctl1jCGKIrMv1M6Nl/nObmMsOOqtx8Mb3ktAZJPBNV1chzpj9KbpSX3Q4R5XO1bBOAV
c40u5eB7bNYanMBsjHkD/k2+D+M8H73azsgciMa5xD2m6JoaC3BalJi9M6HO7WjJmpaT0UA+ZLOY
hQNN6EdhTpu08JFjqXXf0CVhtAGd+nt3zqwHODtAYgXjliGZgcrdNE1/zsyyejfHodn9f+Wgn48f
//WfPy1XDr6qf60cXL79x354y7P27Z+1g/Un/2bWMpABHKAYwLVQ3zlp/KEdWL8h6nD8xJFkr576
P7KnBqANFkAz8Bx0Ay71yAq/SweGjuLg4vGyf4dp/CXlgH/PL8IWwAzX9HxopMQ1dDJBa0vAr7oB
dKyiVLh0tlV7F4sh1Gk0c+Be//LO/DfymfFn5xVmNPp2Oa0EzEr4lX+yhBUeMFzQk8lW9cnWACfG
VWDnNyrMkwL139rHyUwpWHDVl/8D42kVPv4wo/Ge/uk3r2SfX4SRKki4Ihn0ak7GZddHWH+Y4FBT
/+9f4J/1wT//lvVt/uW3GHxiOrX2vD57s6F2NwQxGv1P5KN//KzWlwL/0QDAgjUXNvKfRUhs9qWc
Ji6u3dZzyh3t4dv089+/DnIa//R+mfQ44AdEcTS5qq7//y+vRPiOP7O6x5HuJJTYeVRxjw1MTBDa
2kC9UYdbLceTvWmHodW3fRzkr7AW5IWQdvOezN3SRzpe0IdWg3M98+BdOpNlfuEjLnZZGqdn8lBM
e/JyXjhmdvnWVTHyt/C65NolCwjRIouXswca/QX2pPaNSGR7OcRmdjKxfCB2E/oFe255YVso49zl
Wvfh0r46bwqV2kNox8K4Jnvb7xvfFTelmTj73vSxCljDHKwCS2zN22Wd0jZxUUDpp/Ty5EKQKA9x
7LivSppmcikd+Kcw2WfVNl+r0NxtcZdNkxMa9A6DKHA46luymHZ6EMc4U2yV7epY6c6uHyDgU4CI
Z7Z3k0NX8FRTPKaf2qWyt8hwddgBP9ksBM0w9oJJGY+50WjNARgHLra6IVGA1p1MzkOjmaN9aNNA
P82dznnFjhG8Q5e06FFVgoGOvgSAwc2eIMuEwfzCa1pmfoPF3T1sK8d+NBcZnKH+zSFZy/kZRYmO
bPShKg4nuwq+JmmRBLR7TtmpRX3uouG8J+g7jgsUaIiCWi/ie0q8rZ3kT4VEZ7E9DgRQuIlqRkHH
XJXez+mYvBZ9UZ2b2sA4HozNvkDguBxLTZwNoakrP47lXplVHQ11U+2qQOg45FsZSoEOJbR82Poj
EgmlJh3hCQHGR/twGizHvtHYkda5VGgEvXrQEmt+GBU6VQVfZUeZuXlJpKa6J3U2P3t20txruiMu
aGOvOrSrpclXl519XLq2+BB60l9odrXUDybOuIOggXff5yNHTw6xwYmHjo/fNucjKkf71palfSCk
oCIbXuudQCB6x8MUH4fSza7SNLG/q7THuILT6NoC5XVn0s+xEyMgIlqtu/pmssY2auqxrK+mIbFh
ygwGh0NqAfpwKpzkbbb1Ak4uPdDOWc7uZJx0SQ0I4dnUAScydneDret3rWP193VrlduqEbok5kNF
PAdrZb8bejKx3weibzDyA9wHT5kH34n3ZXy2Y+9x6KDRoY/GoXCzvaIm2cRhM1vQirJAG9+6cer7
y7w3QA+rzq5etGKxugj10LqOGcGKc99z6d7qoGLErrJychYyIy1MesfEMkZ/JoRVzeJUpqD53wdG
5p9HtVazGV0Q6dQ5gmUEXpl4+RxadhdfDbadloi8sfVcN3BjQPynV06XTU8obuYN01t/xwwwOPXm
0FybwayYuCcw+OvKGvqNYfJhhgJQDsGBDslgE7cEHuh8pvW7szInKtHRO86W/Xzr9bnxWfud+emB
a/ooe5OSBULxW6Xsnug0ohn01Sw7rcgdHb1VBruUsxvXBd3sd0lal9veTQGl2CPE3DY21wG6lj0Y
7lK1u6TPnEvBvePo+mYH9DLPjmmTBgdp93Ma9mR2aVWNdd5bczTv82DxPg0kmSHEolp+yqT5+LGQ
/z8QUrTZcf71qet+eP/vEorrD/3twAWIDCE8cECAucybfz1wgRtjJMMxBxi4ztyGw8LvwxpOVQYn
MAYycOh8DkN/uOP930z84vyA57E1Aj7z/tqo5h932PXItZrsqQ7ESeLbxp+x580EmgeWQxBJgtKb
spllmPtWymLZ06S82LA1ckWrLcChQwpJI5xMdV0uVnDMuL+G3iJfWrNjMAOfOQRGDIy3XuporqAz
6CilG60wvvolZeCjDK5WszqOpWttAxQChsAsDRn0rQjaafOmL4tOw7w0I1J9WpgLdT13OcWibNRb
Xkmw66bleVxKgwc1v15sSfl2ERcHAbX6Ko8Hjdw83LPa+DHfIfZOGkft/Sq4UZMJ3YnIYJT2MAWW
ms7fjT1qDAe84FU3CcbosK7K5JLYjMa/3lGXjqeuwC1XG0OL85Ag6nHwaYupnGAJBdmmo05p8imI
vWCjacJGVqdzdeANR9ceSAaS/Nl4efBEDQo3dt3tz3luPMmkrIBSSXpG2hQ4egFSdSmm8sMxa2/T
pqa2rbERIK+8yVhOEb0X17VX0mSDtZZbIysl7HAXBc4ld0xhDHira7rWee0o+tGAzwckcaZ2dQ70
DO9AcJJezZbcwqgqUj4liV581eeDxi6gJXfQnqb7GZND5E50RFISRXl7TwsDZiBq1EvHVhcmdLh9
CX08LOL2cYD9v7E9ymMyFLLDsGKbOZ7UnwVtiqubll7XZExDLvIyGhmI0UUSEM9GncgXdR4okaU8
Q3+0VfWGfZ0Av5N/yX4xOX0Q8EPJ3MYmj5o2eslGY56A21d9xWvdDzOct1QW10oVD6XlLwdTc/1o
nrVkp1X4KJiSzRFu8+Idbec+NTAp0FhhbKcO50Y8IXeIugzCavRvLDGThO/xjgGcXEITAfKy6Kls
yqz3fvHQ9UeKrPGtjxtTJwqrVvBeXqKZAb7J9rBg5wNFTmNkefZ4yus2iIwhlzCdHMRNz14Ofg+W
e4iRgsyxunKoHtrkTfaUAFw5F41La8jYHTW6kplHTS6NyPm7FSTPSd+RHVSFHw5dNW+pb7ZQcYt6
p3yvuxCBV10ACzmzfqTgaPxHPpbTyDw2mvJ1isqtfJOhndCdnV5xkMLBkFt26BfYgXVTs09a3aFd
zUmwc/SqOC70+G36pHI241TfNeuGwkyXHlFsRpHd2c99T4JPptZVBZYg1PKZ8NmYg9NPgUqnpV0c
h9h7AMLvbtO2ICLnrq/IhgUdi+bOn717Ifkq2LVIo8mdTxC3Ttj1SwreIZPkqtjV9YyL3aRruE9T
7Mp2jV9syRkSwRId7eLOoUcJH3gDEUXOb9riGdvaW97hXaSoWvGDUdl+GOip2Lhd9sJjPe7AL3zm
CFqcs83hJIwcDwc9KJjAKTRhlBvGg7hWk65eyl56kWlP8941ahwjgr7zii6aZPKPKarzxh2Q2RdS
1dlS8JXSMjiyrlXuybxcLrGeRra+XFc44EK4O/l+1nr7tnRGoL1Ma7e2Npp7ONCEbZhOPwxQdeHL
l/GRY0W9k2jux2HJqLfQlLk+NyBkg/ksAMhvFvSYiGXuxqc2KZSg0D/jKXZDHvWWg75SP+Dr+P8z
3nDiBIeiTP2jU6Vt1LX1FvI3lhu7HO6RkI5m7N26U35uFr16Z0rH16oTkLZpTn5ViXHt6uoJ1nJ/
0vU1LKBZl+WULkyMIP+3szw3swEiW4E0skdxC1Gx2gNfx3aTBDqhHCc5LDY3kSxvF5BKIkH7Wb3n
7jSGyD1eZGUwOYaGvieg0rdBWdJQl4K5CLoevIiPdMtRjb4CkYNmmCCwX5WmCfVh6Dg0eq2TEB+a
t+Pi6LzNJDPWS1p1konFNMIfupNwrPwAQm7eVZw79+hbIN1HPblEZm6Os7fUezSyZMtYoT6ZwMl3
a8PhrvN9hp2LRyUPI+19oSEAGgvJQQIgdYgyGRwnancPDjD8u1ToHXtb+8KwXrtIzYbrJfXmYUDb
cEQb9ZujJV1E2ALQp9LdE/cVl5q4qd3xZ897p/Kzy5pkUhjMSBsEBYpoNDPCOjqNTcpI1KGqx/iN
LZmBMMOdo1nr0xeTs+ZJnwXPQEy7M2Fwjv6XS9WgEidGslzWFNPtnUweGd5dzbPjnbuFaIsxF9qW
RfyCebgkLI0Bi76XzzSOk53t6/a2i7X0i+9ycilwNG2SzrgBN/rZYDuKEPqrJ09UbF0xwXqtGpcI
r6iMDIMZNRdGrgid3UW1abP1kLvfgdGy+Cov7qZOWShITtlR4i/9afKd4WKpswoPQEx7H+55Il54
xKze2o1zva/n+HHh+eea34HNcu3PsYNBZFUt0R0q5GtneHWEeQwMqlBKrpFh17DhuXlfhcrsh61t
TmYElua+WMEzvEgjMiz3IU3lfaDzypjYp8jdVRM2XjdEGVUlkECVuC4IUtUeXQbZmM9b3HLnPBjx
9AnDRbJuHn1ffGpWc6XI+V5h8L+lnw/GdTzhI17KitspM6DaLW+GsZ4iEhzeZooN9J1yHLbOrLPb
ZUCxe5dCtDwxz1lpXM71TFuLsAzW6llE7QDVGEDARzFxmxjm4YkgTU41vch2ejKAh6zmKsKONl1p
fGs2zRhcd+ZwZ7uqiaDpfAmoEJHCe4an871IgaDz5WEyVWgkbPFw3o2ZIHnCJR6Q6LhxOrbWGqLu
1jernFQGC5iQntj3df+IYeGKwRvwGX+Md7TNN3venjQUBQdD3pVix+SaEkOgi6EajfmYSvO1m6rn
tOBvpijuFjNEdgj6/nustO8CJgMFeiajF+FjihAN0FnfZuLbN1s/S/1TBS/hBHxIPMKKfclyK32J
c21nMKbbcnxOQPxY74VW6hGfnNy7wdKG/uC90q/u7e22TsNGmryerguOPt1sWGndeKeDDGOePaVE
NtgiprbzdkldtNzas2tPDO7N1HOj9QgtH2uPMj68nxa+GJO311RPVVp9W3x7PHoQakip1dW3tk0I
s2sTgHtVZ3gYO8FGN86HYcisvdekY5jGObuNa15x/8r23po2byU9oxEDEn6s1j4MTtHbKR67F88t
7GdfjfndVCffHJGSG1qG9M5FYPia3ML4dCrFGgeLKH+Ndc9IN4au3QxqqaidGW3K1WZwdV7n61HL
XnpqB+sWCaLdYBjinx0Z32t+uh6mgh1De/9aQWUNY+WboZu1D5plMeNxzjlz2zCk8IZFWdLCLK1X
GzN0sije0zhj1544w4P75MCpzevaNxpbLTPzSFfdMSbPcuGaKQOXwD3GbcDuKOVNkflPWts/66V+
l1HKAbwDIyx/BKHzvOaIr8n0IvN4PDtb4wRgM3TmuPBTBf1Ll87/nVZCbm2osf/6Whq+FR//aCL8
+RN/3EldsNQ4OX+kq621d+tvBkKHol5zTSRDfTF/AnV+v5NyW+UEBqCPfl8o2Rho/j4EsH/zddPR
IU9yv+XYCQbnL9gH+al/UH3XyLYLCgVx3je5nHr6qt//ovpmypKmDYErKgQUpb4DM5slw8fUBa+t
0ZXXXeoWW6Aw3q4g5BqKzi0uTNaIraVa/bSAnd3FQcGkck5SWFBjufHMjP855I+IlONjDdX67FPQ
eyh67X4i0og+pr9VfW5d8S/M94tklWkW+MOlf8sAwdyYms7eURv1oaDiMxJ40q/wODzV7BtsQXUM
9ZrblxMAMBQ4cTJf3Do855wsive5bqgCwQjygGW+OUqNdtbEhUU7FfyXGFZKJy+z2emOjQoOTT2/
NCOVeUbhLpuqru6tyj/qesMVJCClwxLxtbh0Shq+fBQtuDGLjr7eR4zOJ/FqL5ROMnt8nFT/5sAo
C1XKl6zFfIlx0GNHrg5Yc/BWWuulsna4BdALBSYB39TE4af3WOWDuPxye3ndztkT6/RCZUe9i/Ek
buYiphMj6Q/AB0+zUvdDMr5JBEM70C6sFsqc2+1o0dnDrei3nGy3GViGyBeCvhMiymRkqEe2MGpt
UpXtR+7kIU68j9FiNVJDcJj67tIuAqpzOrXPkwwGss81IC59N2RUipg7GNf8Yo/0JGZJ3eFXeCKm
TxeRN/IDRXhh2ucZFLfAMN/rSSFb+7vYLp5zzENRUnmAKgxocrXoaZKTw1Fk7XyiieQhpv23asr0
gD3ncYwXZtXrvoaY/M20UDQK4Rxp9nrWVXzpZuK+xRUeG9lw0Hz3pjbszymOj5j8Hkczvre8tfEp
AJna2s+i7ondCv08FWm7aWanXFl19pWmd+W9Wcb1WacE+NC1ChCLdWLsXYIywbaaQ/cZel5tGsQB
n6Aytp6fw8vQs2c9WdotCPM3Qq2g6BJD3mItfNANrQ9t0pe0NbrPTU4oxYOD2M6OCbR10N+A9C30
wrlJCKPEeymzbKR6zjbJAMXlBWkVE8Bjx2qf6AF2/snYWBjnIvLc1SWIySEC68CuqjugTbxmPuZB
bR+cVmv452Artf64rFkSN7J/fApNukSZnZrbxpA2/gFCGhrNNhUQ7GFPcjfe0s2ahAWewG0RkDdP
8/K1q2wYqdl9UqXE1khah37ekbCiWnlTWnmLzmBOlyXQvVBW1R2ZcHeT1WSRnaH/bpfxl5Z4n2YD
1hOh5JkJfbVTnuNHo2W6lJSILMIZ5IXzSkHwY7K5jUBfEIVG022CtQXSMrEBQ1wInxMt7Z13mVuK
SyIPdTQ6vmQDXj5KV4Hc1rkRF4DRNzbGtad6KWG0CPdhSXinSlhDfLn61VWQaZFFhIQqYCANriiw
Inb8wbWWViHq77JbDENjY9WqqNeLVYBIglCa/HocsoSjUmVtCZ9fE6mFdt4Mjw4DByQ1LiEjjdB2
soxwpRAFcqpNwf+dnUSc5MC1UuvpUyZ6/d2b24tELcc41SKZ6Pduaz+k9nojLeenUSd267Y8Mhyc
ccpaPcfl7DRSd9VlwV080lOregzAtqDgiC1m2mInJRINW3NH89Kb7fZBCBDCwJs5vQ2ec0z0oo8s
2VMU2hvzCYXsztCwJ9IArW4DOklZmNL+nAJf34gxqKg0n6wwRbEJ1HQ7YCF8zLqC0RCk9KjRCX7N
dT1upwDWYtEqcAVuCl1+Bi9D5Vm7kQaLWs9pcCN7cV4PKjvNay7j9fHnG+8a3ZYskrFtdS5m9B99
BEyqNkC9nmNrRYMV1lfhUftljs+4vt+lXJ4pQnDolXVvAP60kbnGtdqimyPLh+/TVwNGrw7VYIZJ
oLUoHLJ9CQjNTY55bw9oaZVrXfcjFN/M1w4Zpo/BKY+i7B7bZpKh3vbk/5X7lcDn2kCX3yM7Reli
UGWWA1meYtr8hK7QXNpyvtH1SSMG1aOAeuI+p4VuwxuQhR7bBNd2I/QKDqZM7AagXM4jkfrdkEmG
B4kVIblqUWU0OspN9ewXM5XcnXC2rFWYEvtEbSj5YyDeODcegeWprfU9S+8XXMq97bWwjuvvsytv
dWlcilzcgCfCvG40n4MQX7VLObKspix0vOXZDFb6lI3iSGMx6DewIKor1aFX1b30CmfHTlUfHd+A
TJvZ9TFl14rkYt73Ot0OKuebMhjZq27kNxptWruk4LXETOuJobub2FNAM7X62WhNc0dai6fdWWU6
LoSRrMdLDH14YyEtZxql3J7BXduufW0/4lTa8RY+sOrepho1il6aPizsvM8kI2tsW8TjZpFt80Ww
j1MABnJqvmm5AKA8LnK/ZKMGAdm6y4Sm76DcV3uu/jvMbMXBLMShACkfVv60hLo20sYpUKMFHJgQ
Qn8OwzjRotHOPh3XYhDp7vExEbaEshxmGC/wHlvmNnAWdxdLNHTSbg1fPuoDSIflpO9Ga8eB+xtJ
poI/p/42NR0Jx1y9UGumzrOtqbOsiO3X8/K96eKbpWdeDqS1LtxLtliSfsnw5PflSVNsP1kQ3Lua
OPoO/k/piHdvWTHY3vJSxUUQFk5psaVWZpjOnBa4PrSRJxBksfwxQ1IUb1ZW8sWSah/4oefSG8ir
Gprae0b+wBCPeF4+fc7lVG3UVL+BPCZO4asPrW9Q4JZ1M8/+D3tntls5kmXZXyn0Ox0cjFM/3nnU
dDW/EHK5xNlonIe/avQn1I/1omdEprtnZgSi36pQQAARgEKiLkWaHTtn77WJNdOKD6fsmy2oAaK5
IHtvB684jWN8w/nlo5LVsEV1fikLTpMdGDmCpClkQhOH46icnRk0TxFuuQWylw7jZwudbxjxhPhm
gRcsvLZ0UNlOlqXrCYvjolNz/LdWcaKf6O72ufrqDGJnQF2mLViFi3Ysz8asgaYBGS5qLZFrhoJP
YVf1aLzR9OewDNZe1X/rdaPduU1/sVStr8A5xGvVsxAZEjctI4vXzG4F3Y6Gu9cyw66dqVz1Jlqr
1KW97GaO2uAv3EFapMtpsSWbrai3ehbA/83H4xCqZF1LgF56kqzHkTfQrR9VP+5C1IPQg58jL9/Q
r9BOQU2hTObZzAlUN+SkxQQPTtMitrJwHbS2Whh9dCUYjGtTfkh6gdcute6yQAY7ZdvawR8Ao2OD
XBmemql83TsgWPJUBPsn+u5i28IgQp1Ih1UPeWvbeLyxVH+iEw75XPO8Q9DOw2uD1QouI7oGrL/L
YkKl6Fbls5nTEiaj3OPpCa5kme6sCnGKI1jPA/i1gRfCsx2brTOyY2n1S8yiDfXrEDiUSAF/KaUI
q81pjlgGzO4qPwE2+2SXfID2/InkQJ1xBn3L5pWY7KY7zDmK+r+IV8DVHwYsGmsSUQz4vJaGDtoP
1iHHXxSihFoRjzKteqvksXL8cBlNE44JMCV2ab9HmTjPWqmFSs1mIdryEIf5zhYAzpOk8ReuHXxi
gpGbtvTLdcBbjDpCDefJHzYWKAhowc9uUb1CA2Ert7LHttB2iGohLU4XiC7IHKe7UNTP0eCfDDXe
1RH2A1u1uz4CXFuZwVsVp7d9BGUxTyUoNM7J2dzf7oTZvTpR5q7tTuChdXuIO5r/wN59H1Qoio3o
lBTxTaINZztK5vyI94kIDQ5Vzkoa1aXLO5aL6cVwvWMML3AJTcVdymGAFxWYVyWD7FDQoDd5ileO
OXxyIKLNDOZ31XWEMY7EagZEsGy7cUjW8Eb11dBzE8eZwDxHlnN2yQAOW5W+tRne0NIf/KsQAuiy
ydA2Z4x6VNMgHRJFsbebWOwFCaFXY5o/2Mr50ML0s2isufHDQIUJW740DUc7NlbyqQ8JCY/Ci1f/
/QfVSOZsZHz/vh1wF9dv1dwS+FEa+Nt3/d4SsL/gtDPhsTG6Mzjf/9AScL6YaAaZQZvcXve7ZPDv
LQGyrZhcI//6bYb9Q0uA0sOZf5pPy4A94K90BNj+/kVHgNHH/A9GE36ZnzsCHC/Q8yWuTqCL/WLE
nXslSHjeeKjfFzZ8+X0wiRtw52DFfCfa9D0yhzEMrgXenEVdGhb2QRemWRgtmKxnm1oHkOClrbvN
m9rb11GaIYKqyk2ifJuKWj61c9dBtbm58CY7XssS+RG4ivgpDAGoOoXf8vDycILC/TRi/2Oan9r5
8Q0wWLBuwncyK++djmtJc9G+lPOTbs3PfMvDj8KbPdBBrT4EjwqO5I4hRbF0eWuwEdMMdBy8DtP8
Jo3zO2Vnuk6Ll/dMm9+4aH730OgvOwKUVxD9WVx5Qa35TQWgiPIeVIKKxZn2NLEG83udfH/D++Ao
eeV7Xn3dCZ5bW3RYILx34dkv8bxYhOEJpdxmdIML8uqHsSc6Q3xfX2j4oydkzcnn1SeY1yHJglSk
WU6YTXrbqejrMK9ZWVDjjppXsVq/I4PThSMZPmttuXLi/tRM3Wxp3+d5XG07u3m1WSEFK6XOilnP
SycEB2cXNFZJwLghN53mfhL75BMBHiDUm1dfVuFiXo7LxP1a9eNdG7f9YpZVUrT0n7ZNfE83L+dD
rxHFMS/xGiMNBsEWy34GyjfFrLjwEfGv6yZ+cOdtQps3DPrhd/m8hVi1/x7Mm4pid6nZZUwwboRb
pScXyZlkGyrn/SjU2Jk0tihIrhzZy1Pely8uW1hd1lvozA35SaJcjiy/Yt7vEErtHDZApD0edXv4
xrpeounhFIfjYIIvxs6ZzXuoNu+mk5f5wJCLaCPmrZYtty5FBdceC2ROYbWm4cEQDhHQIp13a41t
22b2xfiXQ2ekFc9QVLVDOu/yOds9PHK+5hVXnFGuhjK5aqEALHD2MKvzzWmRThWSNlnh9aCSYFxq
ooa1tZMRFptKWbeGVx7gcR6QBV7GeOAAQH0CpxWSmWVhYwU5PNcuMAPqbT/XM2i96ftW3s6ba51s
rnqGuf7RNVGi/aIm8uiBY/RkFkUi02vU5LBR5xrKnKspOuj6KnXTtZOXO/Yzxkwlco54+pbNNZg1
V2NaS12mFxE5NVRqY5vz0+fqzSzrc2VyOGOtQw+WkbBL947HBUWfYs7iUQJOFqWZ5aK/dfwypa3S
FsvAngcEs0RApDOkI81vxkwKDBwUm7yZH+C95pFGmtFyw8BaUZdyfy71XKiGfvSBJZDw+OJkzKVs
rXWYZMSkc/Lxnpq54K2EvWT6wfksFq+ShJJlr2ELn8tkKGofUU1Nr9HECVtBKe2XfESq6w5T905R
byOiYPI+l+A4qTgUuDoBw3OBjoXRXKqYX5qwAn/JN70QRMKohsq+KmpyVdh9E2r+SfjMHzkFZGX/
KOdjQcn5IJ4UBEZ7U3FuaHLzq5wPEhohaePCqIdZB+G4e14U+gI0QLeazu/rqag55l0HcSQy9rh7
iEDNm25DxjPWVzflYYrbl5ziYq9FDan2g/nsjo22gczcHAjyRlw59G9jPg2LwsvM4yiGi9mU6RY3
aLjkNDYuhk7vVmNXJDt0kck9I3N18UkCfcF6sw5q0uQnT6fV1pdr07eMDUrSfBvTa1gmeZGsi0Qf
LzXEtg23CzOXY98bAWzwLk04Qpbug1t2n5w3Af8KuQ7r7j4VM9lhsL4aTU3dI7K3iC6V1lkXl+yd
BRFu72PjvtpD9ulSs3VZfBaRpy1sjfN7NOTf69d223Sev2LSLk8KqPc2LZU4aTgzb1XZUA7Gendk
UB7flFPsXNuJ7S1EU1Y805goyf/RHrl/7RXx0+FK4e+lKiVRBMbGN5ypJDMVKcLc0P3qE7ixTkyr
2xtE0eJJcUgDMnltcF/k0MfSclmLSeLf0x4tpftXeVVR1+nZowdCfG/Qgl1gf0UkLoPL6JFEDlZg
WJN/jaExYuYHhr4/EVg3d0uG8b6peZujFihgGlBw9ihkl0nWF+tAFTuRYWfVIS3njIPWce5Ve99U
AgmCilecqcZti0N1BSSR3m+rPzH2pcsd0L5gars2teqoGvuGkfm1qrLVVDHDqw2xJ7IRSDzldaz3
96Q9QsYJxzNrFEcGk3arIs/P8+RrX1q4eCVRjsP4rInwiL5o1yh4mcwdj2A81i49XIjHxVnzUUb4
rTRWINTlRif+ZhUi9t0GXvHS2cM3lrDXhBzEpDfw1KFH4bdRy2Hi+cfNk+xlkt2ijsCY2chqlWTl
E+mFGVQiGs1O+hL5nOHDBm1UzLyMVWQTToT+Mb89SDAtXltdCDY+FkLdF4HJx405uvorVqjtGLdH
GopMggnoVHobo4iTV3XnPXhmdgyRyPLQbww5XQIG5krv13ZR0zQctr1f3nUdOXOlzbXsKD6klEFC
TUd2vmT2dS1cD/h1VG1RHt4gPzy3erjrG2/D0fRQV9XWkc6h7tkUGnIFacCXdA2r8jAqWoFWJx/G
jK+byakuMkCvgXMri8ZdOS0imUxmr/C1eOeRoPCJ6ex5DEMiwkhdvdQXvdcjHahPqUTu16Yc4pu2
fBeZkW48Vz/5pPVZhXBXXY93WNC8NEMEse0kvqGwmyUPMFridgivRVagONdUc1MXsoC4baX/H1ai
/2pAZ2uORf6jU8B9AYn/pyPAb9/y+xFAkKZLx00AAuArvoWr5PepoPPFQG8Kw4pgjJmm/A+lKucG
SMA2sGaLstz5Hmb3mzXIhAtN+4KBIOsuVbv3V44AAEr+6QhgE6QBzZkdzbGcX9EzdCsjvzTNnrVv
Gg8qDtGA2UY2ZzzW0UPXwOVch6kTPWql0F5M3rdiUVch9EwTdcMqd8fkyo1ktTPQiFAppoNxlchC
XE9xXx67TuPE77IlPiDTV/YByI06YkmWJxFVGmo/WBFZ6Q4QrTrPPJA6Fe11d4w2EULWAz3v8DrR
c1suLKLHbobAjfZhO7TXmVNeA8nf4dk7QZXQXuOGBnGb9RVDsBY2QoVFMF/0pVQXgsbyszuNtN3b
xllapd1sfb90bs0+LE4mloFtbWCGqQ2ZPtIla8Uec4VE8WPYB92207Ui4B6yajk247K3XfOhYWrk
EsahlwfLyLrHwSn0a3J9hooP6yMsjDy9J70N1Rb6uTpiQSxobmxcTihrI1Y5m4g01aXk/33U8F8c
Q0Ryc7Dv4H9WY0OqZGpHJ2VKbYVUx1/zQcR+UF4cUDKBZ11ZqL3ClVQwNZaN8gBNDAYzVjYMHBab
fHBRCnVFcWH2V158IffZFGvX9CQ1Ahxoc3J/Qb3o5oeTtOG1ivRQLEN0Ilio81Icc6frbxqHpUIE
5ry647y/qCymZEnrPLsTUkd3MnTOkym9u4CZzBaB60SQq+88agY98Mim5bfMpGq3kOrk0a3L9pjK
Kd4I3W5WNc20Axzl4NGdBSSV3vbvELI7fyHrvngEIRU/x1ldbC0CnfiFyzB6kBJ/uDmZ2sEUDsNX
c5TaI+cymixt5skNE8aSaWhqa89B46MKcuZEJOnOwwm7vIP7EMuVZvXjW00H7hvCkuycYDNYs3tn
r8Ukp3Pre/I+6Rz51dQreuda1tyrZIzf4QXRtxTCj48BmO5zPAKOoO3Fgl3itkBQC7Pg1SaRY4uo
V1vHTUDjFQV4s4GDFVi7WrPLpzHVh2v6PWyeqJHss9to3W5wJ1cuAro8uJ61NOD+MfpkI1MPnt/4
X7EkhA9UdPmbTfZCtY5pEKB9FXl1W9RpfKSbnGxEOkRn2wnMS9YyS16jZ43fbV/VKNCD4JxhKf6o
4VxsQm9EjJILfrsiN8ubzm3bkTF6wokh5/jH0KNw/PuA54XGs9NZd5U2kEVDOyI/x3xLwDEYAQA4
O3XtWrF+8Hu0LWQIjn6yDCXi1yWO+uHSjgUMlNE3tqlbuYp4sdH71FWhPYft5D5oGY2vfWuGqFt6
DeMI9TNHSmacnruoo1nI2vRO90QbH44aRMBNJozyMUNc7kCok8GTppk9kuPM3MjAQ56tSMR5cwi3
uo1t29h2BUGQ2dyC6AerOTRe5t50GK4f8pTbtPLUVK8FQLQlSML0cYICczcYpfUQtol9Z5RlCi3N
Com5DvXqrtBKmW9AsHFskrypxwnc2QRDcho+hyEsPjpSYUjTcDxkeaPY8/SnV4QBQjZOEz/TMLKQ
lkCRQ5KJZbpRvmxllr8FXPsM1Fdvkb5zWFqVTRo/1G40fSMAp3gn/SPaV4HvbScjpY5oog7DWxGf
I/zHV+Q6Vpuqr61Tb7g+At9Gx3ceNurNN4T/zMaCFIMd5Fl2I0N1nthnldqGtuSNQlOV0vqJF4Hn
xk9BjPKbQY9RXaGsQAVsBsGyLJp+LmrFuB1CEAlWFWh3f70x+N9TTDSreWydhtu/byBeFVXz8R/f
Pv7j8iabN/nto/qxk/j3H/B7IWF+0akksGPoAofx95Lg90ICjzFqeJN9fNbWcuW/W178LyhXkfuY
CH7oN/LFv/cSHQoJMFAEDOJb5Zkz/lIgBO6bXyoJ1zdmW82c8uXS0fy1mSj1jrMZgsyVjyhYo8lH
AGYZsWQt0TyO/pb8mfFm6CrnHnJmx8JbBfQFm+KVTlK+LgY1nYyqDK9Mh8MZVizzyf0eRtrOuaSj
mBT4cThKCynMCgrBGIQEgPsUIdswTfUHplX0LXQQ//Zm1CeILlOTnxzZq6NHUtYIMjMnGcnGq9OQ
8OjqjyYRdVgPBDxzSPpZ/4S+0ztwXuweOtcgRnwaE6IAGtWiEHG72e2hmo7/tie4BIuq8hhk5n2W
PqD6DDjQ546xHUTvv8HoUtjfImsNTMm5FUxZHvOh4IgdcagwwbYxelXmMzigbIVHYTqMGiwJdAvI
Myum2xvChoI9Hk3O8ihU2d0jwxlWsjG8bTpmxrPeCJOYmjKOFk2iUYqkgyB1k9vTezM1Rwtt+m6m
tLZKT5xn7JnRdTnR+ZcNcKI2c4+6W5iPtREhsO4YgzdJFmxgfuBaTSp7EyES35t973jbnP5IyISv
8KcFWH2gRTgtF0oXzUrZhdhpFlot9im0M6XeP9ZA8NEgD0Zb3SUmraVHaZHyyJzLW9ssRGv0ijW/
b4CcChLSUo+zYR8YVbZtauWvBogWy7YwhwN07/AYGgNdZjtR9lOQda1B+zlWRzD4zippQt1YZZ6h
3yMnLl8s+GtXDuHtTP3wYa68qaOBW+rkozlGYq+EloZM31uCSsMIA42XuFc9bGaUOC6iic527/gb
dDt98p1nTSntJY3YkzipUTQihw6I48jdZNul1BKo61HCVRM4i6WNsKVZSFLlbjA6eKswzayt7ZSQ
f8gmdnd1mfePJZ0DBN2BFVz3JHpdtbhFHgEPAV9qctfd90ZfPGS4FgQC0tK7pHolt6EHFrclNwpS
UBk1j07oNi8BeN8NkEAGNwO/73NRG/0Og0s4I41LVHmT43DWtTRag5M3T/Ym5zbxe/shyGIECkNY
rn0eHH4y0NZD6REi0PMg7EicLi+Q/AQInNruF1ZUBw8ujtujE7KTLRvNs56RBvqKM+jg7BpftSdS
1oeNQylFlJ40H4cKb5ILX4S5Grn1Z4d4rY0V9kBRkTo+xcrLj25sR+/p4FsfaVprTzIZ8VbWfr3X
zcy9uFGVvhqtH4Lm68a7po/UQbMH6DBjYBLlGQxJsJVCppuu6Km7PNtu6XT4WvBNxW7RbDUWKTKo
pfJW0qr1dZDl+iEbI7LR+llf5qSojSEiJNz5yh23sEkGOvJReg1qLHgrxyKP8VjR9NKN2ueyFnwx
GDPWZyKEpG9oZsmpkWnyInKwg8o2UBuUtWO9eFaRHwlybj8jZcHAVyQhNou8BbOC187ol3XViVNb
Odpz2fo4nnrCqTG41RjZNB7kd1tK9AwRnog3mQ1zsC6jh2hdDgZqhR4IdbwgGsx5lZjpr3oqn/cs
BvQETxlNs1kb6kCpEAAJ9KPsa2DU9d5Gn/eu+5N81idHwFFMjEtScOxhS4jojPhYKRYxIVHpajAb
bQFuSJD0gpwqxKHeWfRkrQF5C6iRHSiBjrgvK/R3nczmmUjZFd7S6YrySfOx3mu5VW6o6xkat35w
O0k/3ZqWz7mGp1/bFX0aXFuDRPaSRcbWSFX7Ek95flZapU5+UWhbLYrIgqWP+01H6w65rpAHYLnT
wlGxdTuRMrYXdHTmtqm2iIWtfVgYegiebcLsBp5LeE6tpD2EfZBfMe6qlrk21Te4gYdtVDSQ1eJc
7kBNqX2cMS5ZaLUwH50m7teVmfX7SlqEBI8zgpsBCMpCgreYBP9PzfM3ospcslBS/GHNw1z9P/9P
8Wuh8/27fi90KEysmYjiGuApwLD90DHxv+j6zFJhcPp7DfTb0NT84ngW+yXlh0H9Yf6jztG/0Naw
3bljIkxH8C/jr7RMfgZ0zIpvwKuUOC6+Xuod/xeYCmHqU8YAxCQDBLa4GhbS2Afe/Q835V+wVH69
CONfkh85xzEe9gwYMT8PZmUYZyFWUmulj7RfkufG0LZ0Nv74Iv+c4WXQ3PLoInkmjA94Iz9fZQTu
oNUExq3KNUkqm35rHbtjsxiWxtI4F5dw1S7++IrzvfmR02IxvJ4Zu3wmm7GBmD/2Dwr0KInAgCjC
PnL1maTonaviGDeQ0/T65Lcvf3wxof/Z5SiLf7wcEOok9o2hWWn9yOmWgoHmvUqdEdJS55tHYena
vqAkWNGfM9fWOOUX9N609Wnm3k09aX/KGn1E4r18hOmU3oV1ldzALwMjxpJz1fkhYHfbBSBP0+5p
qDN7VZZUMhqEsrYgNICGWJ/e+lZEY2ueU2IdSVXf+8t69KKrsC26cBHTsVCg9kP9OAws3EkdBR+o
ftWm7hFeLmrq6bsGMcGd0KTzLC27G7daU6kbkhU9BNoAxbYd6Y5MwRppXhsDh0Pmj2nTLIogb45z
d2uf2XZ0I+0cb57vtPnGYfOFc1HEB0gg3ld8ncRDerWUq1Dv4ksXeNDPHaMgj4lILBxjKCZv874B
sF61zUviSklNzVn60IUINBei7rV45TVqhDyhZd29kRAvbrU64UiuWdwiqoIM6kYaKq75HAt/1w41
MlynpDsgQavvjb5LmS/R4H+InbC41lXvbMq2cndOi5J5Qbri5O81c9A4IRvTKqRyvxhEbL/1yhjT
ZQhW50Agl3XlpXn7KipqKQyxw31gED9NGLoL83LG1ryTzhDdDDZhm0vqVP2B/ndEyJsWNi9VZ/oI
dEy0/xnm9jPJ2zbONrdPL1GsYlIVAm1LYlMbrboyzB5KlNX3OHbzb5ksiZhCKL8dS2s6RIlG9JfX
tJecj4isqWufgbHxOcJJRQwBgyJw8RelobcwotqeFhhLyheTDskFhzeRkTbT6hO5VWginIJ6ZBFJ
30Y4Dnjvtq3y6ptoOAm0Urdv7DLR6fxHReIsJlnVYEJT2waf5ypqHQtd0jKhTbULtHbCr5YNFbp8
x71WRZmforIfLrR4sltY0uZdqaxqyZDOjq66hm7o0tKbwUJWkSA+0IaSmgs3onarMyDBie83No3V
vk2PopbFeWYL3aRu/EGB0320XRgg8qoGnioOh0jFXZMQUqEVKD/jmdhEWh+Xw44gH6wI32dZJ4AX
yV5d4TdJH0n6qwgiSYj6sHHB1bXnyCXyMtCDzIoPaL8Jn5Wj/VkHQ/Q4hW21Qi3eMOIxpAlonoRX
boK8gsLBQHswkaF7NGEJjYuGVSOQt0QqHPEA2+4pjy3IpQN3xOjt9tbj3Xuz8k4i3uqtJ5r40EDa
SQ/uRiWTs47DgYMkfFNSYYX+IUL84oXmqhPmxyUEfLmCo0T+mJUhs2QiuCLlIJGI6Q3jEPCAIzZw
3PGdPEEQgBACb+JutHnjAPbbQ1whQTU1bYtKcNpEY1nt3Yx3rwy9/NEFarwNMcxBlHTDb7WS4E5x
YH/0KsuxJg9RdchU619nhjHS/rbKc2TbGN0RDip0DibIF7S+yyyaHoKeabDtqf6icTORbzLATXSz
finDYLxuYz1fsU0V+6YNo/0YIZNHbpdxCuewJg6gKwKsB5qoFX/JOtnGYAq2NXX4Zejp4y8imnKL
viNkgNCr/DROE0O/qMbqp48DkApfSzH6Rz6RTlqEdyVmILi1jNje2/y2mIWddMcExmc+YBXlm12P
DKsrlyaeNiQ7lFXNoaDbt2M6SD4XAKh9Q2bXViQNlBndQdA7JDwSfUdx1880Jlux3TggH7wOJDm6
P1Yg4adLklefhcHbEigJPcB2iq2pyBFGuFm9QjcPh2VbjtHKz8nBdXSll0SB4GQmTRAbBCX+EgUy
pTfcVnmVhzmhMB5hs2lsz3OGeS336hj9rqW25RDFu85shqcWtihwITQ56IjS6wYRyYNvSRvOEcb7
IoWI0ZHAu7VaLVj6ZRBf7Fo4nxHwrK+k5lrc+dC7bdKRpj7DiJMdQgFGV+ydKuWjv6jnAF0tNCJs
24iVYjPs8ZggDAe9ka8GWaVnRiAABRKBd2oMbUaZKmcIjVISxSEclZTXtOxviFBGrM9e6C9inBOP
Li6o64nB+w3eb3mxzRLVGIeSVZROWrTURcfYpw09LOiOH0zDqYxi/aaURfpOEU/RNCZjcEWIJpjz
ypHKWtBZ1eAGxPl1CnBoyRYZbepGMBiCCpt/ZUVFsdrREkD0K+Q895ZDuu7J7dgRSOe5NGvg4I4o
8eKlM7T2Do+18wkLjBmqCtI+XEBSdF+Z6cdvCtstkoMGzsgRPnu4kVKXa5vBb7OikkxWauro/ZvG
kQ+vP3l6BZG+jcLZVZEW19HEX6MIjOzmjwuWuRz5sToSZLei+IMhKBzDIojg53LFFbakN4XodLIb
fG+PqsLeIdZCJn9S+P1aF/3tQgK1LeNFJNizLPCHMizIY1E2Exdyj+EtseV3rli5qz/+MD9XsJTa
JMwwwLQcnZJcp9388zV0zSY/dMiNVZUGiHeR6FwjNOG4ngTRn1yK0v6X++br9D0xXBqsjpyYf76U
rPW4m1BqE1jAaZ3qEm3f3/Iz3of/HX4U/6Ie/7NL/PKnoVmDo0FxibKeynxpUeCibPyz8vjXe4a5
mlvFEYpjDNm/1i9/F5nYnULqrq809051n0RPrzz4fH/8h/n1j//rRX65W7UEpiYB1a2SMqAYmdA0
roKq6m4VZdIiidDSEaPw/Zr/4xn+X7ywEDU5nv37Nv/yP/9v9a34+pNG4O/f9vuZV2ADtunc+3Tr
DdiMP5x5nS94gPmGmVdKk3+e0P925vW/iO+gyFkhMNMnBd/1m0rA/WIxhwYlSW+foeT8XX/BOzwf
BP+xMnHmdU22Bf4FptQ1xffM5R8WjN7Fbc4hI117HHf38S4+TO4i+my1P1mYvn+Yf74Sha6lI3xw
YKL+/C5D7TLR/6lgZeMivQv9vErAhqIGA1UyDfdSOgWSVlWgepTZWWdAcI76CdkpTEd/z3l9etAb
1d/LYWrPUBSNs92q6EJ7dMQM2Pv6hdAybZ9OCJ4W5CTld5r0ITbZMOzSIEKaaQcOOqSITNkkwyQr
5pzZyKgAWudwKi0Zxe9trcQ2gLcU4TcG8k8kq2Fh00rycEucqPmVYAwT58pIZSk0JZ5Gcus+9InQ
1EU0x+DGutETzzzU9anuy7TctJNfkdhAeC6mwXbE9RfSE7SyQAPjX+lk7caVWcT7GjDU7HG0Ka3q
2FO3PiMTjaQSEcBx0TtaxmyP8O7cepeIIHqIRtN69SN/PBHDQILSiMUHc1gTJpseG2qwANdOtjCE
FrMd+280YMHDhgUcZYbcK4508uApv77R6P2qRTG6ILKET/29jtxxiHY6QK1lBcMZrhiqWVRU39EM
ltdjK+5ReFK4TdxBk1FusMjszr71begSbao5NzQfnJupVulLYkzWQQ9BTDCqlfcxbmoa77qPqcgx
whB2vYHqYGlnVX0kGL2/VaHNGcBHVrpjVJEeaIv6Hmr0BtGaX3f5k2z69hUoyXCXIAtAQYk/HvrH
DPeQLZq1TFc4ycjYGq6Qvrn37TBY96FVGRvgU2W5rKjkz5w7EyDjrp9fpkn5R+VY4kabASeRC8Bx
gfiFIgy4/LRjhlKeLB1VMW7fOrlu28a4xxheoiB0UU7D1yeBtk+owOwhnfIFz7R1DGYajFNo/qrN
6mSP6z081aHgOYlnmgyhgWKVeB0wlKRom3LZQULcsN31V5Gd77UkoIkx1cYG+814Owye+Qr3dNg5
Y9SYG91WZG0FrvVqSpltbCp2AtACM0WD7KcXQfHNhyti1PDYnxGGjGiOOkxdfnLmxIU0NBA5vJbG
YtpVgJ22DrGbJeUxrOHSLEliCczN5GFRpMjzkT2myRy7K6McIhmx0nJcu99DestSpk/T9+jeYk7x
TUzg77x9dfgUzSm/mldO7+X36F/rewywNfj04PHoZ+spADvGvMJG1WIGZn4VKCe+HzDImhtiDcyb
YSzrRzPIRrxieIQqDAcakxZFZ/lJrxOsXDXNd8XzrVWP5jgUD/1UdV9rtuA3zSNpmRPfCELdijiZ
lplpntzvucxeLBHE+Q2MsgMtibZejqB+Ngge4BCt/vr++F9NGUezl04qJcy/3/nOb+G3t+xD/rL1
/fZ9v2991hdb8A6wi3ruL1uf+AJYkC96tHzxwwhqld+2PsP4YlHGAtvGuaL7xj92Pu8LgGt+DgWo
+NtX/sLG9712/Gnnc2zG6nTw8Dna87D85/2onVTQtLBt136ilg3at8LaS1bQLtVWckKSZTscmQ4O
Bt0mKh9U4uM2V/d5Ex1ZyNZWp2+6pN07MUxH/yom7GWcWH+NXWLqiFOszQ/391/Uqdyyn7ZqT1hU
AoDDTdMCwT3zJ3/+hbEf1wWjR2+lObHzZiCNfewCwg+8xJr1ZaK0z+GYpMchMvw1i/e48qwAPbKM
GvJfHG+6JR8N5DNkYOZb/rAeLHTaZHT4e+K56G+aWRytPc+ozq5eOa+BAfCEqt6M4pXjeMlL0rCH
LyTkhE8hi/oVZHT/DNkXF1Ac9ck1qT7pU2bPfuneZma7i1RL2JERwqqbWjc+EYHYHk3DlEQckNCw
VCPO4rwfNOjBTkB4CeDiBPwAqJOc7dMbwbt5gPO2uJbGF4k6piciO8DXMIVad9sMEHWk7kSfThVU
QKZcYpbChrJgwSfzNiOZauTzEIuD9pkdHeOSvhFt32zsdKgBO+S1T3I1S6nQvHQZlLOaH2HimWTa
Jb3YfRULFP1ENfbWdUy053WG6HtvtMa4NZqcRCgLnTcUsmS6VJHjRwvlaPpzKQc8VIQdEOveDwFr
MuqGDKllCZuS4SLuZOYPJw8jBgjGUh0LIn2uojYIrypgLbu6c+MbRxTJDSfG4Z5mpr2rKuEg2CmT
AHtPMFxyXcSrVo+9B6DA5gmYarA0CEz7NnfVEDZVxBKshS4ZVZZ/o+0Sa1suiXX3HvtyqnZRNDl3
QzIjenlLboAADo+QIM2rqiqLnQVx8YmRZ05LU8gJ06b2FbbHtLPxzh/jlmQQZs0G+FNba+68LKnY
Fkwa3pQs0WtP71FfsVhzxI9D/kaZnnfse+40vQ0iywf81eEEY4PUCVQCgYJwNLZtVrEJxtjpSbvf
tirI7uMSGfT/Y+/MltvG0i39Ln0PB7AxXzYHkBRJiZIlWdINQpZszOPeGN+mL/uin6JerD8o0+l0
nqiqyHN3IiqyIiOybA0kAex/WOtbWmxOgZyyidfjVnc8xu1zPitvD5M4gTrtJSsSPGwoGaBnasgt
X9poIuC3toeNwzzpM7SI9oK4zWcSHjaHFKsZKJZ0OLhLggzKA0nAhF48ov8OT2JKOOcZ58NJGTr9
ttO79ozNWX9Uoydfo2ayrnI9ZECOiJ6KakjV7Gw6V4YAD2uMdqtl/Yj1jNmfJA/EkBy7vWrxNyeW
29/4c90zDBNyCUZln9KV1Bcz9UtWIZ3BDq6gfGCHR00R4pvrVqbd9G+jZaOXTJsYp1odFf6zH5Xz
Lfg47wFrH0b+CZbrhOQ+nOHjZHalrUryX1/9wazOEzGz3g0FVykDEPR5AqumGW7gD+qfdUw6YtPX
qdZc4rBKv6GEt/ONGwtSkWuFK2vjTcgZSjiut7lsuAzGitmbg6rwZMzCeHdrqY1k19noGaQ9gids
G/Cp7LdxJuSahdqgKENOYeXOpEwRuodrigir3J2cm7ZG6Wpo8KtZAExXksDgZzmF1l1OxvZudDRY
sAkX48qHlLXRM804+xkSOqAduCGiQdMv1iQ7F855G+0mISSzr8LPVy1MXYoRk+iidMrwVIlkJE0u
rHTMuhVTy2IjorZU2waGDC9nsL1trvkTblvHvWM7gOgnZjWxp9BND9I0zPtkqK3nIoQw4QsK/TEy
jW1c9tmlliJ/EnHZ3NHB5ZuktOXWoGiEIuuoZ8eV5j00SHz1TgGcG/had8JyU17QwwBMKXvGYUkD
P7CwcXcvNXX3HKfoBVa45IcXlF5RgT5qDv9NsoLxq6prOU/MZRQlmD6ZQrc//vxPrV8pugIJFapH
tXFX8wZV8VUYuDuxqXf24d8cXv/uZ/1l68k1lCQWWbvbYa2viWnZ4B7JtgH9DGcNfq1V/bULPMQn
Gy4PuBvx6t9Nxoylv/x53lNhWKZg+sZMDCaXcPW/DHq8Nu8lG+Bs2wfgmqy1nq3yDTu7tf1CL1Lr
a2wV23/9shcu2H/9mS72AMPTdWhgf5nIVDMfKQK1bAsqdhPtY7yCK++gVu4uPqJVc//u2/zxGv/0
8/7yGuccgRlkkAzT5mrTR5vwVqzne0IONxpwuu0KbiE0qY0VIDglQuo/s6Dkh/yBSnXZaf/zinj9
2r39pRr+/Wt+VMPw4FB5cqMtTDgEndwjP1SeLhA5RiMOhR2FKH6tP6ph8xMTxyVlVjcWsSdL9j8G
Qfonn6Mf2BsDFSKGBUaUvzMJYsD0y9W6UOSYBOnOUgvDkDPcZVb0pwcCMkuCuiNDsv4o+6ekcbtv
I0fOwTba6U4XdXIRjVkCobHKh8bTrBd3kiNjddyNVRFLhPGdfYrAaW4yP5nJfxptnu6O037HaB5e
T2ViBSi98i+tEffXIErzfYQ3lElL5dASdiZkudwNYjbIx7asltDoybrXhq77Qo/fbivfTR+aBmka
hrL+eTKslhgtORaBxrPunmCHamMblfk01KwRBkpyagazG+4Nj2hSKuTMPDrkNj6X5GYs8aaL0c20
/N3AxhSscg3tGFVpdDBK073NCBCMKPlnEE/CYnnvhn13C3yyzlfzjPkFS4fJswStEiWrkZbjSukT
sTjOTN3aTT3ZIDoZsBm8HSsKYty0Np5H6m5vKsF4wGJLX1IiMCv8aQj5QIr2aEaVlk0vtKl80wYf
5DXwNEGkfKV/9k0hziH1eZDXUp1Hm9Mvx0T5Zk2N9zzpQ3xS7Ui6LeD6ttlIcuI4XrBLoC+r6WJM
RWouUNusumt8L/raq5oFPApe/UJBA3szTRwE5W7l9ScL0yOkEdbuMNgkD82xq8omwKDmu7u+651q
Y1md2a0jJmMS46ljWUFiOVnKOKFi/UC8+FOUOzojECt+V8lEOItvd4dOK1rQpkUBdLZtprehg+S+
Iz6e7SagEHOfMnDAPIw65iBMkEVrY+janJ2iHd5OMqwUzlg7vCF8EXg9qaEjWE74J81jCefKWvsh
HpBqEcUXizw+n5J5TyPjP6Fzr19bP4X1F00JwNO+9M9l5GUcvgjuqygbjopo1ADPw1J05s41CDWb
lzamJ+bqFh67bICOF+Ln9p2Kzz+sYbiT74G2E3Qomr3rqPHQqBJmmtyUZWQ/VNL1Tgzd+vOQZtoO
lqi8FLruHXWh9B3ZkdqRfaZ1dFSYbHXyVVb9aCM/SOL0uurMNMBekgTsHC3I1hgt0mYiGYTrYpvl
80xEvBteNSRdbl30q2ima41EwYVv4HlwBuC0kQYk18XIFo7q1VnFxCFDaEb4UtqWOguvxb9tQQAy
JxphpsPJrphxs6oSR3nM02hFFhTmfqMgs2TuGlzAqEJMMpQvbpMlX0lxY8k6Vd42dbB2lq3Vbxvm
bUtibBGMoh3PMndhAIzw8qysg1jde80SZV0lmLMTsSv92X82p0i71hkSzssHP00MkOLiJNIqJYIv
C7tdRWsKNKGmvV3namLAKwvbQz8TVrm2RrEoXiYqtwL6GqboaCRVMB5T44s+6PLbkqFy8SIr+maL
0npLDGPY1kMT86wIx2fTZdZdhrwRo8/aeA6LKUD0iyNESGffR5LtaT52QC3yYj8UbbzGT6ztwiZj
xDb2ur7FIUhglMm7SBjEeOsqsAqdPiwxzxOMXGJKQkzQbv4IFwZ41JS4e72Pywf2q8UZObm8Fggk
sfXkyVsktPTiYj2659qfNoNry51b6Tp4RWiTttnU9POLaYzHzdnT5r5ZZUnjoW+tB3tD28V6na5R
f7dTgzGayEvjHbo1eYq+3r8QyxcfUlqhs0tydMwn52lbhXvpIBoN2JTV+mg6qh40t+1FGOYl8ack
OUngfnSqOb1aYwUVSAk28ENy7gauELcy9UOp+d71RIsbNOiWmH9H+ambUKAPmmvd9EYWgcydIAdZ
sf08KAN9qmgzWAPc7BPoL60+FBGQiHywAH5kJMCi0Gwcc0czXDBZKRR/zSD4FynMoooxF30MhP3m
vSW465pcKLoW+0NKg/QDWY21KGzGyIZ9ZMWueuK8a571DzEOpB2EOW7pau6VNi2CHdtmpAkHWGiP
YUoacmInxl1kPAt7SG4cazYPnc3yLM6c+XuyCIIaUev33SISSj/0QtNA1NQAzXhno6F44q4TapMu
qQUk6qA3MseJ9foiQupaxX/j+9If6DlQKWWLYImRav/qpklIJ+NmPr8dULMbpj0q8M22+sKPy27a
uCw+64WT32HqJLvKR0Vsu1X4Wo2iuC9ag9Zr1FuSIJBRiXQa2Zp8qKsSObv7eZFcOX1b3SSLDIuE
SYIHIL3Ke9IN+iuOahRbUwH3bxNBZwPdZBYezKY+E6dmFuO7bRdzEPVTf+9+KMHI8EUQDhSq+B62
0DvMCUQM1gkUZGFTqJ23qMoqBuQtUhpSnoh1QHZWzWnyGd4ZTBBHM3pClGRyrgskVSvSzOdbHbaY
s54cpz+gjJzBQKHL2zmawK7FoNF/baOs4rkDREJmJvysMGzPldDH7eQ2I/61Cq6XZH/zUJW9TpkS
NhF4AIylK9SJ9dHqMW5uS3yYz8Ps97t+rgo4U6jc1XoSuFchEqTaPWO2+jKabXOGTDECu+2H2xGF
Cw7AsDzJPJkfO1icgW1qw81H2fifjer/WtaczIL/dRndle9J+Vq8tr9W0z+/9kc5bX7SbZ2wUV1g
bv5VSwxe2V/qbATGbFHthc30+3DZRoDscJn4Do43TNjOz+my+ckVy16SwhcFMDPmv8Vk/piX/6n3
W6pp36Eic4SFDQtV3196v1EMfR2leU9EWkNilt3K23ks+3sVjw3mSA96qGpQT+UFq40V3ccAxbK0
vRysqy2/oOjRyQazu9d5DIc3YflyzziLuCBCgmxAbCz1b2JL2leYGqJz1BuqCfpm8nbUA8SIZlVx
jtiM3KVxNGL1rQgoiJfMaW9oPsfhHJ/pN2CkJrXlgfEsEgYz5mCQTzASq3IwSyZ2WpUXTyCM5zOj
1pacEg6YE6BfEDCN9ZzkHQnbDjM03vx4B0p2vJ46w+fwBzQnFSAXYrbqu6pwzR3GKG8DFsVcmZOr
X2M5dxb4i/hc9GoI0LKErz3OZXa4xniQbTJtx1S4mzmcJvKUMHyEfgiaCNL+bnYixHQ6mWzUxxUM
FrKG6gWQRgKKOup1bV4bc2xgFUjx0mKPektmcIlMGaNL4vIsWqKk7SeMMAyONFHFt+NkW+shFBLJ
sHJYCHoeZLZh3KLd1L8Aq6KmsIhzB6cQRwFug/ge+5NaM6weqVJNCJul5noLZsNotjCZhnPClD2o
ExgXt1Hskzkri+E0myUBMVFUbo22iLbaNDFmanSj+JrOVnrucgHNpx7n6T1KlGVsPLsJT5FQ+bZi
yHyDTpcOR0eedGNbU3vQ3NY6UXNFN7xrjEFN2xxOER4yJL0WKsAVqR+kZJB/x2dnRnwxaHA1XTB5
kcxg4guBHgmibwTN0yGDCUJsc/dNpLcXc4wRK6IyIg4SjiePTGvsSGCbBeHKeQjWNuKlwawJk+zM
iq7deinYZA4NPX5ojZI0Jyal1NpFOcIzacLUf3CqjBz1VPTGJdRHeQc8kdIr09XMgZgh1lzlvT5+
K2Y7InsD/3Gz0WK4nlvATaYPonXu4UBzpPHbe+6A/BPstEHFt3Zj+2xWYlkpQy1wb/TYEvWzVuiq
+YL/Has/uulLbAx6vpVGXtyosOqfcsVmiPCh0dmxRzSvMWhDSsl0yE64kF3nrTW7+pY6pT5piZXf
p0XG2nCMXOfixTan7ZhM2otqFM59LzEw86BFPFapBmC5akJkcwkloxKYcGEDtZ/J/0wRm4UUWh+o
5C6vq2Q1JZ5wIMIUkpEUqGZ/1Xfkadk1wu5h6iJcu0kW+KUb3vRlOO8Jw/FPikJvLR0H+77dj8YT
hkkIwgDTA+7b8j2LhE0l4lCcUwt3d8RqlJuB3E1+R9yPryGK3cNAwHVQ9lZP9zX6QRYN+L0Rqt3n
alyywfTpNPlt+yLilHxJU2uroB5dbTfHUr1YtOwvsUd66KabNCJURJmtoZd21TY36vncq0hcJ2ao
v0Dgaa+dZHLOotDLF2Pw7K+DNw5HUh20+8Fx0gepp9TSPUtj0hCmzNr1mtORfEM3+QSkzAlAcNZ1
UCYZ2r8ii+4HLx4gudGn1uWg0/A2mXs38/dhc3V+9nUANvFUhk597xCnwv2elcYlJosJIGk7+EjV
chC9BJNn2vVsdc5WQSIw6L2ETDbWKPvbjKHrtCnzudqMRlhcuSFAHjkZzc2UQdBtLelC9Iy8vZmM
kNR04L7gzttu7SZs4GzsU0HdV+W2t8voxWuIXlUslLbtuOC9m1yn5sdI9zjA17ktSo/JqyzklwxF
fAs2aDCep0i6d7Hl4C9DGVEv+7MumIBXPgPXj2jxfYDSRFh07IOQuni5wSw5Hdz4KGFkPMB/AhAm
mu5kGlqHQiSMbSgXXffeZUS5khSHUWA1smrdOXqk30T9As1GvNseW/qBL4R9+OYePakE+p2SUtrZ
Xrh1FgbCXAn3BREpA0SrKoAkxAsvoUDyfWaWkhxdkwZhVS1khQgGJY8l0ZZfu2Eo79nLTOci97MX
ssY6AGZQGnhe6+/hQm4oa/IkN24izBsmR2HA1tU/Vk5NK1yjz6k/EBBIN8vAUXoTrZta9E+0+xjx
8cZVJ7fWvRuL9+EBqRutZEHlHPAj5UuxcCeY5zSEsIE+h0u3gCnUgqjwtBDggRfieAWjtjW7Zjhy
WpTHGJXJjuMX0kU52zf8Ws03enPnVZMdGUhKbZXT3JrhLJ5iLQKYHVXJbVk0vgZhW7SIFRbERr7A
Nro8m9l3hPNRFbl2qT6IHKRJlWwY2wQeCwKjG2vhd7RZV92YrTrJruKUXigf+cL7cEY64JXn1DRH
Awpm5j6JuR/pcz/HtTU8JiqqbpF/5OfaiTm447nJP4cZ6b//qU1/m/D+Xl/+S7nfbZeU7//4f79Y
3H5+3Y+6FMAPNSZDVEazCFepdn9MeSk+fdtmD/Dx//5ekSIPFEiCsf0vqlrP9X4OeK1POonbCChc
kx9Dxofzd+a7wvtVhbxUpHwPC6kf/yCv+Ks4uLMM2US9Nm9SK85OBlie1TyIy1xIl3TBqLsqFqRG
I9IrcszeeB43hBNjQ3fIWVpHnG6riMBlotjaL6MxfK1DKF1OJPJD5ir/S49BYWenRbOaOZMZljEL
dC0L/qP2jjIOM66BV8bq+o0elViQG5ZdFpLyFYhzOHMjba2WAKer3Pe2mKZt0c/vKU9NSiuYGiqJ
sYGDFl5aNFfv7xuu/lUs3H7VIa2Hl4EDwGFWlZsGuAu/PJu+RqaCQ28buRYxCab+3DqgdAv/41ZC
9IFW+jucVG3NxCZbU6cgg/Pye60h9aEHoLNmF/oAIJt0R1bca1viRg6H+EVFITTpuT4l4Orx8M32
eeiQVzWRzSzWxV082ILswaIICOEGxOi0JT4jB9cN47gArbh/MPGKrKTXPxmRjPaGKMxdNLrEHTJ6
QqiYDXuli+w9sqB9yTBXj1GVD0+FzL7hm0CLp5nf8K6Z6762n7S+KHfJpMdBsQBdO11cgA/VB91g
tWkv2NceItEF/D4tLewvtVDA3IUHZi9ksHRhhKU9dqBw4Ybx2Ru7wa1ONkgx3F/CA2VnLaCxUbUb
6AqnweqyoLbLt36BkkmILBthyBPm942ns7H352hbRmBIpoQkCnN0DozBk3UB78ztEO1XCwKNLcKt
+oCiQUeboaRZZvIYModeo3u8qoR6Ujl0fSLLq2Jjd2ZJqe4cnLQdtkvbdx5n98UqxasRYlr3kO8U
oaRE6+59FuQrbAJfB42JhjTG96k0sdwk0W2Tl8dcJd0GXQiTAM+4jWfy8nTVvg1+cUznxcTTpAHQ
7nibsIPl2MN+3bFA3ehjsSeZ/NrsKJSHPF18+7CovJFBqW1vu9A69ig9CU9hsxDH30yT+MKun1f4
Ju7lHH13SnUMhXY7qeaaBcQbu2nkLcN41SsH+mRjgWxzxqPytfwJoNdxwh+y6uJ6p8QSMoHMdYW4
fK/18xPZ1y+hOTOpmZt7EFr2uTZIpIvrvac5DM7UvPYkdwYMXAaXjnlsYm2fF2Knt36Am+nO7/V6
FRbl0a7G7cwQOR/SuzGejHUB+nHl9/5TlFpvURdnWxM+Fbl3ap92fFCIHlZGttAxRjI4Zqf4MuBv
OUAruIV9fWn8MuctJN/QMq3ndrSPcSLOrQ4Wb0DMyUTRO3BF4hoovS3EDLkt7YrRK2kMQVj2dz4Z
BYnr3U+J/QwxC8cqqtpFYSNAtLZ7WXnWdWzk+m7yu3SblsN36A091w4rl7Yha8Zz8vKsGmID7NwE
7yVnf+NGibzV47TDRsRQNZ/lKRxNfR3rDYPBKgrZtJAw7lPtbD1n+s8854+t6OL35ZT551vR/63y
f/yfUiVvvxyavvX7F/44M5dDEF047m6sdr8NbH4emmIZ2HD4sbpfxH9/zHIQCjJPwvaNfpDVJdl2
f6xGDf2TsE0cIxy3rDLJxfo7J+dvm8+f2gFU8rh20Eqw8DAouR0ipH/ZjLoJg4C281O6YFx6K7dx
uEuYInF7ZVmvCCFiPrLqNIijIkRBLdGGf86xhAbDINOHchmCMpCGn4UKtr2xnbZmK9UizdbTBp50
Nrywo0uCxKZFMXwSWcgMIFl40hsW9f47kpdHzbQJe/EJAM7Dr00yuBu9muK9j4UX5aGEGgngPz6y
UKHfLgxxFQ4RKGmOyWJdeciQmjE0b2TYUuqqvj4RUGKexr4GibdMUNK2dK5r0BSbjk/jQL5TfZWi
GeLG7Wtu6lQL1W5IRbQ1vZrHmkE2QO61Zroa22SLfI9ep9/29HIrpuzOdnHukJnelbeEeWbHfCh5
ybX1kozsRZ3IREqVMdAZam3Zbzmc1EBoCLRXMCvIzByQ6qxs4p+vsm68z0lUvOOVNJcymsxjEk32
msyzcY2jb1q1vX6oOv2pNByI+g1eziSV+aqyzEfV2i8k8YR7aVIbCMyLReUZL7GosckWujgWSLM2
tt2QI+pOhylNb/1mdG5mo3/1InVQiQ6NQ47bYiBhPk3gTpNVUWwawyGtUuHAJj2FlJMSBaav+nHH
4uerZ4LndaSOdaEMoY1OyAgLzS63zFe8dWP2cm0xYzGGJN7BWyNb3nRHdTb0Hlt3VDfxHf7A+BCn
SDgjWpcHaVBV5XHynpoEpRjlSMbjtIcoDrIvnb+7U/6C0Lne4r1+9WYjBocq6aTQu+CMh5suKd7W
7DKaK03lz12h8l2JR5EEWWeHki6+pDp9GgPLd9ecnlHCs2WDMVdKO0XtDXKl92Ct5m3PyEl7ZgF1
LYHyruwyJ8aAj/iyKLxWvZhezBy49qo3CM0mG9LZNq42o5o0wl1ilP2NII3r82yUybur2UPA7MTf
om9EZ7WUg/+NZuV/mvT6t3bC+JfP1EunuuJ1+uWJ+vPrfjxSzU9ouIGC/gCN0lb8eKS6n3A2oUFB
NPKjRfmhvf7E440WBGsRABuBJ+iPR6qmf2INRqOCZBv/0W9P6b+hvybZ4Be5iYNoBcmLxwni2Q7P
dfcvYqXOcBgDjTmKPXRwW19aY4vHd+5J/mp4Nll3QOdHQquMUL3xUAbFU1lJlga+0Mmcs93wpck1
/N7KISctbaov2dg419qIiBmSjn8t5nTYx3mcE9hkW97J0HIAEHkpx6Mk1v0tL4oeMRrh2bcMZPB8
KPIO040Hl6Bce6PhHT1kLF9IFu6DhA3VU1o1KZNSXtV1qZnWMuy2n2UBHn/25iJAvzHCdjSiYJAF
iU9FCq5xRcoIAIBBxC4iOyaWJIYuWbM9D4sgyebkCo1FJzdl2sKUhP9w8qdEXSP2aT7n0qmvgCLq
j12k9GukQwRZl7l35cCxCdgjqpsoaSJ35fujlwEV7lPiiNJGMwJF59QGBDTY7MSyOb2UbpQTEVUa
2bqTLRD+LOsKFDuD90aOFQvskc4lZ/qpyJ13gPOgvIY8toryIdrJxa+xSlsmTStjLqxrZrb5bdy2
DsRTk+cXYVS2s84HXWOAN3RXc6/ZQZiGeEGcWRB/C5VZvwwNww7bVwLprxWTROhGxRDMzZI9obtR
hvbAshhIw6Q4Q4EjZGVwh6eMQd47lqDiBuQV+9/MgWW5yUynfXdmy3j0JtDltYtIKPWqeC8aET3J
Me/mjass9zNcapQRedfVRAgnIY9EZJEe+Ay/TOtV4868SNMV4SbsZ5zRo14khyRKrHv2odrZyqX4
hkdbfJt8Nu4WE8GD8sujMKeQnekS2kto18YrmJbxBlcsOmTMUzcL63eC5Ua0whpHg5p661qoicXP
KOs90cQNvmjXSkkrQw81da659G7hta017XdioDV7PY5Nvq8I8diAEqvWXttwdzi9By1GTwMSipNN
2/TDG5un8qFvsohdJlp15Wjj3bTItibRdt8my+6enGVLGYq5C9SyuVzWnKfFrw9tPx1uAYcAZ6ur
+M7ScxuH9zTq6yhKzJvyYy1Kgi4r0gpD946xePxsdcBrt3iE9GP322JV8xeylByjw0Bk+YNa1q9g
49jE0lmrO3Rbcj/iZdwjJxvfXWcIv0CR179XVTW1SK7isT/ps7T3k1Yl5OEZ1XyrzAY5hm2nrMg9
rivKj/HBiC1tQzQulH7EM/BOaBrbK9WaWJAdXx5LY5QKFT5OzFVmRNYlcVTGVgD1bCBzh7zGVEb1
pfjgrJgLckUu8BUJaeOuIKLA4+iq2Yn4UZe81xA2jkk5LWOBxiIYQbZTfJ1+MF6GYYgI4yFuHlEP
jcubhrTn66QEF2jBcgLMqbpqDFcL8EzoX7J29kBQGcmdu8BlambB5LwBnFELekan73ysFhzNtIBp
cumON4Yy66vGqoYgp6rkcdHl6xYO42PSZ9XEu5EZVxSs8jJwQbH9s6ItPJHkHl+AxcxdExIpzegw
ffXAJxT9RLR7nlaBshqZEGkRFm/EDEz0nKNeNxs/K0lelEX6mLK12MOCNde+WcR700mW3GajE18Z
z2ZXrKXEZ4OkAEAGpnnyEUU/xWEEvHz2wupOChuxSN2P7GJ6VzN4j/ohP3IeoYtq4yLZUXbHm4QP
b5tWrjqAiU4OoCR088TyR/qrlInq66jHxX4mCRITY2Tum8zyvha6n163qai/6tIZHyLbzk/KqUyK
zHQKhqbybhf6H7Pjub8rRWhteIakLxWqDaR0IovN9ah6a2fUlrxh3xbvU6UlFI49rk7HGNEDFBNB
HpUXkBbfnuoJdgq7OxnxeGtcMqojYw9ifbqgrLOxPvS6vMN+pt+VsEGuhIMiXuhl/6Aiz9ipqq/u
OzlJbzW1rXHvyck9kuSwRHOmHZHrdebVX/tGeCeIBCbBZBUUP8V5l0FlxLw3ieIOTU8acEODZnOk
d9FVRbT02EUlcZezSd4Zgz6e+y7QNZpynaeaGogcRGE63xfCQ0OT9335xuzaQSoSq1Iyy+j6o0eI
4bMbR8ybZG3U47plWjFchVMzT/h7YF6gsgnd+7Sc2y91XxbPLlxGi11dDq9SpzWgK7CUhjvE8PJb
IVsSILQmSr1dpFrSYJSw5wd/HnAKTGak3moc8Xdoz5xz4/Qsmt08jh8dHuQPhrL94wB/BVQw15+7
4oIQu6qZzEs0x/MZmou/VgMrmdE2WDO4fcxSUYQg/oyptjZGVLt3SrPMq78/6f4fWjzSnP7zhvzx
tav/8X/lnyltv9eOfNnvtaPjf+Kp55j40lm8I5/40wwbVC1xry4t+UJKA439RzvOnyBy53+mwL+H
9OGntEIzPgmxfI2/wN18nH1/qx+n2vxr6SigKBh8u49v69nLn/9JqexEk7L6jrG1W2Jm48LAIuLh
jwbYY8xj4OoxZ4eCQ/m96zrW4UwP5pM3lsaxSVT/NFTMtZmOGdm1aFpvq/XGCOPQEQupKCLIsvH7
epuJhDM1HuSdUdn948AtTavu1psE9Qi+3IzwvZi/IhEWbzrP66hn+hujJmyayCbTBfNQKCxfQhgB
4Ghxgg9hHAw2/fxrSo5jSVOOgBXHQ43mCR8RrrG2HnGVpAuKmgk1ObCkiijKuhaC+w6qAyjWTpkM
stoQStVMMmnNtU84MJDsfijWqGm5Pwh+GjaJ0eMkyRz9OEfSZIuF6HjUEjRLjJQXZ3yuH3Exqv3g
GHijc/S0KXFxt8mMiKwWBOtCUG+2Vl1n67KorMCsGLPi4seyzNN3G8OA3VTSYdZXsI6j+jVXBpu1
VS6G5OI5HFuSoItV3jrlrtaYxsPodjf1FC0JPrSlRSsIXXIG8zqKiNAiK0tuZJF1W2VjMTfUYJ0V
wct7re2q/UBazCVyNe17njj6m0ql+axzkG80XzBczcmqBcla8rgaxFZDLnPKJ4FShdQsBtuFibOR
hIIjH68flCTDrovJdMCC52I/G3ptr0rPsr7ZWK63yC9lu0q9KMEEluqkD1E68JZVyUOESvXJZ7O8
MdoqOpcxJDR8k3ozPuq5Z4VPU4Ti7CZExSJe5dSqQw9V9ewrE/lNK9T9MNckWg2qO7SGJknp7cZN
JvqPP4gex8ws2FFbnbvmHW6TFY6V2ti4tVN8Ixjc17hURpcYaLeB9JM3AqkMALulknzyOYaAAPRu
ULpde7CLzL1HlVmSrVYLsppwgT2XiHKOiEr4zUMslhnc1xMb6eKb4xczq0bfuADnbJ+cZuTQ6Y1U
BhA1jVMIg+pCoM68RQJhP0goI7CdLeSJlYq+V7qGJVNzBuQHWL8C1H80Pp3mFhvfKPRdY4fqwCyn
uwbF6sKUDdFyp6Dlb2y97t/JATWhTk2+vbPMJi0DqMJQ89wycW7rrhsezETWAbg751yWqbpDIs3t
bkBUuerj2b0VZHbfGaTebmI98bcOKANyooU1M1xJ4jtuUe5WxlWkIFQ6EgFFKdsEaI5RlPodKxK9
ZMac6sOwdXpsZhHNzmcdjzQ6f4eEoYzcM3gERrHJMh9rX58O2UlS270OKg6/dlMb4x13kXXGsY+F
gLkbZ1akC+2FJYUMxlzZd2aXhcT9aNNDbJVusTJx912jbZCn1CVaYBXmURWucYRhhU2q8LHpQxtN
Bp9ksua0G10LQrM1Hnmnpxf0BqmzdmEExvB9JaZDvHxJMBPwgwYJnShGzLYs30w1mt8RQ5DkCi+S
sPK0UNcSx8IehoPGbqULW0RdpnMVNfYA19cy+QbSFdy1DiGiSwaNxehSEeqEZdfXuo1BDh9MuKJc
swAiAa/x1pTJ7FlavcVxtOj/Kxl+9upUHKt+BtCs5mTXlHoTeJpn76q5foyTVHueTVGvyEeI1glU
3R6S8q4RNea62l76VD0ojMxaM4mu12Q2hGuhDckaNH+LORuedUltsXXYZrJis+F9MLngrYi1dcOo
YWOKKty5BFRdm24977m44yue6yZNwTAHWUkN0eJYWc+xXR/KDFdzAsIjmPiRK5cty44+RO4cGeq4
DZpp7+hJuQuzRH+ps7jfiiHW7to80w/CU8lr3nnFnvwnst1z3w4gztHuMMd7LkwHhZIaCSqW5Lry
BEEJbpgzoG/bfLM9lCgpoQbguYgy9NKyXS9a7UDLRb8tyiTcmLUa9/ApXBohMzmkOTdbzS///8k7
j+VWmjNN38vsS1Emyy1mA29IgCRoz6aCPKa8N1mVd9PXMjc2T1JSSz3RWmg50TtF/OIhARQyv++1
dTI1lBs4xbF1sgBNH5lmBRzKFlpanbvBy9Ze0lT35CI2W9aWcYMm0N2YzuJ8uiOi9JAVbUfXlbMm
J5d+8mRSOCUDXZ6EZTTZ+2Xnr0h06F9lVoY/O8vONlhdSfBFRIHdFbZVMP/qSazecr1gmU+S8U62
g3+occ7v85Ie+IVSlcStQjyYuFOLYXxt7NrYxMThUeoYLVzfo/cKDIVWzWvq7gCsuWCj6RboqWFU
gs54FRn3Jrl0+ya32m4fN4uAiPzunkWeAnXU2fPL1KuRPRELT7ou+q48eSLqXqeMVMfZGGDWMJZm
AL5eOez6vievBAVw+pZIOz/GTfkxBtIW/FNJdQn7vL+kdYdJIep/t0jWdl3FY0F2W7T2JCqZ2EGO
2GRuSWiJ65yWvK8uIzzTaSpJJY8opzwg5OlWlR0b58lrog+AhRidDjLQJoOKlp1RHjHqTAhmBkV9
ypBuEpFWO0W6PuxsENzSsh+u2egl2OP5HKdYel+jiAPkXpJNCXqWD6Dxuw2+4/6x7V04vsUv9/Y8
uHienAI832ST9qlxhwwI3odhGh6BW5MMzj9XwaqAejfRBsbJvuXoFojeS+/O9Jr+w3Hafhe3wk1X
NayHXIO+OYRCu5kMX2rbao4ItIx7wkTynWgL9STQ8z2YDs52r4jcSyX74gnbY3emOMbXZb0xZlai
fzFKC4UAKioDhgjbUOql5fHY+kFTXbtwie5QzqPXwj1nPdCXXZxHEtGf8ij+ufCG7GZ/9B4jGZmv
mF7U19QU0c+0CNSLEXr5GxOYfa15HJ5mlYlz4Rd0hXW2dcC+L1+yOfIeaN3jmcrGpjtk3VIdzb6j
g3h26ePjqtw6ZO4duixzqQQEiHRI60qzhyxoaRAi0pMkF7t9qPEKvNSlVjZExMwBRGTLCRBxpL9n
BiRaQVtjDxaVsSvC1Pk5hCPNi1OXbJc8p88eU99pJgx83TsBYI6JA5eGmdS/OvFcb2grqA/eSM+9
q1z3rsWX847v2Xij6qF7QGhPpIuRluOj280BXToVl9aSEI7mzcYtKxznFngZ05ioA3CNwlqeC0xN
1yD35kNVBukZq1R+C+tcvaessXt3DLg35zoAHyi96GKAmNirkLLYBe1gXDy74YgYljyWnXIadBg5
DUxVYjQvkbVUP7rF5Run6uSXK9L+Hhv9+OSEVfIcgEg+k+y2HFVc00IUdwOFJPOQfAqD2YUQoOCe
EYeZ1piju3Eu2gdABd2GsIzuSeSdlpAM2bSdOxcvEs7FZENoe/Yx0VD7h84WcyYTMclJihmSYxUu
HS7XIJUbgyzAu8AVyStJsd2tqCcGw5AKmAOpts4+p8vKWIlobCogUH8KNlI3xUZL4LwuaBa2IVby
R9wGy8Xnf47b1K3qZjt6fv/Hpono0E5ssDtCYvMDTpDmh46GpPguSW+RV9uHrijEs9OVwWPatSk+
wCZO79tMD0hTSfoARmiVc+guzS+awNXPWgbtfd5NlK8qL5s/mNybmqgE8hBXEj0zceV1HTwp5XX7
cVDWqeII3XtUYP1AadreUpHyAnXBDD3jwNh/FkzAm5gR/C5Ew7vPODXH1TwX7rl3/ApETi5i2UoE
EtuOSGASXwnK/OzmRb5OlpHfk1MW3XtaDrLKi8LmrrE6rC8x0fyhY8pDqy14JVaPfdY3RPBbChBd
8QetzcEa3jK35zrJO3P5k9rd9IC9HujYsRLrZmECNDaGZRp3XlyM52jM01fLMsq3sajddjOYcfnp
Tw5tnb7AdgUdFu1y/HHofPxxuWedyS9p2rnUXGUJwwPI/08sezgewf7QfCxee6xiAF3yNacImjai
qnDTJyrYG4icnwIS+Jid7cT5MhStV9t8CKDyasc/VIQdTdtihqVaNQhan3GcZDeCUgOafXpLIE7s
xEVKy7y07jyOd6G5gFf7hnlXFmRElSAQJFdMKRhmIaf3/zFgBCDAvwYj1p/0sw7/5z/+GzSCn/s7
k0UekK0tzp7w/qoO+AeT5f2FmhuffD2+/7D92hz9NybL/gudfBbEP7o6PCImCMHf8vMgsnwKfJji
oJ18B5IeZurfILK874y8f6gDIGVs8EGmdFMQ4wdooomuf0IjQNpy36pNfJtEu4+oeJclhCYmzAAL
VXtVZRpdM0c2D36z9DPFlhR8bHsnpYKpYlG/VzIus3WLiyRcNZgVc9qyK1Ptigl50GqZ+4wWYEJH
PsbKKw4p9o9ph4K98z5VNFr+jm2wQPMJgHAf2tOXm022JJDNk9DoxRTxTTI4VBmPFfaLeJxY7Yys
9bqVGvRWk/ii9NnNBXHtFHYndyCd7nNv9CHiLbj5NbBj+AA6YdyoqdX3hL509PWj0nl+nRon+bXE
YnxEJ948h/WQPJKjZL+7dRH8iC1uNmPEGbwyGyvYD8gCEcrNwcksbeNhSWjUatLF+bnoC7PUV6dh
NdyiuPSoW6a04tDFdvNWL2b2NHWRSVSDvoDpJM9fKw+0BCSB3pfASR/c7zubEBF9f+ur3KwQZDjS
jc7tPJh3ouniozlkjABWnNpvqm2Tq5SjdfCCuASLB7so/Xrcqymrn6gDGK59N/XvPJbWXRYuuENT
m2FYzx6l3VmvBMAQAZxY05oSP95CPawgui7OxPJbD6g6mbbAjo1j2st2p6p6ee0a0/lhfM8/o8on
Cm0mEgI3FblDwCp6XEr04FTrEUpFg/MyEsf8LMtZPZV63pJ68pLz0BxBP8ungRjwp3R2elh1ImtE
nll3jldPNMcZE9F8fbx3OsFdlrWyWWESDX+wdcx/spSEq5Jy0rVMp+lLWI39hnXP29YijJ+GoG9/
BmQ3m0gCy+4xLkzvoWso5oYVZQA2y/DNt2f1VtlGuMdsv1yJ5xt0V3T7kpboqKtFWTsXp/bjkAzT
uq/keGYFj+8LklkwGrlOdBydlMQgso59PlhFrlLaM6m7kVMeB9tMwpVwo+Jm+1HyIBc8BbI3w5y2
JGPId7Xq/U3czjG4EwvmyTYsWJFaBTPCA8tkISVT3HXWVABgsQoibzl6viTae6DBPp1z46EqSXpE
bFf+WJog3LXL4myYkpJDPVjLHlISX4JflD/zAsLOH/zsalaDu0+rPtsOwigvtvTVJ0xVdXTG0jhg
/0FHZoQKc287vQEnDO9VTAhdFeJl7LGdPAACqqew7YuzmqW9npA/risfnGLgtmd9cTvzUuHO3jLF
L0/zRJZhwxl3Nes8feJAs4lutOZrmNKY01ilsZoclyx55fK6ZtXdG760HnIOyqNjKOf3GHTDyU1s
qMU6Sg4YkAySTxTYHtHtNzxV9BsVS7utpp5cED+fP53Bt69eXU/H2GyqtyIG0xwJrMlWVSFHfolJ
mpUdxfExq9Arrts2m24TDNO2lao9DlU5v9fDSC1glHcnM2hDJDOVjagupg+wyeliqeiAKuDkHzxe
xmM1Wuqrq0eGmYaRekXekM5s6Pw8wPpVQoJGQcRkIUX3VYZ1rPa8RML92onMI8qV6gNyX9TyarY5
XDGr0RfNk1q3VF2n1tB9hr0PcUZbNeGRYiDZEULbc8wNWBaBTUk9J+fA6KGsjHxsEAJ7pvHUIE1h
xB3m5yya8js7tuufnMr1RYzt8IXUp/yw+368o/2Vjpyokuqj6qCNmZdnY2KFr6t73NPdC1mexElH
ZdTE2yFqNJtF6pu3Kqh/fkjMcby4fdm1mxr3U6fjKYCQChFYoLgTBUSrJJznkoe6CnYUMI3boBKk
DtjmJJ585VnjNqp7eVSLir7DH3eEPwE/SXZ1Sh8Bt1nY3LE9curT8S6GvrThbozpzYXSrJkRc8h2
cAVoIzbrwTyTjgULFvbusBpNJ3fXBi2dl6rJw4gYsHR6CKGU4Hw4UF5JiFyeg7SpdLOy6T5FUQ5D
OuW9JIApmWnFtlNg3zxvgU+MJZ3addLMDa4O8JUaXkoZ9Cf14fA0knFwbMrQuFVmvCBHDk1BqHjZ
f+LYaOxD6pc9Zww5SCvl+P2vYEKyAXuaR/NaZD4gSRiH9dpILPfBhg3KV9AGQbbmRsZjl+bSgTMz
65QM9tE5F2AtUHIBppqjxdRa8/uC9uIrEUDBjlOzoig6ntbK5hTds3yP4w7Uufyyh1q8+l3LW6nN
MRwwk44BHCMW03UCtat9PVUEIF85qtu4iKfKrZDIHtc2WOGNVjS+8y2c6Fe32BrATEmEgCpGndCo
MEYOa3b+o6vzR3jvIdGihelbqSra934EroYnBisTf/gfwtsIjvCYMwi+SuVzHVB4t427FPeSRf5J
Y5jWekwJCOx0OkoQKWSFDLgJk3nrDfsKg+VrkA/xNtLhKiau/2cS3OPjWE1oAkF2qZ8dnZvhEswi
l0DhT4v4MHn+iW9fmhG40mxAthA0NLAhl/xb5WCm7XzKtfSB9rqZCcgMlz10sjiEWiThZ6r7EcdO
pVXExyZDl00NaZDXx3Ko5M3WKgs0S/jxyQn270CC3Y9a+dMDUGr1hO0povitSc2VSSAC8IG5FABQ
xIhBGqpRYMID2UXkZ4jxFi2TKjaMf+a7P7btfkQe8DrS33kg3sx+zbR6JPsWkjgV3e68zVP8MCAI
/qJ3QfIzqE84f7wrK2V8pUoOY4JWqDiDO7OfaN0KJgokLCwdSGz4/N17gFT1kBJOspkzEVp87Ml0
nizh7gQ41ynX6hjnWygzz5OHa22eva36VtLkgXNBo8FTZSqB8bKAgYhPRNBKF/GeludgRwp+Zjma
HTt3l2ZFB097H4q+fO2xWulX3Y3YAjIt+wkzLQEyfUWoQTPGbbztSab5085hBPVP7TgBF6iIygTN
zqCVRQqFxWuu1Ubl0re3uRL9hSjz6W4YSMepMCzQ7KC1SqNWLdX45io8/WiZBJe3j4hdS5xGEUCi
Td/SJz+Feu48d1toTRQBlYSBlDW5yCbsxxxn+c9Bq6imyUdQlYJIvlMTM+18rbfytfKqH+22gq1q
cyQyLcL0laV1WuTGsG3mtRx/5lrHNfeW8Y77pHisqm5ydnbXyYNBetvFr2pkYFoQ1mhpWKVFYo2W
i8myNX64RVZ8Vt9qsjbpcLLlWmTGlQj/DqrmiKf+W4dmKJ9UR8uqSiBTkSYMjvairnj3yD4URtXf
idZUv3oCHI/JUDsviUEphpMtjbVOY895TGSQ9ihAVXArIk8+Y/KGzBPEbb5UKHzHjRwyOjGNlJjM
lXbe3Qdl1f3mjoV2KrBj4q+gkooRBnZSUSBPXt3Kwtkl6JqxJt2AN1mrss6Tq8jIYea2wVWW1VP/
yOvIHq3YAnlg5vJonxA4siF7bKCIMEWvbMHK0z5PwNK93YriMaAb59wVUKoYdwz1NgKrLUi3bMBQ
RcHwifIcrH6ZZDz7azz4vxV68P8p3c6296833P34OaWf3e//ZsPl5/7BtxNzQg48yyORqvjD/rHh
0v/KgorI3YOg0X6yf95wbREgq9QsPLYb+Pu/bbjmXzyXMjQWXJ/zkr4Gcuf+jQX3+5+C41riujr+
+t//C+MYAjif1DJCDnRWr/n/RBlMIOpBXxR0typSDsu2L4dNCKdKEY7RmM29A5mUr3SdMwSEQ8GM
lN5dbICTr1Ky1O9EHYZcYEVBwFFbYOBecZAMj0yF4Ts+lWprFLQf8TQWa2wt7nb2sfnXtbXcdRre
ppbTWQ+kfersZ/4A9F3OL8JNORzdOmnPzZiWrxx3xi4sm2oXaDxdaGSdipDpPm8r90Bqi7ttuggL
f5dPO0VZ54fEi31ihHNWLgHY+yAHvW/iGmeyRvQ9je3XGuVPNN7PFxcXlOYASLwWKwyZwXYK+99R
EParRIz9xaLW86IVnE8NuNobEY/Ralii/FhrqoH9VEYriWZm2OWajLCKiG1n1BQFKUziWSYi4PKs
2lQv6rAZYZEtL+AecBwmTWPI6g1TbutvFqRLLcfYLrHOwzFKVLRcJiRDJF2CXS8Rbv5mxxEqc3a2
lTKYd6lJFZs+rKqDuShqm1oHq9CSHHmT/UOpqRukc8YmhACin6REEqnFct2C/T+bpHXubQigml35
J5EWw2ug6aHYnpL9xCTOpaLpIxU3kgFDk0oM7ckOb/MM12Grr2WcrEdXE1K9pqbqoaPhVkUzcUCm
sQMKLvYQeFCM37SWJrh4wPFjoyY/TIJKIlvzYJVmxPwiABN2Ycl8zZc1yjTXPiPIKewlRIUwafIl
b53e8EjtO024CayDYJOQcITvJodRmuY7VjRAY3S+exUPFOeoejr4gAs/pqxd0Ghaya0TlIi7kuZ3
hI7tPvPn5dB7OLWlY9EUK5pgL0gVWBFqq3aNtUyrCijzaOb8VUjB6LDka81rm8p1ZZL71FmzOnia
kuwKGe252NwNi5ex1nGVaDdg1JpM0R4s42LrjwNv7Th3G0vTnr7VR0wAUKHzUllrl/zKOu8I05lo
37JqfJffzaT+FK/5oGn8LWfjA96IOz33mJ0hX1ng2qNrj/4WiX98R3xzdPP5noEE1cUGRTXveSuZ
ZDFbrppvfpeUDDSAaFo2veZ/kb5JnBuJD3ytgnonp6Xe2WSzbecY+YESk4UNZLbXaOC4qrhapl0P
I3HvO1N6cgxv3jVMzE9LUs0b3WaF9QBis/XjZOOPUUQciNt+qbpR5wSuhnm3qg9BmpG+k7f+fT+5
Nsljnnsks42EhqTVNsXehkQM8/hAhdnwy2sw3aGczA+jYWW7shr7VZynyWVpDbI/MJ0dl9JtoEgC
yedIvldil/KMDGrZWrJoHogAjrdNW7sHgAGSM7LO28+2RwdfMpQhY2Y0EdBBcDkOG0SsFtvlb+gD
1I9mN8gtuqj4R1nOy/MUi+IZsWxx6+ywPcVJlJBW1qsCZITPIIiAwuxsoG/DXty3GJf4RTWCWlv+
mYeBOmuNltU/IqPwNyWbG9K7AKO4l1i7bsqbH3Ov6lsvsPRxZqNshLUZf/oUbQ9keWfjOQ/N7p3G
wegUQT3/NJwBNSFv67Y0x/nNyexuXzeI6VeuSRXlAJ6/bjikn42K8F27wtKRzgQZrmrJoOjP1OKi
srZarDYOo2DapH5ymIeyPw+TG/9KKkFLBDhAdYzYtO7BJZpNFZjTSTbBQrDhnB3rNFOflHr7z9S6
cgY2Nse5pcjEBuAyXm0vF9dp6TAgCwPUvs0L4z5Cnv1b4YNB5aRwAuNHCbp11Ye68KrJT/BgFbxn
6r94WgMeJcFLk3IHQFsO+T7HA0G9fRo9qCV3T1FrQrLEM2+HVFN/l9Lv8dFSWrlSVKC8O45ZIagc
kESGJiR2vIiLUzTmnsGaU3b0OhqzZjwEaxrPxYG0LRPxrFsyXi19x1TmxpnDceAnw69gNo018SYE
Fbfkzl5yLbAaUVT+apAJX4RMEowCNsqfTtcpN77rHBQpOdQGV1lx7ulNPhn5REwOmSQzPPzCfVtX
1S2ziBiT/KVrs6DGBFOEdaPkhFW9V5I6O2GrmGG2KEiAndhiuyrgr4Ymi5/IZcpOvrQVxLZL4K7j
CPsxxtK7do2Sjc7w6xZNZenlN6BVsu+R7tTgGD1Kj8pMXzsEf1sbNvgaJ4EctnXrjtulM0jLNouI
TjBULtG2N3siEanBAmOGZl8eHFL1Hh0HdZFP9DJiVSGDV3h470oynI3S3mz2aDIkyFSPlzWUhOdF
idd8SAoPX53ESF3ieozw1o94Zk3WL8r14tYCnu3xbLFTwfNMIjiGxMWd+zIShwXk5yBs4d4ikWNH
o4FE3EJuzGOig2rMIY+vUdxPdwkij3E1zTwlvPaaRM6GKAZ+8cz+DzH6p5q8cA+dU5yKoih/oUjC
Q0wf5UdRRsv7bMCat3xBjkwcxUsXVvYjvGJLdgdhMJ3I2stI3fkl5Ba+UTuanc0Js4Y/tOlmXrjd
2SD05WmbkXPw3Mk/lukoDlaggxVDZZWcP226N6g/OQ48Lr9oxnY/XdOAq8UbLbn3WDsKkTVbgpSI
B0Rl5hVIDY3sCKHMfDCWwdXonOow56l1V7mS/kmCiy4gUtVz5XTtna5ZoS+tkMljj8MZN1sm77IE
q/W2r8v6Y5Z4s6QfpfscVQbikAK1+2oxgvmJShCxsjOhHtDkutfGJ6eCOFMFdM+y8kYAkdxwyYEK
NXkNyO8Mzq6qSSP1qZVflQpNH/H56H7DGg458YLl2huDc5/EZIEsGA8JaIGMJLG0xqTeAM1eye+Z
Xh26fzZz0mRfabmIc2V2Pbv14r3xDUDL0Mgc7dtsXRc6J4lVGYezX+XdNWTc3VLTVP5WbhT97JbC
2VkKjhaEnkBItILpppVJdmPPj9+KFkPy2Atnl9G7sHYBodQ6cvt42czUCu2UFdpP2CMaxHpLTIBc
5WK1pPHypbOb+rPALvjlJxEB/xDf5xkps/2y2Hh5gm1TIwCIvhFMT4OZxTeuWUkhCVAnapHwUyN7
i8J8nrYpzEi67cmoSdcUyCQ/+A3qy2PffJytmG6ARmJVQuK68TXEmmqwVX3DrhqArTQUi1Zvfm80
PJuxGHO5AdkyRAMpWBrIVd+Ybqnh3SaSzqfFBbBybcIPOjLoH2qrTrcK2nSjFmlfM40Sk2yfbIRG
jg1GPPIiRudjogxXF1GgedBYs9Co86DxZ8Xg+TvTmHSXBtaD0jg11u38ftTYdaEvgVmJGRoCZBsf
qrM1oyl9ssw4vEqNgNeTTIkXkssu0/i4O0RA5Vkem/uu5rKYcLquA42phxpdHzTOzngtj/U39t5G
wztmm+mt08g8wshoRey5cbA1bm9pBH9O2uqSaVTfVKa79zTSz61X7QHV4s9F8wCVZgR6i2rHNsGf
MWu+YNTMATC+QANsePf2lJUnVzMMvuYagFegHcRfKYhvOgKCGWoCCgSaotCMRR1VSYwoV/MY35QG
IAN00Rj21dXSnAc40PwckHfjI1eAE3HxvrMwaKakByl8Gr7pE3w0ETnJmlQxKUe9K+0mPAnkp+T/
1vVD0cjgQB9wsalAr19yzdJwTMzXbo7l3iXG5p1wpfBtkJxMDo/OOtFcD3KD8cnjegVGNPvxq9Ks
kEtSFsHijv1GdUX1S+ZVczKHqvkNMhf+wDLjkdVBk+/BHlW8tzQBVUPEn71ZevdY/JzP/ymsuGaQ
/zVmcBjTgrfiN7b5/5JNww/9nRIXfxGW5cH4UHlh29954X83d3p/IXEQKyDRTaCbUOb/CRhoR6ig
NgY4gHREB2/8fyIG1l9c1+X/C2iAa51p5N/KPqSA/b/o8wEMLMcDM3BsX5iafdf//Z8YcWMqirRg
6NwQv0y+d90VBwvM9Zxg5lxbsfenG+xbgh9kPSX2h0zFxwBffWmrtHvIZJ28Q5pl7zI3xD3fO8yh
cyDPrctj1aH+PCwIkFj7PIpB8D33d05f/Ql6m2wy2rHWSF/L14ajauMHqXn1kZtuW1iMxyJdQFjn
PKi3Y2nGl0hZ4rVWY/U1BNLdVWPurhDAJaz3IPIbI0BaBKWKknMNgJYSWphMP2XRk4mV2+qF4JP2
ohQAoQP6eCGjgFnLyoxgN4RDtBmtxhFbP4Mdo6oN0kHU7rhmPpNH3sBx35A59zy0xIqAvJsct0UT
r5uQYqxoyREIe7b9Ybap2JaUCec6SyXfUvra7+wqtY7L4icQxIVx1/V0m/ZxZH2adMtvB980cNkY
E5LCrKV0rWGiBs1HgqrXWMs9iqhBEMateqhtxLxVMNzyQZHWNv8knfaJm7W4IekyjpPrJL9b/B6H
kEo4uoOn8dwALfIWGjOuAWGsA9WKe6fqq1vkN9d+cdTF8MgEY9Ch6M8o0Wp2Y7wjQCV8NcmA3M9R
F9UrIgRlvfZhXr9k1/vvqh2Sa+8ZQbVLq6amjZXWC0iu0Xoz4TcR5pTe42hI8z50q/Z+HDsugaE2
+l0fukQkJiPv2hANOyP1uUGcquMTrsW6DhF8EsDXY36Dh3Jbp7/aol/2eKyCddXQ30S+Vn0w6jzY
kv+bHUqwauYhN71aaWru6Bmi35w02PfJY13skvG9TInKVll9JfdYrYU/i+vSFJ9GPE3rnFXpsQfU
2BAk1M2rNOF3jZFtbe2wNndYi8lvJL1lXdRddwygYFZW4UUbikHaA8Uz9NZF+C3ua05sAHwCfpss
67P12Iqeozd0rrO0xDbouuZxWgL78v0edFbV3c3YXI9MvfK01LzyuQ2bDXnP5BksgXcnLWYuFIR3
aU7tu5zmrzxqXwExHPCd8EgsVL/yra4h8r3L2Mh6c9uUTD/hFL0p4U3rQXT1yZSuWCUOnw/m437d
RiYddjp6bDIM7ydl0vhyZVasBzt542bDRYaJ5UjhExmOWXQWwSB4b7txb9hIyeWSgdhYw41553Ni
WOuT/ILg3fwyXRZ3d9adPoK32vwFV5/view+9DHtcWHTPtctPhczctXZskDI3NJEzR2ku5gUpEz0
j+DcHyqB9W15G9d1Ot6WmvoRn2SOdWT01T6sJ29DCoG/Fjprvu+jc79MzjbqYGibobyraCvG+On+
YctnhoeQpyBcf6tRzbbhHQ/avDH4HLx8ICkfBmQ98j1fkQxGst1oyx3c4Q0X4DnOe1ybBFEHgpNI
eAuavjz6mgLvMKsaPS7+ng3IcLoplfM+D9VybioU+IiNTtlgn5K0+qgTcc5am7moeA/MHE+H3zUo
TUWBfq+M1hCVTHocMhYojD+W+xDZYZEToF22HACt3b1WAxWfc52pbQUox2fsMKnnIvz0veDshPOy
WvAzbIKGLXaakvu4rbb+kDxExMLT85Tt58q+b4rmN1P4aZmyAy16zbqT8k7KgPRu4+i5aX4hTl6Q
XsK7VA7Co12KNrCROMX1ZENOMyqUq7GybUahuKDpi/4yWWBHLyqJxt822xMiS8He6Q3Pkx/jObTy
QzkahP1QOpUVsz7NrAejdUjsAjrfKMf86uyC0HCAzk0dznQyjRSKxZwjoDT0eKPSLc8zCdaCdMey
dn8UMVmblutyMDszjHTk1Gtcsd0B45sAxnO8Az1cOII6Vcf6mjla+UikONv2DrTlORGWjREHkdWC
GHRDHfcD5kQ0uFMYbcmOqnEUBYCWNnFldYB9gkyWVT9mn7YQPxinLHBqCWSU+kSZ9cklp69Q0OyV
RuW1iHyFyX/GeeS39SYpmLAxFp1G+C6GXRVBatLHRilBDhccv/gcgmQY+Ds3mR6IJ7kvDcNceVoC
JUf/M/N8G0a66J4Yyx/yPv7C8/HAU3nsFoFVxnoy/eUuM/3fdJj+6qBhqZa4uopsp9ok8NYmT77L
rI0R2fduWL5CkT4neeOi7WkuCLTvVB2eWyaRje/mL23fPs5lcXGiOQAraYtNMtjncYmutmy6M/ma
xp6OzdvgKahDWtHD6NQ4cO4ujnNhe0B0nbk2ez5ketyhqTBRW/6SEBSiBnIkC3ud8OpXI4oA27Uv
bliQd4PUnja7W0A024ovuha9Me9mduutvTny127SGfu5wWzRR1jgraDbIdmWK1NSC9mMUb03Ca0N
HJBGTC9HoiiDh9Ed7puQid0lxZFkKtTHWVluaYpm4+PZW5GnSaRPFOC06fkS0gZQ6rmeoK4ZQ18s
nccKc8HWmXmCBpuE5bh7niN09wvxtiunT/1tTBl6DSq1tiuQv7Y3n8YJedsc0IlVZqm79T1tzeDZ
L/asdxWnO1ELYzTQbG7oOAb+PNbYP0nYzBsUZc4ul+mjbxYIXnIS+/A72kQuRyWbEmrnqkrILqD5
ZCtN69aSNgO1uHSbOTATZAHEx9DVmG4CrGbWVN+HZtOulkiB4MB4d8LRzYgknuPhFhueD7kOM0iA
JAsRzsWMRASrkoQajfU+pLfqEFeg0dyXVACkGU4rNXD6WuqGytPepr77x7ZwuU2Euu5zGxdRGacB
qvXMPIwu1QmVO35R7PuDDxTyMXKB/czmV7AEKQySrFf24CarORq/XEIgCD7F5R8lU3LwG0mFPXv5
1M5fplTONo/j9ipmOaErQmIUSOATT7k2Jk/fBSsTjEYg9OuyVOVpCix0PEPZck1zZCDESX4RDNFu
6fKK7yfcms52ibI6BCkDmB+jjD10abNDlbj+Lgrw1ucBg1pSAULXXRqdSUwsdi3wxZpOsWhnUyKy
aQQWnIxGRDbXRa26uVZQMiP3UVYFZ8PMWa2HljRqugxOGSW2zwSRonVIOlRj7SCPXunU+3FWfwAN
za1r85FEQxPvWxymhywk+tszI6SiovtEMWk995BLq4oSmK1Ilru6T9t1L/uazAao3VEYj/6ccH8F
I4rPDA0EUW4bZqXolCSGsSU7JDxZ5Tiup6kzdxYZAySMCpTQ2HSEzGg1nwsyZY2ajd7rF+bKDF8W
WyK9JJjIvBiFppzSaL2wjz8uRrv8iJscfr9h0HVjLoKxlkcgcgkUXX/l8NC3kkEQL7z85Ri0KfrI
5ugJArycCvAs0UTBth0xNEa4lPfyu5xGqCnf/l/2ziQ5cuba0lupDeA3AA5HY1aj6BAtyWCb5ASW
7ND3jQPYU41qCW9j9YGSSs2TnpmGZa+GSjH/JIMR8OvnnvOdeJIDedeKTzY1Giv8kUiz0HsTf8Lb
cC4UPZCtmtghljdVYGc3WTuos0Vw6IkVLCbZIfiqteauxyfCTYK6Pa9zDjH8gNVQ1XQc9SZOIj1B
317qgoIK7WrSzGYtshmUXpqEFxye6fKKZIemyuS1IWPLmDPAXRrEzRgNh3qOoFyLZX8D+KZNjXcQ
u84tp0cKxM6x1i7xsFPPewNL6UA9RtL+rkT9m0xjtJ4Lr3iIKrvbTppTbKsAC782olx4jG8Ps6ru
Ta01gxXPAXNr5kNKtwv1QKYd0LCAgLVikWDggjP0tQG1xq/B5K0rYtEXIGNc4L0cGSrkYOW5SmjY
i8NjukzkA7P0kXhniVsRQZKs/z1YqasXshcZx6L/hf+AMBV8dTIsksE1moJNE5Yn4pn1mhhVf5cZ
qkFWtNItqmFwzis9+ZYDJSGOTS21jUnmscZBtkd/LHzih+Gd2aVypwXCwi1FJBgH4y9lVbhWrIAy
JS3Nn7W6jNbOTJ+fppmQVoRldw8epTPrwkYqNkebjqiUEomNMkb3q+okj8mh6BjW5mznATw9sXcn
x1wayXu6FDo1dj7vE20aLsPkkJEs6b4ak3Zb2bpzY7EQcNM03MiIECfroeY82PE1jaIXFpPZa8L4
+pw13p+6+v4b2CNMvAz/WurAHhEX//G//pnawd/7iz3C/sOVAAno0TEXlN/CHPiL2kEHGsMWYodw
LedP4MD/y9XVLYeiWL4eDJYrF3Dgn/0RcAPp0cU5gZPQlMa/6///aQ78G3sErCxUDkkMADcGJn3n
H5rthw4PhtQx+sV6N4AadaZSRlsTEzVM9gC7TUa66ESvCTwRoTzGbs+Lb+LELt64cbgj8RVdW97i
qCJr1fTaVevCcJd0QrwNMg2zjYqaueMCMmA7QqqdL0leMe1aWuLCAmib6SaJk3LZBTu6yYGLlQAH
mb6xsJE/Ox2k0A5UCgEXl/RML2ZusAM3lhclteCGqtjgicqX9C21mIy3fTqZ1GOXGoUGlDyV2a5v
vPTXCHT/pTCIqmupCJ69JZALCABjd9LU4mPO52YnhighQcvD9SJF5j0Mtct3HAxOtqkDN7l3zYg8
uuEmhPz4ofMX8oATG1zLu5uaDP6Au6TdSf7udHYIC46P1VZMJxIF5PiPYtYHydpM8/gBy0rx3vA6
bicPqEDkWTXRzTk/aeOCS8078tPy0AZWHR0JjWO6UgiiLKVwvRbbOLeML+HUbHxB393wXLQZoVK9
abbYB+kGJrqkD1uvMObj2KfmPc0Lxpsg2HiT2RnBbUPGzyBR6MfNCGm/zqMXXk1RzF8yHCk1EPlU
GtBZh4GwgwwtOnM9PdTWNrbZZD04ctp3Y1ylvh50sYuRvecpFir4DtxpB0zndZPFm7RwaJNPgObd
p97cv+lZxXU9JgWQsNY44BSoz53GNWE3j+Q4bDNgkit7mR2ptS4xvCfR5zj13R4znLOlmsxmeTyG
TyARbL6hztkqjaXJyomE/TtM9PYWO19CxLzgbM57BwJj6VbAYKxEzQARYmgwY0EYkrRL/z21SUOQ
REXZywh8+EQir6W6E5PGbuCXtyu4iLDhpdfAV0aqDobhpV84MO3dGJvOwxBGA0HeisFBtwP32pvc
xzy2bv4clOMrQrsCZxDo81YUnbWbEkzxK8xFvLgjNkagNDzYMUykd0Ec1jd0rGjgDZYvirq+f2tn
zfJjPrl+YPbyew6beRfRYbLy3CF/tNyI22TR4URZtZPVnBTZsnw1xAiJJgHivd7qmLHdAaGgabr5
4DZeBJm44odH+3YpumhgEhARDXw5456mPFzUZ7vF8QJSID2FQc/oTkhE9/XCTnGXiGD5S4H2VMdN
/F6KwWJdJrUy8dvQtU8DUMZndxgjn9W++ZKJPLsf7DGDZUJX2CpiT7qGL8rIWAOm2NhRFj/WTZ61
a60M7XjNtctYONzVUoqn2c9pVatg7024Ucaytw8e7E0y4dJ8w9SX7ZK5aNrNZOnB2Ztnk8+kPhpP
ltYFq1irQGrqoTxomcuEbrraCz2GWKeASQw7oJf5lQTM8AbWfHppwLScqyhxmJSgK5Ur3tzRmo7t
6I1AErUOeHAGFmuVjpMIZOe3GWQF7JUGo0ijEu7cihoIK7U9citApIGLx1f6C2nK5U3DLFKC/XwH
Kpn5fSWCdwM9YTtbsvIxppgXJ3FQcxG70jVEEPU66oZpbpLaMo6Va7SnjKGPjpHINe8nfAIX0vOQ
pKN+Tn4Fuhbaq9FrxpvIjbRPPjfhFiaIceDZQRhEtjI6kp7q9lDm+l921aevzjDBbLMsVuvm5C6P
ndbdYllOPq0xDaFzREb/BGGJx1LYyfno6Gr8HuNuXFL39oXdFYu7JJuJQDejYJnljXtBSfJZObp8
BTFXUD4wsGCZveQyVbnx1cFOO8SBC3EC08hBem7k95kOgNntbWNDb2RwCRxoLrngqusa1fCMlyji
sVOWya3bx7NfhTqG6DCwj+VoE0OyavmI1IUCUVawuY24M78DzZG/cBfMxnYY4xhsX9K6OYYXiZ3I
03RxlxPEtDiIdCG25Rg8B7ZxqbF6CZzKm1QzlZ+liWvWe9szKIJh1ZkwbS+wQpc1G656PCXgUK37
cvGZRA2MUWvxnlhEMWg9Xhwp2eJNwdccbIPFr4K7GavG4mEhEtD8QpbpkBoK8UyRR1lvo8XyQkMj
7hcnyzpfBG30q6JD7bUHObilJrrbZIt1pu9DioQWOw0IVGPxhqg7jV/fRiNMf4Oh334R2Mp9HqzB
vlzsOW0mqarTtIyIAuWk2xEsItOyiQyz+HpoMJ8eZ6+O3mb+W9tx4uQA0MPMGzbDl5vX+W9D4T1E
oEmwuA94jnYulNxDarl0G5Y28pxZhFsi486ZrUPs656CLlu75RGZlZtQnU2PSeJa+3kxLtnFVN7O
ocENsHWTnbkYnOzJ87ZFl0ffGXh5f1iMUMZcGj4qFe4oczFKtYYyj64xRXdR3g875WnFPlysVVoU
zifNxW5lL8arZrFgqd6b76OyL9b14tIaGWJ2di+8IywN49LmbugnOk4UxE+IP3mHMhtGOrqThs1n
jt3+nqUIhjCy/PigvAIWWTnoNSdIoqGUVBK+iLegRug9RfcwQvgjMxQPnzqkFloAD9SVHVsVHgOV
9rvc1sY3mnXYrkw/WBPDoZNxkjk89tic4xDAygJB0dwmeTOMvt+QVU587IBiU6jB2Wt5Nq0McE5+
NmHHiJCjn9sExko4oBVEFV5oEIjeOR1HawfEYFhrQ6j5DnJzufJIuV+strW3CPjU0vMB87EWhsdx
rGvEQerc1aTGAxtZ03d6EiCWtkBFKuqOaPCWxRqTvLfNNdu54wGWXIPQUZu6mZHoM0qG2izmp+c4
9xuFdGk4wrwCeCS2D83vZHdGeerYN7BYSvWNrgzl15R+7jqobDggmchMINArWAsNLjKWtHXT1jvl
cClrt2D5aFQ4JalTHip+6kvelu1OaHl8IppoHWzumTdhoIc09ZjFrTVgmGjJDO3DdBZ7dBqHPYnE
cp4ZUeSLfta/YOyXm0QyqQ4GwavRMrzD3NOgaQe43dYaTgcCRsG8wHPYx0iu88WyFos4u1Z1bdmf
dRN0zzkADujr5eyysYH/s4JrOeJUmselzwyH4GtbzOXLCLkx22RWEdIaP87ybBFUfMpsW/scKg2S
VdjFIWHGsGQNprHXU31QxXvCXYgCWTYVX/3Ul5xHeaAIW3lV9RTOhDFhydvNfYHcccdEytsx5kP5
bUWhe5hF6Ny3dTC8Kz0lGNoFrY/Q0u6GLCE/a7jZsPPKCC5f2wrCp+zEnhxHg0olYuPB071Z7htb
JMY2MV3S9MjqOgqUPlxbymGBouJy/s5gp+Am7ob6vrDG5HcZVaLHbkR2f9UNOo6p2J49g/lLod46
SdBS2tnO9+NkdiwPSAK9FWRonmjdTKYN/afiRGucRvJC6fXrzzXs37pwXmKirG353f3P5a99lBVH
bxh1P07yv/6v/zdd+yZ3tH99Ld3EbdfEXfk/1r+ruPud/ZNlPH//L8t48Qdrcx2x8E8d3H97PWVP
T25d4OjnKkrj91/d+1QUCptAtwvkA1HOdf66jBfA8F1upXwBBn6+yvh33Pu4/f9xGY/RWOASYB5b
LsuSm/XfLuNxduTaPKbDBqY7Azu9YoPlDDsbMWgjYc9jF26xzvJUFmS1EACNC7npYWUoAQ+117bu
YHXUQMx3Ey5irPvTqxV7J9mkb56nTkMnrp4FzwUyzD5NCblBRNg2TvCSeGjkelLf6g1B0qByn7uJ
6uLQg96pk9VsECVza5Ywm0gOOa4aWMjZJ9OOqy39VjO+fA4J1fb1hjZqcU7K/BoFOuJ7PZ1YioBU
8/JroyLuqU1a43MEik/KMXvSATccJhpd8E7WxjqrkwnIH4+kIs/bVdCK82zln0Dh5nVJ2vMSLcjz
flB37DbqzTTr46asaqxJ+sy50hwtHPII/TaHU1jf2TylKTlxm/3YI6LWSylOLjvaLaLoanTF84zf
ayVjnnBaXt7xaxm2Udzvcyu8snjmKjqLRzvHi6Ch1R6V7m1xCtmruODSx2ud+07hoEqb3XMxUogS
jc0xXbhb7Mf0TR8vlVEoEhifkxKHrmfROUwwNCF1vzMl36kOWm6VC6HWwPAe5o7wfYtF24w4xYLp
EqX9dcLkvqLvna2ixaBS6Y9mJeDE0t3NmbY2R8KLJkuEiTl15fRU0ipCuQQniazTuIDV1NCeUyM+
eVUwrdxMvKT5nJz6pv49m+TGa4P7RcbIsc5j97ULNQTTmOlyMhxK0gabJXGoa1z4kg/CkPYmHpsb
4jEFvChj2/fFnja44juD2wQ1Jh/82Jr6LXi3ZK1PxUNbps8mnXAnvP28pePwl8ryxneQPzbt5MUs
OwpujxCsDx4T670sjGgd1/D8IAyzN6iGG28wPuaQIh5yI2ujCwfig3QxwEplruHXl0j7ij33iIsZ
q4lLFW7paM6tTvXcQbeCkeMFN4M2x1tJrGxF3IwHc/pcefETIjAQwX5cC52+lQYK5AakIHWMCZv/
XKbE6Mv5PgYhBSnVyZ4kp8Oxb4S9gXl1iirzY8EcG1Bad3pkV9tGsWosqb+kq5h1ZmSx26FNaB0H
zQ2jllgTnWy3KujfBG7+FQKVCY1P3tIME62jMHjXkv6FThr2FUPzMVvpRz4vEMcguyjNeXGa/BsQ
+LClNW/0s9qEbevCxzTG+FRW6kkftN8Nm7acG9LKiYduOw+Zr0e6rzwDo3ZJW092zaEgr3NBfanL
FkqW/TvPo10O1yWju3CN5eVurpJ919S7KMTEApN8GNILXZrHORpOUx+da3SeqioepkSeKE7lfRzR
I6HDlu1N4Qd5/xZ45pcBLGKsp0fH5Z1paoi8GWjauCvOsNB4kVX7BUq5JdLZ+R438FXiTI9mYL50
rVnTyACNuMMcaxnJvWUKks15znqdJ1XpDO8iYm2exN7N2KWXFJRUlXQkXbqC92srSESH6Xtsuo+q
a78tCyBCkFHw4MRHqQ20UFOu7JTHcHYvANCvfZR5RFKYkEI3gWpVTGc3G6naiIxf8+zgGvCcc6wX
fP608j6t05PeuW9NbL9bWnDVRq/bhG5z7zTO6+QMH7XpXPMmvmMSPGJdIlFp8QgAtg7f7SboygeJ
DSTT53kPias6WvGiPHIHngb9WNDhVDcKz0sXfMx1c1mifvPkYQ+OWeyRHEZX8MumuKcr+aTjQabg
xyQ9AG6AdQGdo5hQEmpdqb0YJD76VKt2iwa5Mnfapq1ROgfwX84C5MyleKsmHlIa1ve4VkB5Zlzu
puudHDdx115MutfjRr/CYkp03c15QrfxZxoH5ppPuL0ek+qaGF68z8gRs7eKc3yrYJNIGcs1SszJ
MUu5ilPUFkPm16FgkZ5m7IPFdOdMs7Yx5/Z3bcfknuzgITC7g8GidT2EttqyuAVL6bQuuS77PgPU
dizw9jr1/NFl8yt5ricegoe6ZxmULuWOoDADGsWMlHBs1+2oduzQpZzGhydwkjEqgKEnfjZg+C1D
tRdLL2+Os2llSn2+jaJO7kpjfjILJBKTdxLmJ162tsGpRhYtvRkTUCFpO64Bdadrb8gQkKn42rL3
myBS5NfA0eNTmxj0OfV8J3bB2rIHXKBx8Kww+qU7Wr0xaKtIcd5M7MlFse5U9p013S0MfPLlg7TO
Yk7o13I+gSH4EU3nKGg1T+JgPqP/bKEX8tAomf1bPoyN9jIaxOQkeWqA4jvayPkQYgB4Ctl5vNWT
gRtARLe8Wiy7BS8LhqVXNZCgw7f4lmJeZirF213FEpsB0eFNpQU7DpPt/59T/870+V/DnOOP6Pfn
P9ue/A3M2fnDYpZkomR9LyQ4579uTwwKBqEnwe2ybUv/4Tz/eXsCWAkXKW1MusDzIgz7r9sT8w9n
+TM6lxzKQixB8PTfCJday7//D+FSabCOsSRYchhPP9uVv/GKRphFio6U1sbCD7NJOPGpsDMHXHXZ
XO9zhKvb7CcsZA89wyG500uxZIlq1FvYXLF+0UyD3abtZZd+mOJLw4fsEP5EktpWS/fZKPhKq7F5
OxYxKigmSLhl7R1kjtt5NjYKZUdse0n6ggbu0LprfmQvgExIYFwckcNm9opc44SWzWt9EcxKU9oH
ah1Q0TSSnI8oaTX7/9w5MlQ0NFl02tlKpffLFfhwsDpq7sVNp3ofRHX4wnaD9YBuVX7duvOxKttp
lyfhhJYQpC8NbTy7sU6NOwuL6dEONWyYXWoeUMXYLC82B7Ns9DvC8/qezleytm3Ocdkv8iIdJjbm
DWf8bS/io5XF+lH+KJLZIk6WoYNOKa1ifhSAcY+1afbnIOooPsGq2r20XQWGN6Avux/N6WQtIqie
CKi8sdZ2ew+Nf1oR44KTOARjuY5jWCa0yyrfqWLxiKuHaGdQiPv8R3nNQq09xYsci+kEZbZdRNpu
iJgSfpRbGktMuDVh7euLsBvUZfDOcZ75Vh2271UWFSlO2EUNppo6vjYEJM7yRyxeZGORNc0+XaRk
isFRlUHx6V9uhRVqU6B4bcIfBRpEVvTGqigieLoo1DC4DCiSGo8usUjYpRepN3uRtaVCJoOwgdYd
2UH2WxTl/F4GI6GBRR7HSsOFfVxE8/hHP9e6fD7goVWP7iKvq0Vol+zN1xgexnhDhAs3Cc3g3qWm
vDZfA7JKTx5cwvMA0/eTyRD9Xi5SfrWI+t2Pvt9VFsjbGtcfoTMWAFXopPeeE4qXmT4+P8nD7Bmx
0T5pVcGZXfxsEmopCQ0t64Whi01yJHAB9tjgiK95yyaiGrwUXQmLQrEsKgweAxz7AeJfCdL4opSZ
f4MXzWhxT0jfBboYzvACdBwECSOlonUGxpZTfKuArfvKNaKW6qxlfcLwzirFXbYq8C7ABSybltwQ
3BSHwS38IeGKVNRVi21u4h+F59Z/4iqob4Y5z+76nz0ONw2MTsmQ9SvRhMYVpzAOMWMcL5aTy5bF
qo3YntskxemcfBoajHa8aThHZ2tGycmEtHc8ztIv8DXM58vSaTHCaasGy8JuTAHPND/7qWlZVSVO
z9LqZ381jFb/3XEMbtJlvaUkNYOMv8vWy3QHXIzBzzZsEins8GVFZjM2/CZrNyIiLiu0bFmmDXYa
PlXLgs1eVm08r7r9xJLzs6F/i6AxKzn2B2znpmVRp4VtJFkQeP3JphXrCAO8OS1q4MbN4uEtXhZ+
yZ92fz97wFYL8o9B763q2qe6aRwcPQIzBZKl3iu819o6oUAWlJYtxT2qU3BDpAqfpa2PgDMcoU03
cQWAmF+41PZp13UfrUPx2MocbKaDMsytV0Ce2HhzndB6sNgUSRdBoMRxDaKLARQqOehlT2y9GbFj
m1HpYgOs5PKxghbfKRzKRo0NtTEpO2ce+PIKWRwSiiHOshmGfsuSDHUM8k35wuuuPcNoyiFQFOHw
atDWaOxm3WzdfacWi0o9Sv0pG/WCHo3Usb9r3QRE0XD7+cJ0zjXeaUvjxelgXe1A4umRH+leH6wd
U/Gdg3khEhS7zLTsfYrPqS2Hp6qAo7mxZRodwGTyf+klBhuWXVrxqYmgiDe20u2rsiczWPdEG45t
q7D1TIod87riFngJsEd9lHOJ0xe0GHAjHbawgqBU9s6m0LDzw+eAKH07JEPa4aujja/xaoO0vNIo
HojCr9hVpFMp/qwCbuSRcH1p5+N9ZNWk6kynGL9wWRkts1/Pe9eC8XdD8zxxqyAf0zuNye8taONx
puygSQ78/muXnI+LKVFXcf+deT2LodLgCcqJVbWf7Sjcx7S2Zhx8Kg/f+tHTQDUVdJqABo/ewhzb
NcN0c4dVLvfpTjdq4mdudEFVxslQF0LpCPlG/RCUC/4EH7ITbWlwmmwCvn3XMUHa1cFeHPkrqbfq
LG0wqBRyS/O1TIowOLgMuPampauRAkBZgs2sWksO64D7xBenlfulpsWwpJdRPJ6KaapwtqKmnSrB
/p8XKxv71aS74jHqvfyhiS3zCyfWZB71yYu4w0ecK87k4jlqNb14Ip5n2qucz+GDOc8hKHh7mvRj
TaqbWiN3AhnnJK08Vy1rarYBon9bFuBvS4vNayWrZgvwqLpMYlkEzFUZeOtxCdGh0cIMewmEF+hb
A9p2cgzpta23aaEnoAFC7dYO2TqtTbcHQz1ZeHSXeAoXpE5vouoI5r2UVM9kXhN7my6sXCDXRuK9
WvgSHzt7CRgbbml3GEiS7Iog7OyTVHlPnsH30+p27OMeZKVKH5XYO3H+pSS+bu8n19xZRFvt1ND5
uVgCuNCffcLkqZ95Rf/bMFx4YmY8r6tq0PbcCcxrgST4ZiQF0nLnEquGpCYSYOxN4luW5n7WhBn+
2zTyCUTVf60Xr6Py4z/+939WiZe/9ReV2P6DrQA5R4q+F633LwYmh05wwRgnuag5iL7M2X8ewd0/
bEdCduGPBQqypzM4/9nAhOKMTZbYlWT+tg3pmP/OCM4p8HcjuGsJxm+aTflQ6YBmyID9vULcKF2i
DtUm1Vqt5QHq15yPsbTkh5nz7sI5k6GnhKWQ1zwByiDGuD45cejdhZ5IkbTiEYWzLUXxizQPDG4H
80ugatdbm6RXGATyLnwqETqw6pFxRkZstXo9cwri6k3x6tmsw1n2JHHzFhQ0NWAj6cODCxpOEmJp
ohcrjev3ydNK39SG6JuFNAmrVDJGrIQqg1MKMgUyqJMGWx2USLVSiTUsXnQBfTCN22br5HUJZKvS
CDp2oTvzvB1NcPc5jpVsi1I2VmSBsukmIlH9WaSAm8CasGKWufS+OqbhjmaEst0stvDNPJrOFqSB
AFbWq9mfo6zElZ8qDoSSFdqBR1xn7UWJfWJFl1p2aTUA77ljt0dHG/guu07dK8Puo4upS8mimVDu
bwZIYq9CVycLy8SdrunyUVpKIAoJL2E5raFTUWVqXp3U0hFT9fyMfcM8APCA+kx07SJak+uTyndK
pDknJwJ0XXv9S97hQPJbHDe+5UUUskRgw7m7xBUjWplsW+rhqLMWxJJoCfFt4fIgrOxhZw6y9YOp
G7AvSRMrTKeqZ1wXc7Yui9S9KYwW32nTNyFQAgNH1DTk9EA1LvP3TGKO+IED76sW8ZE3WvKNO6A7
43fNth44s6+Mj8y7Oeu5X5lF8EBeGs8TaWyPky4L/ZF37NlawlOtl9fHNKybBybm/GjqbbLXO9U8
auTJN41FKqIBWXEcif/42dyZGKL4OvidyMwpvFq0yzA+cFPOdjO8/mwtm1J8a9It38tlzZhTGpCs
JtuobzTluE/03sWPEbCBQ9SjCLX0WJ4zEnhrnfvakYSF/PJox8BM5nR3OR/gTdU4bEu4tz72tF0T
1OvCVyPqiwuCsdgEcNmg8FGCTO6ljfxYC5y9VZT1bYIPK1rLUnh7WnGVTx1B8W7FOLbQK6W6M4K2
/UoDWd0JFbPV7YV2j3JLz602VVhmWH+vRtJXNznB31OZhXxcAyf1wNc29nFq3Pa+5Y2IHVDV2AXn
cU2+IMZnK5Tx1NWK7A8DlP27q0G1tyEd3RWbZvbDo3aU8Jq2A60zxWqET/UxkMp+dmn/C/wgnrVz
RWJuq0H+w7s89PQaYOjYWKOVnkTm0skCBybXVwlb5hd8KDl9SMqtdxOhTLk3Z1S5WbApoNgb1Hlc
NbF6ISGIzKZKOztBFZ5bSpcyhe6Nov6SxXhY9nbp6iHugSYE96Jk+j0aevs+A5V9bWDX3fVdkjKe
imaxAQPFvMk0RDaZAcdBFjarz9gzpl9BVmMiZrvuJdQ5zEnIGyLhcmNJ6DHYiSwVolXOKZm7oK5g
nNt8LEtFmygSX0wNSVpuczWkv6H8g8Jwe+8pbJr4ZhSTfuACM7i7sWjVUVJc9x525nQx544Zyk25
om1qqNHXOnTNy6hUy41JN49OgeW6Q368TKleL+br9MMaBmMNHWj65YaaPMi5ttlqlbV1tkXhPIA/
mO+tcpovIqNGNGptekQtRtUHLe6Ngw50kze23nzEMsf1rGpul6yVg2EX9PpI7DYP93XndicPD+Fr
05AYaPFDfwKRKjEn5AFJU6UxEYf2KeADBJ+o7y+uqp19OxJ8H/p4+tZcp72H09IO7DiK6FySPuOe
zfz2wA8SrQ1dVmdQSrhKZSZuPQxru6TQ1WdfYK/ZuI0KX2bbna9l6/U7purpiXlxjkBaFtWTJ8Vw
bHLahyc6bU+R4dHDZVf1c9dpDcVbFEMIXrxxqgknjrH7lAdUxUsrJwRq8RiIZQXawXsJjSzyZ6st
zp5M5ZveLK3T8Hd3tZnLr7KOi7MregNtFck6C83oQVQqhoY4D0dpasCXkny8JbuUyxWXdPPLDmZr
k6Fp35ISlUz0jV3KdVl7xTEgy4/71QxvjF4rT63XcqFsdVOLN/ivsq+8iUBYKi3Q370GS4Vbe+zG
hojNDmSPOzuLpF8AQdyKPA+fQ/iAZ3qaI4rDBL8w7gwVjV1Ga9/IjG4l2C3WHWs+/FlqjlL2linP
4ZgbFO+FRGUgmfj2TDHX3BbsaJtFLuwt5lSgbHHXX82RbSAJ5LrjhhkJp1oVIw+IVaZPxmGMG7Hh
okE90Ogl340XO+dJFIJ1S1vc0zdWnMVQOkdRTgSFwSJ8m0qEp8GY6mtgEKpYRXHa8o8ahcVYzdDN
7ybiWuKG4yEFKHdASVZHI6glQH5Pf+KEJjnOJ834JdJeX2cVFCaHjs6bjvYYPzAGtSey1/qG1UDK
5uOLhbKgJIJ0N0/ZqrI5Z6fkjmcju41EdiaZcHrU7TJ7Ijcjnu0OpHNL0PGMXbv3o4Js0qrXZHwz
UGeJyjb32wQB52Tj5dwpo3YitqlDtXNn13hKOXgOUhmdvYpqqGgDTRsNjQ1pu6brJTsEGkZfDRuI
WuuhsuATReI7lyG3oinrRL62Oi/dsnFU9maW0D/uQd9M+gphjkwSlijGf/fJMFLTZWOh4jdj0KPn
kv3yFjMazWNYmpElUzV/hvhsNz0JjmsBncnPDZJjbiqSlygjO1h7iY5RfGy3muu6lLlZ8tZMHHXX
2HPCXruCsMO01DU7lsHhNm1ls+XhLO9VIaddTPRpp7noHyH2laD2sWVXdymEnJPrQRNBq1JHs2vD
vTF2+yLI5nTFBzk4O3ZmH1tRwg7vOHo5y6KNFzk64mvOIdz22fg1EPGTTJtz9JC2unq2YEB9A7N3
SE4GA0hQO+vfI88LnpoMH0DGn27mYspIdQPU82DpkgtlpaWmxtuE9jj8qmUE/y4paHn3iom7s7AD
HNR2+UWfRr5N2RUd8nrK9yGFu+xfk2qnJWSFXSG9z17Dbg87uWHv3Zo/3B0CL5jaLlQOqNcmdbud
AQya0c6qb6GMdZ+RnQKZLyhcWfWT1h81T4RYuHW7fRaJkk+C7o6lBzOZ/bJLOp8iCXQhQ6kDC3W4
hZlq4h09cGZxLArdODVu6lxZFb6PJa/cgEB3ifKk9cu6K9LNsmOHOBOfmsGJse3a4gTBvj3VA8K1
0yr9N09z8zV1LXVHKp0HX6zGT2o6OcKcthHnSFtc4QSUb/JUK9kyBf3vSDINr/OqTfJTBkhPrLNJ
rw+0sTcvFjCVK9O/diSLg1HZTRbzhMlnknIe+qnpXSifWbTTBUbw7ZIbuPUH+mQughTuh9MYsNkq
OX0GWQSjO9HH5Timyn7V9522B+eyl7GJrjKE2QWJP+Z4Zcf+K4yd7LbhmeJyHY1MyKYJJ/sKHbE5
STflLtKEOZlfLVr2qXpQfiWDAWo3ISPw7I5Rsp9bttqd1hovTU0xSs8IA9MOzWKE+HCXTKQOUBrc
9spBQJScV9dCK5lN9VTEpRayj/fcW06c+ezUPJ2RooL8+H/YO4/k2LEsTW8lrcftZdBiWNAO13Q6
1QRG8QjhDodWvqNaR22sP0RmdgUZUcHKYZv1JDIyHh+h7z3nP7+4lZKyNxYKwQEDMg7g/EpSX1SG
DWHTDfIz5j/pBzE/wieK+47FQCizY3UTW/3vDTT0qvhXsf+7puRv1y7fF+m1bbDe/EOjJomSwnY5
K0pYOknJ+D2Vpx7NGzA5arpcuFlj+kw2GapM2fpd8/onRxHnX/Nfgpa5H/x6mG/2HVJ2vZ4Bvi7u
ItBON09woePhK9nYg6d5jBsPyETtH475laXEMQ36XNhSXJ8hcInfLk1tBmbZo4GBhYMi1m7sy1Fz
3gFP3cU+83842B/uIwdT0RTpAui2JhpzQ/y7mRNp4Biq5+XFbVzRk1zRkU443zjinRyOvvZ2Ccm+
/JcvkA4ezw6Oa2gohYhA/XrMqSDdt0X1N77TGQWNn/qLExwRO3cgszu/XeH/5+/9L1HgiZnKX85F
7V/Na/1HOGb+S/+EY6R/o10zJKxuQA6/asqUf4ORZQig5QrJMr8NTP8ByYjCv0HW00RTFRV41PTZ
/xeS0UFr6InZDxibyvzUvwTJyArmPr/7BFVCbSDraSZUKeRLXPC3N9Qo6qK7EFXgyHVhvM1JIeve
IEqUmrFUPjV5QfpJImDMoUYlhfpUsJgJZEK8anh+7jqULieVfCm/jdQMaw/tPEqwofNoLZgplV0K
dcfFu8lwwDEJuiwE42r6uICUJ3yBx9LOcHBB237pzh7QR+yl56TBoRTf8tKaGH763QCkCbMeKS0A
9ZuRQAcUFqN+pLic1mKnsWqcm8UjoaLyL2xVk/cEp4rVCCsCR5Gqc0wtZaYzlM3uyoiVnh/hpTOp
mvgAnThbt+Ni9AYMDbfaVcz9nGsH5ZaV5FFOCqOwZQJYVwondRpyHbPYpj3nzzU0j+OIZVCApk20
o+Y6hjBHEiTAY0zS29AXj2eT7dkgmmRvyIr0iJFu6fHlditzxB7LUsYaWfvATwUXUemf1JYeCeKU
uvBu7AtAXpfmk9T2DqGRgS/PWZquaA8k48g8DLJDLN8u+6ghqMfUcR5GNdyUD2PUozIx08Vudg8m
bLSVhce0wGdSwIAAVVolLUJcQKVVnixgFOGoDuMI5w39kRYJihuwLSYdknRdkxEuXYHa5dwl4U6k
UVOmN3WsBTRRWtmvlRa6oJMtmuFYw+SjqYjGPVE+MDBbDMV9/EYhzyOYud7rYqz0QUODKRKFMRin
doB0DAfzWj7UBOV610q63VPWX3Zi1eZBcelKH1wvDyt2TFw+hsvC14asflOuhN4oyaUMByyMP7Kp
0TQoceM1UNsscapsTF+4Y+NoqZ3crQ0jkg6LLkY7TYoRfPFGVc4Bto3dUYY8hTFio4/7Xr7Ow+AI
H+JMoKvV1ETAqjYTGapecKy5W1zqBeGZ2cj8CbmwGKK6qj8lLNg7LGoZLMSRLh2vUpq/mVKL9r1G
BInSaYK8iv88NgzteW4gSvzPtVuBLQQRpX6kyDPPrcXYlwFscn7A9AGdtSBRA/bKoDMUa00P5TpE
HUDCNMRKIV4urvMXSBwqdVIRxbC1MKT6NdQ9CNe5jg51ksmN3VxNxYkJyAvx4bwR/3uWBpMWEsdV
R4uTK+yhIccZhJzYD6DhCDl6K63xD9JPF1T39AvTeEwqvEJ6nH3xPEnMIiCOqTmpWCfsDbzy9vQo
kd8xTEWsXE7bqKjKlb7oag/GrLpe5Gd4WrkOdoFSkVRknZCz2aw/gWd4xfKAyUmdPLGyjBD4J705
afSN7/GUC2upwwdvHCNzWegGUWyTtC676b7oUXdOCqyMxJE5r92igvMU61Bqm0vZr/peep5Fc9hB
qHmLmbWq4fcSL2JfhTxK2I3abHD0gjQsaZ3hFdj2lpiwdhp4ZwyDkclH8omrbbqc4kV/KMYOz9Xc
IPjC5XVVn0QCpRceQI2gWLzn5Brjr5r1RJbUycUyIL7QQ4Ib3RdRWud2NHbXZZ+rHZxDPV3XSioj
GIWnUFyChDgldPFjcn7s6W63UMf61styZXi6FsbwTMgJcnu5u+qSpWpG9jzd+i5zZDJAkKMXpvpy
g+u9Im4wcmNM/lUH61ZzGZsmYildhCJ8nWGOhHSZaIkkMEe5AZd/ANNw40lDewk1YpPn+H7SaxiV
o5BudqpzQX2VbqX6jEAP4KXPs9s7+kYmXjpJgpDAyjOEPaBSvhI9K5UDVon03Qx5b49J08MwTQaw
xyJqM8mJ6yi5X5Sl+FJSDmN/VEWLp1QV+yNEnPq54/4/olQZa/6kGypLQT+C+bg+qjSO2GZXgh7t
BwSThw5d1EbMS6jX/TR2zx2G8j4uhAyLewXc2xT6iPaIHQhIOktiEARD654upN0ejDHKtrfEKF7q
AgsRbB1v+KjGbSNY4NLdpy4X+apsNPk5yvLoScQ09eFfL5H+3xQvqJQd//0w6t9r0ojK9D//4/Ia
F3/7+PW34+v1b/9+/aj/8z+a//03wo/69OPX9T19/ds0/1H7isoBjUN6/RMe2Xykf1ZMzKP4VGal
u/HbNIo/+scQyxAR6KMqw/8IZtjftQz/rJjUuc5CA6pSakuSMf/Cf6rwJWT4Ahk7/ENRBOVfshyc
9Rtf6iXqAlXn9xhzjU1F/626luUer+hyTLwBXsuadEi5t+kqScXsNtFz9JHiXf0Gl2HhojdmncLG
f1NukE4VpqdC8lz97pb/WQs1j8x+30IpDOgkeLLUgiapDcI30YWsq2WXx2PqpbVHQpiTurTaqg0z
AgdEPJWN3c0tnBTbJLvTDoL5w/G/ZRKykhuA8QTTmZqoUct+H+llspYWAIgLt/rEgc0FO/IzRzzb
/R43RRu9wlL8vN6Jr80xecFWtP6hUVW+d1i/HR+iuSyJqMF4Nb52OxoddZXVEzxrv2fmQoYyLOMQ
a9jZIJ5MTdITLk+mHKiPkLIHrD1Ib3Y1fM0wJDRJnfOVt+aoXS3Dy/DCceQ9TkvlL+VxeJxKF+NU
kKRykxqWuh93l8GOXuThAGPqaLh//SDlr4X4fCNFoi9UXVNEA72OPD/o37WKaotUb4ivsccKi1EN
WafObQnYeFlgxr8uEUTr1uVRRH73HK91KP+2vuld2aVSMh2FGKoBEy2vWayirbHNH6WfIAHpj3ea
E6STkTWRvl3Tv3UKUBDoFW6cIGoPR6FxllvSYgjlsS8MDkiEWSvOhL22Fd8js5twa1EtcW47vYig
DVzdTm0U/PVNE386J6bav79pvdK2gO1F7JXlAezWA5pzumeq5csn52BYuB+5V/unFvur6+g/HtXv
7sS3d66Aq49cgqP2nhGiRfJlf4YrfkIPJNasL9/2/EpgYSNJOqsObd83eKRmiDoO2C15woHtMHcQ
arYfUWUxmLke+5VuT170rhpIxCFOW5Mju9cwwd/GApT94UbPN/L3y8y3U9Hnt/d3b+dVjok3Kyoc
Njcgz35OnpTVtxY7uGP6kSX/0oFC7/76oH/yxoFfyAbusiprLdkzXw8KWUpOp/ac8cYNLmLjagvA
+rLYFXf5Q73Ep8nNNxDR7NGtU1smNsXLHeGtRJvh/QPn+G8BsT9AVTwG2jRRZwOBEwEl+eu5TK0y
YWn227kYPi7Z+srAkzJykskqB2dOsPDJiiAE1O5KG15AU7rFD2utIc6L+den8PUkvt2QWo7SKyzN
zGvc3rk5VYiA6lPg8K5+L4XoYhhR9XskHncL05om92LucI0XUY3nmEEuxE+xcsp342bN3pkDrSyp
FTbcwny2brMyE4XL84Ksmot9k9YXXJmWo+qmW+0g72raPmpFOaSJp7iVPgEI7Qpfg7UQSmToONk6
3UZ+uyfkrNrWOD8FmWSRXhlCGL4s23W9v+zJRxatcnlbmytSO60KYVrtoq6hW7TJTqmsc9CvpXLb
kO9F4UuQ90OzBZLuHtIrPjd2ub69S0C4dXDb9Q7nYELXtTIMQBdaAB8Oya4UFgMml4yp9/17MiGs
JbIgqJ2ZQDdY2lZzJyhpK0m1yoV3XY8O1sCYq1ROdXde6e3SUL3pEhiMRGCpjM7L8CrIBzEBlyTg
dKPhxQbAYb7Dq0OQUaRPov6hFxbtXL697q/EsMZIMdZqvx3GTVlhp8hi7miGM1VI84mO8OqOLnyV
yY5WbeMgOkywEz2aD3sMaIriF/LFKx+rrGKDK0DmJY3PzUw+kgTXTtJ3VvBB46ubtQTR8Nwceioy
feUdFL/8FcVXD80cBFjYYF+YMxHdq3tzrR6pVm4UxD58UGI/sTZF0tPb/X3bunrKYv2kPEj9Ggor
awtGdefzXi2cs31ZMdQz7mEz1Ms2/zRiN1m4+XrxGq158fMlIxQEb42n32EnX9AUBPhJJnytkY/H
eDW6uZt5UeZwGzi1gJCEPkjsakvQ4s05h4vHa+eqkM/s+q0hycZ962D3BWPQBuPd7dA9/brhZ2ip
b5UlhFrYLqvwBmpbfZ5fk+fcjUOdAVVmGx83q7/vfCReuNWd5hgi1bkKTuHLupXbeGLai9xGdehP
mZWyyR8Uxt/WfXHxb6Y/2PJ94xJxeFXdcd2cSN9tAu2h2+Aol+IleCd9yFichoX9dvkQI0tDlBQw
30HHvpT4+hv8i++gQ9zMU8QrgX2/7qjaXdO852QkRxbjeOqQlRxUzFfK0FSW8aF97AZ8Pt1r+Rjd
oxdISPHbL043bGQdxTG6QFjGiis3cFHt5lnilJt9FQeYKiXnHfcZuTssx/mtrW1ioS62/qjirsYg
KgRAz662+YgolBxULF1Ypm90u7MjYdAbofGr3nVJIEe2ac/IsDI8Vk+Y+0nHziNadcsSGihBCsdU
YxRkR0/13bBTqWr9bnWhlIS3u8vNZetKaLLIG3Wbzs99BEWbNnd0+7ypgxLrVQ/yN3EGdm4Eoy0e
dB8P+nBa4ZC9Syob/z0bP4LIlpcmqHS+S9+HpUaaZWVPmCKd70TlUIbkPhQSZQbm0pw/xFw8IjbF
3njSZRIJfsnFKhe2ScxYeTVdPJGCvD/F0oOaHbmeFgIKl9i65RZ+5fskb4Vuib6xVHbE+J70lYBj
cunh7nuBu/yYeKo7SOsxVCduvcMY5plZICybNY7Vy9Gt9imPEmnssELC2Z6Ds4K/rXP5lI7itnbz
+xgOUXdHMqZqi6frXQo5xB0XrtSGieFwLw00JEtGidnCJQlKc0A9heXkdRLbFvrk6Wh4mriP612e
uuPDgonysBZyD1D1cgnK14vmkT8vC0uiCsg1ip8vYjCtVd7aG+JbxwXiu2ybfdk7huBc8O+HNh7I
p3Z7BvLM0PZh7I1TrCVZpW3cxbvskHvnp7MZkB0jEkLg1L+gkbmKpx+6997ld7gtnDfErUHuEaQW
qa5srMTNPLIg2OzsVFijllj+22K+n7GLa9iBGzFqK3wG45W5NMNL0OwItDy/D3hl9Kg/3KJ10R9k
g8NstHdVm9TVxVxio3z2iuW4xWHiKb+XYw+cQkMZvqm3l1fNS3T7hp3wNtsObAsHPAj96GlRW8lq
OJ6dFANXLFgj+0a2Qr1qqmMFJTwO9GdKzs1UOsg05HHTGJvoEYNwqx5cUXXMuLEGdakrwJVuq6wa
4QhHHV6x33ngEGDX2bbCbDKI35Ow/JUdjDcgme5ez8P66raX+X6SFfGAFYWNWGY5XS1lXduL0Y/5
5spXyfSkIlAJiNiZijXyARH+qziYckgZVfKS7MklZqP+5HOrAqgTtIjEXm2hqJcOm4L8wYA42gpv
F99c3z6KLCwezb38DEdAO9WD9de11p9U0oizDFVAa6XKIkPir/VNhhlUntzyzIMZpPGKHsW3mNM+
MEMuX4mk646JWwWA0frfLQf/+8rqj1UuRwbRNkgkZBIxd+6/Ly2N7JKSVvZbZZVuMU10oQLtL5bp
Fx50mscfrvNr/z7X7l+PBtn190fLehlTl6jOvPg1+9ADI5R7q/PxmVzzPHPhf1LGa38snr8e89u9
JaasLAvaVI89edxn69G04q1kq2tSMHGYnROlNtGJl2AMGyQ57+I7umEkz9Q54x6K52OnbpqVCRpf
OfLTzDQK5PXwYuSO+KSFstOccjZc7VA9ZHvTexE+62UUFmHGO26llhYSeEC9GPnw0dwx2EUs8Q/p
XbGa0Hd+5jQVzlw+ql5+KO/JPHHK2xsULnLNNiNvvNe7/Ss7wyeya/4jlufb1MXULOg8+ZPO48SC
6rcrBLTDRnTYHaXGY80xE0JDrf7DeK1e4pf4V17YbEkVo9AtVmzzXadgfxVSm4TaftnvQO0oqijy
2tSCIYqemn/JiKhO7zTDHtd4bm/MLdJ1OIae5owQy0bswV3pOfIwUX89fxiSc2s8hHPR0XxRjhLh
tQsLbDtqHWmfEBJUL9n3We/Sff3QPYkvbIDQFtxb2L+KISZm9mWHaVezWWx1t3OwPmFrwsfKlf1y
3u0aZ3BuiCzs613VW73unIsdG4GOGe0ry70TYxwRYGTm1ncJ3gt4Wtzlz2YYPWEiQ7wQijAWmBtS
7ieWSaG3FnKov4qjdRsp0S0dWqDhwOCBjozYmftPStcjhfXiI8EPhzkWRRgOFjhm2TXLXeqZzx0u
WgNREPwgiHly9kflOKpOidLYao6GYP0Pxsvzy/q1B/n6Mn8HwOaJVgzbmqYUBdPgggT4iB8goeir
GfJpHDw22IAwwY+BU/7lz1cFehMYbQN7m+BNXz/fRu4J/U6K3DOPqbiZXqHCuGyvbivfCw6r78/j
9Pl6vl7vlyOa3zrftCQgI5qPOHpNZWNE7mEVSDofPo5B5iGLwcZjO/IputHjz33nN9XqvF4RmAJN
AoNRxBPgQl8v+AJhPsH4iXBteK+YcnZ+/Eqe2hs+jln2ApvHEqYXoT9RHkEnZsu0sp18ly68iiTh
0QLpgnyXE0D40CMXXA9IQbIZICyASrCGYtMs3Zg3TVqNq/iX1TU74iw/yZvwquPU7xfqXjy7iEQM
K6NOw5zk8oCEiY6j/GEH+pNuH2NbWSJLDg8SQfiOZF4RQkLrGlJQFcLg/cyeu/7UtEmvD1K36914
Q8HtSRaQzsZInPNzxhtm2GjKf4KV/rhgcyqarDJmhxSPHuXrTc9hZmLoIKf0qPE22eteRYGL3+hB
8gTn7FztyP7hvf4j+oe7K2pZSYDbrjCO/3pEskdLJSGJ9Teog7TGEGIpoFIS/gQq/ckLNcfuQB5S
yNkln+fbZiSOWq5Ntyj1rk81GCjQQeUgyqyjDUkhGVN3I/+cDaIv9aa5uTewndwWmNbRyBZ2X5BK
hZWNp6WuXmJCL6wUHOtY7ejVLSq2fPDTzhXFTSFhurlObi71rpoFU3efkywCQKJ67c0deqSrVurA
iDbX9bsW7VNG7yB2eANhAwMdHfjk7a/vMWHE379ktCcArKomyyqKlm/3WJDqbCgnSpwZwMTVxgNj
iFVP9Jq7ggZjQ7MLd3Y94iKX2BDMQ8mj0Dudjzi+/LSQSXOd8XVZMTGiAN2C747TsPHtMQwLVUbm
SKUbnRIJmoRz3hqQ+4Lr/nxHMml3KF64N/gTqfb0cSYMVPXOmG3rCNc2i7NfnxZUBlAR//oe/YYy
/9VpfVvdk0mb8ibltBQ/Dro7+ILPnZ959Nkzk8JuQ0JyG5BmmmTUsJ/TE+FAr/in1Qc4bFef9cHR
d7oIau1RBgvbHmfWpbmU7mrnp2/mTxYMvhM4anw5Ml+r9G30MWDcfqlGPfYYXY/AYXhzMkm04uk+
F1BHvPBgIUZSstBizFaPn/EN+9ZDVT6LLlaGceUk4cDeXBEU9Ne3EUvGP3m+nBFgOTwTTlL/VmdO
XbSo4AckXuU2n2YMRJeUmz52s6WRu7i9RrVlzrG36Bps4tSmZIOCZVHusnYJWzYVgwH3YMlvXpGQ
1stYo4yrl9rNxoJG6+4IBGoVO8Y9KneUUMeEPrIAJWEMWyqT15sFPII08CFL3RZdw+gIhg2FwayX
HQWMY6ClctU35QQwlZLT8JrH3g20Ttwon6bp97mHfkK/eJMQ9InLX8TMqv1o77EQnrCPygH3MDNe
T2G5Np96TuSOvzL4eI5Es1MiRZff4GzjlljvoNbAAQgowTffgdUG6KE5EhTrcl9DhEutxQ73HviQ
xIeIAVSD5PwMlKEQNuDgNuMv0JlukQMM+kq/HYs8qK74KKxy/XjWHBVaEmp3NqaLo/wC1iq2hcll
K5pVR36Gm6Fgo13GKCUSgttlncDNKHxQvppekLo38RGrFKAsH4vEL6Hc2JiflBj49qFpRb5JZrRq
KQcpVMCeLoC69EGAcKYF8HYrrGSJSVUXCiEtG7rS1ya1pUtYS9aQ2Isj0Srn1OZ3apIPcITrybs2
g00fshUdSorp0la9qtqiOAZBRMrR5nZ6JfDQwrePBvQG+im4lBkPkyuvxSDiByyASG8OSqZG7Z6x
rPG0B9bnmrU3fKoCjEjvS76FfkmpUm0Bii4kPMSW5ggXm/ROt9rgbk/K5RXj1M5tzYBYXOnh7C7u
yp1y6peQLYKLN77BxH2WZiCXaQNBr6XX3SzFLpe6R2Lu5rpLnjVbwArzOXqQg6vD0K00lw2qT2TB
KXRpvGqaJ3OGnK05YVz3wWCzBnCXZ5K8c3XtsX7GE8lEf4YOAnGcq66WMZc3hpcj8RjHzCNbRfVk
J1FPCyQPL93h4sCP8q8UmgH+PSuRgx6LmBdJehXcuW/RfMHGcc3J3XGF5/6qXUaHfo2lmI4174rk
F7veCa+8y/2y/bhJ9jkY17pHyV9rIH/A2y0XmOx5w4qt6Y0OEu6QAmTxmIbR8/QreSdDo/lVHnVv
8aZmHsYPaWzdPOJGkSd7nWkLDxIRwuOMykmnAkGONbyQADTnWdh4fjWn+HCzmJfZAAENoPTg3u5z
t/KLE/R2RHPe5E1Ov/XzX/Q5Lt0Qo8jEWkf3PbKkEjU6aQcz2oNrrLhdZLa6Bak6vlcANQFWYhiM
QVgTNjwD+ucnHqITbxhFvw3bcncOmtd4RbfXudqGUW2YPpBTCv3cyx9kFulmVQTs3PCW3m/Pkn97
Eu4E1Rp3HSiEfTnJeKs5hQiCwwzXcPU1w9zWuyByx9jKMq3rOltqYfZ0Do1l/oQsbDMd2KDoa5zS
6dxrb00+WnXntm75ogNjWwJ2Q3a3NE4nfr0dbx53SnCMgxaCefqDH31SYO9VbzwOG1j96YGcpXwr
Ome38FHUaEt6vS3d0pEud9iP4T4zgDit1O/D9lHpVzUEGqAvAkZuPrfYv3qF1QTwuAigehA28Yv0
3K+W1QF30SXWWTeClJbp0vRlV3uv1uAeaBIsdPEfBRj15/7sq9jJbgxHDMZjve8eWLYC0bpvTiNN
X/JAg1gzTxktmlS7e5AeqlB/PAOwUmNfvLa0RPBn1aWusIUlEken/Iw3pI45pgeaOx4rIG78bhur
Cvs1XXTzcN1Dbrvd60+AmUCUVmdfNtdT+tg9fpJEtMSOjQqqCZDFWJpoT28j8EEw3XXMiTdYiHUh
o4hf8Vs92J+p0+3IJrIn0MlxI3L0trGNdeeZtXU+zXP6Zk0n7mB0c59v0nW3OZ9SN3Ho0r2znXjC
Ur1rXdP3kdk7nYd80r+6wmpaLe7hX85BRL0XH/HYilbXd8ZKF577sgjibe0wT+cpqzGcJ4S31nXz
OYBvrboViR2b5kHtLRzmxCeEORT+I8TMZ9nDu/EhOmkHhk4MPoOyWmr+zC0Yg+qgcFcDvizxsTwu
tojU+RkbUvWQ3ilhsaX+DEwcNNC52unNNVRLPs6iOUpXK7uPt0ZiKwfUtL0nLg069xG80CY5p3+K
52Aae0EM65PJntRsp7BdK3bFUxHfCQ+oPQxBvO6hO8QrsXbOD+ZS2wj2xAAjOof6BYMxEsvJ6+Lj
4H/ZOeqFdWnces1lXJbNpzDBwmK/S+7J9tgigSdByh0ujr4kccARlxcfPy3+ZnavOrdjQgShDWFp
D37JXOvIdziBviGa571G5MBqNmzrZaFZky28iO+NG9npLuZrU/ya15o6ez3uRs/wuSl3bLS80HZy
MKCFNw/tst31y+y+XWq8nA19FgRT++bHbgWl9aQjm2OZxaje1v19/yivlMFOQ1R3trFU1+PKdLun
8VC+DexT2ZZqMOs9gXGMgiDWga9L4Vr9OoexOx7SMSQM68Zc4C377CIioOLgIp0U+dHIKE5YsRDi
rRoNOobXlWuSUK4kPbwPv+3krhFOn6p3QcFizQCTz4dBxFSdPvcpEUdOqqH8dsaVsB96whUdilQx
UAZ3XtkBEvdQIed9o30rkOG4FV4rS9bRlKlAvAfMV0SnhI2JEUtNWJw9vOe0lbmdg9RYpvs+OEkg
eKVhG8fIiz6Gfecp9VJi3sH+wkLKHOBBM9lkb/YYbYHC/N4ulrfwQiXW2dkWIKRLHOwQJ6fdMpWc
3J5/r53ZvQx/tc5vkV5jc1xuh3Wxv26VdxWuDCfQOD3CFIE4TEyybe19nFhk7Rmh5O/1lCOdnWwB
/vN1ReaePB+txezxHChP7dXFT6VZZoyomctJoVGTsMMcBThb6zDD8IUa9SaScxssfaKIuYt25RZH
6JUhWQUffE6ZiDxllS+TwPCa4+Wy6shnxqvaOV/ulMjK9+e9/JmCNdgx5zEssxAO327+f72PR0/s
VQF4N9/6VnYv/Y4kK/yMl609rXBKDCuv2FNrEhr0uD0Dt8MRccvXmNO3NGCVTeU9Irm38amzYrvw
RDfd8zV79bZ3WYNZQIm2XNV2u21fGZ1W1itPxcOCkNDELIQkcM9odocktrJC9HjMs5Cfn535D+Kn
GaBBErQnmvxZDWvDll9iyTLuZX98yIIqsq4pyVIWKiLt6bzPAj3E8sO/uQvRl97VEMUOc5QOn3+H
geg8hhG2Z+1Oku2+wo4jkF8NejRetLV5SiknXCYrN9WTTDIt7CTaLvx+O78Ct238ITK6QdnXWGgb
mSYiln0gIO8O03uKZVf+5MVQw2ov83GpIyI6tLnvEoTh/rLXIJjZ8olxhMGWhx5RADe1ri6V82v6
zq3yCXZ7rNwsyBi3WFUwrcqXSPVhIpv79DHbaK75nIX9ob468qmmtJunKjP+TUNM4uD9s/HEu8sk
xES3yXxqbCxlxS3WPMEjpC3ZXrZzkYtPmVV5/abbZ4fhTVt1kX+lEotxUrcFBq46EWPLGFEr5x89
GYNH/gBDNHN5JhnQGimWrOYeK01uArnfblJzFGUtPRaOtF4w9V9L6/413texB2hLvq9p2A3xa/B5
+c2wAWBms2n1frXXP5PLUsU65UTOWAE2+WaItom1LSP0A/Ohy6l6vOJFc3bGU3tA7+skjMtLelJz
iSHcY3JaBJSrFz850LYCiywlv3/O/H4T78gcTILaBs52a7CJPQd26HycMxmq28QVyPl0Ce2kPe7d
aJsLfsEs67YpnXo9+dGm0C11Gb2sSltyYCpD5Xq9Qvtmy2WZ0DfDXtgRsYWl5edk+s0SICXZotbB
Vek+2RFC4g/rS4hqc5c6mbXws/mBv57vh2XuYKvsXHzAsKBkRiQfMz/mNThzVZ0dmuF05CHOqOi0
0t5yp75rbh692WZ0eb+5x4/tIXOTIIcd2AWlXYbJgeHsr6vhlK+Cw2junjnecnCE3c1mCA/5dkO8
b/rc3klvsXcanO6J+aPynu+nNbS0dS67BjMxeI/352LTLds789fNJXLSix7NEFn3E7b9q8JRVvLD
dOxw5mnuz/on9PeF6gwfi/hRf2gwizIswvzKE5S2XekbXu9fR5s8hRs1LV/09aU8c03tloWxs9Pn
4jk7cG6LT/21WwqSJYdgTmRq3tVh7xe7ymNOaKz6LR832Htyd+5tpedtctUEKbs13Vf3+FxicFvZ
Nd2EHC46Strn2wv/6epX6avgFeabMc2/h0Wz+pD4rPHfQtvCNswSYFoMZhd+yydx3sGbsEH+R1/i
BcdSzmVr9whANbxp3Zv2ec8/qqXoDvgr7yL02Au7eJaCMpzhE5cTg7+Nx+ixR/Adsia6N3aEdksA
Oj+jrMdX5odUzrzX4y/W5HbD4iYEHPnZeMQXJGG6qwXXU37UAjJynCbMH/l6XA2Yzloso7f2F+yV
z5LPtfAYMHQ7XvfygPJtYzBrhjiFdRgYJ7cb6uOrxHONKuBWfA+LdjuJrrqYS5AxDlG51IbbVa7d
MGb/YSb4J1Ad2BcjQRi7ACj6d9RbXiDOUm+wbLN1EWBA5d+WEFvdPGx+zWpXbnCAIJk1g3QFHnbv
8l+29YYtPP8JyvkjasipQCqGYSuLMyj8FZk1kjwRkbFD+P077REjfRR8QA3LiXEvcvON+sOQ4zdV
4DcQjkMqsM3kGd0S5lP6HdkuqgtdPyeIhntv8a7YtKOUXenrzFVqToXPzIFihmp4qdJRGw95OB5T
97xBgUrVJgfFiWRlD3v0V+kzv1Pcy7HwxdwiKMOdHCJ96aadNoiC6L5kzDW6mlc45Sayk+WFl8u+
bVBevrR2/FF4pY8VxZ20+ZynsULQPTYQk/YX3oh8pT8nh8u2cNrTj/j7H4e08z3/rxvw7Z535O2m
C9ToHmkV/lyhjquUoijfE1xu/8znFP/8Gf/X8b6BdbikpYKEbZ6XLVswEIVGQ6EBF+EZkLTwP5lj
/XTEb/CvGvUkyLccEWFEuYQl5SwovwfvvImXwjz8O/wE/M8ZAN8RZ24qSkNZAvnn9n59q24Xdbhl
51tC047sFVJVQrunUcR1+9L/iasIq/5PjmYiD5NFBnY4eXw9Wt9KTQynMvHSz4m+wMU1U2xCNukn
0PYwIppx4dD3QuLSrSLMw8vVovHcMLSddgUAxn21HF9Fms37geAwNsu78XNaxx/5R7fsjvUp3WGr
mW2SzRD/9MX/ceKHUxYmoRjPwXgWvnNddZFAslzl2dBXH4T/Q93V7bYJQ+FXifoEG6m09KKR8lOp
+2m0rlO0WxesCclASnAl9ja93EUvpj0CL7bPGAcMxHSxW4nLEHN8fuxzOIbvnHyJEs44C0fqu/uM
AjJr78cO9Yw/vVvjg3H1uvG/8LSvBRapmFgDhYGOPWGW33KKduIUlRCyvSqtiwSTBeXfIcWr/JcP
OE5gQsvZPgbAmdctJsqJvuc7KqeWY8TvOQlQg0q2xvBlT5DGn2WPEIDYm7dXgnVZ7+VJXbwOaUqA
YclLafOKyw2J6OXZirCA7JvIXiBl4YVqRi7PNDYb7wdMdL+FAAwL2oqUUIqHPYntYUsbnyuGkUYY
IXSGXW5LeEsYowD4MAB4uK/PcP5BvEaznWGTpJmYQeKE4oCmiqbQzwXgQHAk6pJYI6dpf0PSsPiT
KEKKNqKsunQ67RvyMyCM6uAmcI6uoA7Wzar4mwbJvaZ79FiZAbhtz3rHqqAMpLoDtpcJK54fScua
QOrMEGFtF80iY8UTPIvfMqgH+JcL8hH5lcS6E5A1AVwYFF9/8ojkGusVdQe8bwnfAYWndCwWekUc
zxm2el+RB06z4klRalBHJLWljk69jyFJqaLUoO7A0VzzkGmbSKrFc+AABloMlyHwdPdyy8M4KJ57
1ovnxAOU7acmKuh2lS9wkLamvaFZn+4dRKgVjwPgStHwTA9PlXUdeLKtsQOCpXFXZE/i3jXvOdhR
i7QdtSu1ONhPyyQnfp8rcBFSjdVuLVW+wP3JAw97FuTUwVIv8c7t5xip9qkD/37H/T4Pef7efpOa
StpY6vwLmcBJorZuj9KRGFj7lwb+fELioAlBV8TraFIizo0C9WUVcy39uBL362nS4IBDovUVGz7O
ekgMj1AZTA+JSom1nOJo7YDhL2fTM52mUzaHp8ZsioSYRlgOE6gM95hUBp5lBmoY0BUKbtEkVNuh
jkcw+GSTYLovH41YIhqYxGqFkfHIhVBhkqsTZcYjGaKUSbJOgBuNZJW/kvikHofYjVIjEA2fqF8M
WGwRFb/T0CflQc4dP+TkUjo/QSyLEZAaZj/i8Kf4TF3u5zfy+fWER42m4rsUZsdITKUkb8Ti0KJa
JSyJ7uunTaV0HmfiBBZVquMXKP5g5DeSSpQYLI9qTJ6gfcbzurtlSHI8PIkhPqMknf8DAAD//w==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_xlchart.v6.3</cx:f>
        <cx:nf>_xlchart.v6.2</cx:nf>
      </cx:strDim>
      <cx:strDim type="entityId">
        <cx:lvl ptCount="8">
          <cx:pt idx="0">10106924</cx:pt>
          <cx:pt idx="1">10106936</cx:pt>
          <cx:pt idx="2">10106929</cx:pt>
          <cx:pt idx="3">9421486</cx:pt>
          <cx:pt idx="4">10106933</cx:pt>
          <cx:pt idx="5">10106930</cx:pt>
          <cx:pt idx="6">10106928</cx:pt>
          <cx:pt idx="7">10106951</cx:pt>
        </cx:lvl>
      </cx:strDim>
      <cx:strDim type="cat">
        <cx:f>_xlchart.v6.1</cx:f>
        <cx:nf>_xlchart.v6.0</cx:nf>
      </cx:strDim>
    </cx:data>
  </cx:chartData>
  <cx:chart>
    <cx:title pos="t" align="ctr" overlay="0">
      <cx:tx>
        <cx:txData>
          <cx:v>Gas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 STB/d</a:t>
          </a:r>
        </a:p>
      </cx:txPr>
    </cx:title>
    <cx:plotArea>
      <cx:plotAreaRegion>
        <cx:series layoutId="regionMap" uniqueId="{A0D17D48-951A-4646-9730-F0485CA32A9C}">
          <cx:tx>
            <cx:txData>
              <cx:f>_xlchart.v6.2</cx:f>
              <cx:v> Gas production Mscf/d </cx:v>
            </cx:txData>
          </cx:tx>
          <cx:spPr>
            <a:solidFill>
              <a:schemeClr val="bg1">
                <a:lumMod val="95000"/>
              </a:schemeClr>
            </a:solidFill>
          </cx:spPr>
          <cx:dataPt idx="0">
            <cx:spPr>
              <a:solidFill>
                <a:srgbClr val="002060"/>
              </a:solidFill>
            </cx:spPr>
          </cx:dataPt>
          <cx:dataPt idx="4">
            <cx:spPr>
              <a:solidFill>
                <a:srgbClr val="7030A0"/>
              </a:solidFill>
            </cx:spPr>
          </cx:dataPt>
          <cx:dataPt idx="5">
            <cx:spPr>
              <a:solidFill>
                <a:srgbClr val="92D050"/>
              </a:solidFill>
            </cx:spPr>
          </cx:dataPt>
          <cx:dataPt idx="6">
            <cx:spPr>
              <a:solidFill>
                <a:srgbClr val="4472C4">
                  <a:lumMod val="60000"/>
                  <a:lumOff val="40000"/>
                </a:srgbClr>
              </a:solidFill>
            </cx:spPr>
          </cx:dataPt>
          <cx:dataPt idx="7">
            <cx:spPr>
              <a:solidFill>
                <a:srgbClr val="ED7D31">
                  <a:lumMod val="50000"/>
                </a:srgbClr>
              </a:solidFill>
            </cx:spPr>
          </cx:dataPt>
          <cx:dataLabels>
            <cx:txPr>
              <a:bodyPr spcFirstLastPara="1" vertOverflow="ellipsis" horzOverflow="overflow" wrap="square" lIns="0" tIns="0" rIns="0" bIns="0" anchor="ctr" anchorCtr="1"/>
              <a:lstStyle/>
              <a:p>
                <a:pPr algn="ctr" rtl="0">
                  <a:defRPr sz="500">
                    <a:solidFill>
                      <a:sysClr val="windowText" lastClr="000000"/>
                    </a:solidFill>
                  </a:defRPr>
                </a:pPr>
                <a:endParaRPr lang="es-ES" sz="5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zHrZktw4luWvpOXzUAmAIEG0dbXZgKQvsUcotOULLRQKASQ2kgDXf+qvmB+bG1VZVZKqutQ9TyOT
Hlx0OoCLu51z7r8/r//2bF6exl9Wa1z4t+f1T7+qGPt/++238Kxe7FN4Y9vn0Qf/Nb559vY3//Vr
+/zy25fxaWmd/I0gTH97Vk9jfFl//Y9/h1+TL756ik+1i23c7qeXcXt4CZOJ4V8+/S8e/vLy5595
3PqXP/369MW2rmpDHNvn+Osfj85f/vQrpwTTIv/1l9++/Zk/vnDzZOFd4c3/+c/5afynr708hfin
XxOWvmGUMZ5hRHmBaM5//WV5+cuj/A3miFLKaU4KjnLy6y/Oj1H96VeM3hQIEcZzzFLEM/brL8FP
r0/yN5zzAnOWwR+KOSd/s9CdN5v07m82+ePzL26yd751McDv0l9/6f/ytdczZhnLOMUFQ5TlRZYS
Crvrn58e4BZev/2/hlT1XSadrVXarAepelxm2eAvcLfHajVLV+JM5kdu2+myJ3w9Jfk41cnQ5kOZ
mdHtwuQEX/N1n+tvTPlPtgaW/n5nOUYpzjJUFCwjOX3d+Tc7S+eZhmWKpm5wN3xUa9Fd7BPFopB2
rL3hyelfr/cPloD1CpRSzHCOENzG9+vtdspi3BpTZ0tyz9q93jCrfrJE9s8OxTMKCyAEN87x94v0
uzbIMkcr3e36rCefn4umR08Su20s9bRMKDmwQLbiRLckvvRjrrLST/twSihr3tFB63e429jtnE0s
1A5l5FMRgnksOh3ux2x1WHR2Dld8SPaXjRkzVNmK2KPq+JLWHUZGC75t8hGhRN1tRspNdCQsuAp0
aNNSR0VbEXY7PKqt35RQC2JEwJ71vXOFbiu6d/tzh/LuLhua5KO0avIlc6bQQo2Neuyb2JHKxFYP
YkUuS8S6rkPFV7yuouh6eh9JH7TAvYZX0qHZjDCKx0XoaYxYoHZL6HFum6hKzlJpy1028+9tlzkn
LEriJ2zX6WvwdKvtzNVhK9pdCkaYvUt5019y71ojwmblbd7L9NGxPH7qmRsuOpeFOvrJVFO+DQ9D
IOYjt1rfbTLFdUPS4Yq0eV91S08/xRSnj6tx3Vkvxp7dvq+zcJzhBzy1yQ1bsqLmfYK1sFQte03Z
ttgKIoqngtJ0+pLQ3XZi8zKxlely87QTEmyl/CiP3RzStl6C55/6whZBbLEI12Tm22HLet0JOC59
iyY6ncAp6UPsOvMp64ftIovr/BR6Kass5fmt2fftPM2o6wSJbH/XTK0v1zTki5jaxV1Pw9rMImZr
WMTYD2Dxog/JWmbSki8sid2V76ZRCW6XVgpfpO6eb6F/P8QwhCqN3g4iRklpaYZk+sS2vTiipTDD
Dd76nFQsk+ht0wzLbTLgZS3XQg5LhRJuxzuEXfulaWWqyjVX60tud/mxWdQ+i8kVqBzb1BihWW8u
rHPTO2a67ED5PpeRTJiKfpXzQ760w8Ww8LUOTVdcz2Rtakxj/xwwHJfuvH9eMo7eqX5QDwTNMQrK
1njdjSS2J9az6SpxzVLbgU7HXa6oE0PeZQ95EVZULjFRslySbQgHmfPpjq2rV7Wh+fgh7V3/1Dc2
82JJoqula5tzvqboesvm8DIwNl8VcUwzMcR+YKWN2hwjm5pDseJWKLJkx61Yu6PDeX4XcZtfd3LN
jknKV+E5ZvVYrNm57cFbuymGKBY17yVVZqz8tpoy26h8NydhvG/w5k85l+aC76ioIqGJCK/W0vuS
lRqyQF3oznwm3A5lX2h2KYMvLqfcL2IdsvGu6XJdKbwPh84g91a2OT8kaEonoaEkl0sal7tmQ0tb
6jl2myAdWAH+4UdrML3eF9IJxhAW2di4ei+8Kh1tmtO2ovSwLMwI5bq1kpud1jKmnTxkYSgEwkbf
JXtDL9fFRnbkk6bXZFntw17M6pBGZd7qTKtH34zhoRtTWWcD92WUBalaObEbPazdYdPDUqs98ZUl
YyL6flVDtdMct4diWYi+6fLQLMJuutMCITs8kzjsjchknCeRMdVdT9zY66JLsmrFLF5glwZ+nOCu
K20mSB9xsmOlnSrOQ9OaTwbP5msx2ywKNevumHTLVM8Z07ZcpJLP1LXuo1ZFe06Xcfpgszkp29jS
+zbl5C7Jt3jZDCS9aqPhF7mKm8g1bVLRyGw7smZkFV3b9VO7Qtqf8olDHI3FUC79Tt87s62/N0pO
F03ol5d97HFd7Dk6h7wnEK59d2ORp6cQMnRMlUm1yOkG8cKCHYygW9Z8TsfJvG0gY2mR+VTdTCqP
dbbteRTebnQq6dyMzxtt2pNffXNwaYR8XvDiqOYujgLNqlMCL2H/vS2c28TCWnQj9ZRfDyTi5zE2
6tJGsl1mKGvrtkndJ9+StSp4NM/F1DaXSyBJd8JTP3Ghtk1/VCnelZDc9C/5Pujbsdi6ay3HEYsd
az2WPppYB2t7W7XTHr42S6RLKSkaPmeeraXk6VQ3o83LxUt5KSeJ70zboXucjIuqYrDj9ag0u107
5K9GJKeDbHEjgiQzEdit+zkNnbroQjN5UWTaV47PWypMO0AMjnKGkjMkypR63e2NG+1wb5K+O05u
l7rM+Ny4at3a/i4fIDzHBq9XRI7FyW7TpMRGbVo67fNrR3HygIuclL3C5HHmizquu2s+LGh2R9TS
Roq+XfqknDvLbwtO/X3vhu4LnvfwMOUNfxyWTV6so5NeoMjHMzGMTGIJ1Ppy2HN1uUAx7kS6NMnB
N/MCNjYmf8+6PcQydjS88J4fcKP8WY0Edhs0XVSZS2JvQqpCGZsJf2l9WuRCYpvUcOvJWwplvCsd
IlqJYPtpEM1g4ixa6PdC3Vrf3IFt8YMEd3iUMdvue4T2cnGDutEtQ5cKx/BM2PSu6cDNDuDp+jJv
p5zB1kf/kLvFXigyzS/GGVrjPNmudxTCTdxH/Thqb76GoNpUQLtO33Eph/zoFrdcNTp2jyqs+wXd
B4UOPYaqcm76lN9OFrknD+UMi63r93OR7uZG9rM7jHiK75h6/6+7OJJCk/Zdzwyd4rdNXPF9Eyf7
Pdn2Xtl6KefKzGW4+b0YBa33k7vUXKzlcCZVqSvmS3p50R668l9v4B+bdpblvEhpUUDr9Y9dJBsH
76As2Hqs5mqvXCUvHuX1XOLykz/wTz9rW7PvzlvQtKCsyBhABYQYYI7X59904q2XUSYLdOKQ5URL
B5EVN0PXi399KoA031j1j1Vymr/CnYzg9IfWeCuSxep1MvWi/Rc3d9WY9Afj2aON7QV43k968e87
8dflspwSRFBWAMIADPb9oSLe6ZTuiakH9nHdPjb7JMzYVBz/BFb8cFl/LJSmnHJAWZiT13N/Yz3l
0gSpJNo61Ngc2tNwtGUU5NnaElVjmVQ/c48f/POvK7LXEzJANOiHFbv5FTeNcLSOCJTUtJawxj5U
sWrwEdW6bipWQuFda1+pAyun5poe0Gn72Ua+R1T/uI8f4mTISeo6DvvQMfMliqMXUCd+AhPxP71I
igqC8wxSav4ard/Yd/RrYXIJ0RgrfMBVW+tTVzV3rPZnXBNBkGDnf+2p+PsE8MfB8gI8lVKS5egH
Vy2mOXrMrK3pMZ5tX3aHogpVcuTvm89t9bPww0AD/BAZWZ4jkmJCCQHE/8Nye2aUmq20NTTW8uQO
TRWF9WK42ipAE3Xxk/RCfrbe671+Y9E8nxY5Ulgv1Eu9Pg6lP/ry3F6ayh55OVV7nV8q8J11EG01
/SQNvMbd35PrX2z77WF/SDaFGdFONyAk8qk/2Dk+Nf3qStSnbwPNMzFP7BqPwR20s+lPlv4n/sqA
c+CQhMDaefFql2/OPaS4QZsBT9qHYSjJyqH3SM1PrPtPF0kLoFpSilia/3CZfJ3mHTouW2cjmt+O
UEduVjqzn0TFP6zCCXA5DKidPIeFfgyKvgWEkKba1Eal7so3G7/bWsSOfw6E3/5CuN19Syc9+34b
W6n+YNz+9vE/rv9K5P3762t///9X1u7vn277F/c2ji8v8fqp//Gb370I7NUf678Sft99+Af271ti
7r/78L9H/mGEUc4JOOd/zf797/Fpen76lvv7+1t/kH85f0NTRKHE5FBjWP7KB/2V/CNv0pwBIwjk
HvBcBPz8D+6PvQGqEG4PWgwCbpgSyJt/I/8QuA7lQBdSWgA7mf5PyD/Cvq+5wP5xlqdAMkKhyDNK
0Q+5cybAWm5L5ytMGzvXdFeMnhcqfS/ylechuVlXamxztg6t562n06XM6NLXmqV+rKJn+y74jNJy
o4DJSmd89qnvub12a5ZWADy2E8B38uBYAZ01hF2ZAnskuiFbT3hpNmGGhl/yPk2/9JrYr0myhIvG
AzcA3K+r9mIlZdi2tuyIX3oRydjUct+7VKQsR19iHjGAtmz4sgdnbtq5oec9TMwL0+H2HSd6eHLA
HVw3jMtryLK+ymgzfQ5Ju5Rr37UVnHg76o0kWmzDQlpgI5w5TemgTkTicGwIYUJH6x/xnPe3SnF5
1a54Kneg466asOkX1+fN7TrnNorNuOZmlRKKQJurU+E7eTUbFS422aED1wMDfO3lYEW6x/1uo9Hd
eJ8xoAPxw2g5EHhxDueFyOY+ZG3i/nyOA8kDQPLJztoJJt1+u60uL7e1Xc46DPw0M2+/yHRlpwQZ
fL+TgiiRZgV92rMt/RJNWEZhogViC5iIC+6T7mljXmbl6gcoI0VqL7uF7+7Yzuv4adhV8942ydAr
MYySSbF6CkwWWXLZVXI2sTu5wgVAs3EZK+BvfX4ESozcpEwvH4cVy0W4PZke+TZ0Rqwh450wieuY
cLCZsyf7MAsrG1zH1iQXhfYMKEAdT8Sr+ZyNOj14PMMhdk26M5BbWwLkxdQbkbWGf2jRai+BIgIm
0Wo/igUDmfbOrmR9wZ1JknKkwDYc5r7J0hqxZXzFYUMCwGMc7xLGUSi1GofsaDtwyVeSYrjhTKNb
vynAUZ6a35Vf7XmYvaxls+UXg6RNNUDM3tCpH8tm96jimaYfIp5TkWlka+TmeOR8SA9oIEBrbaqd
6yIu6n43LrvCu52vuyVTFZOE1qbbCmDNefayjonehGPddioGld41JBZHnY7paaLJWnfUkYOUZj6O
WWEPey5dHXM7l3TLp2O7ogE41G0bDqzt0+Peqf0aOqI1F5qOfT1jvh9buI9DoVSeC9VBVGmSxntN
9rYiGLcPG6XsYk5yfCgY7Z4yss2ZaKduueF+yctEFT2qm9y2n+JA+7cqDFMQEwnQyOp8Ooymn08Z
UvtVQDY8FDuSZ5Ky5lisU3fQJLNKTDMPh42r/jlfNDskzpGj4Y5aIHspXYWiKNQy0/F9VxTjTdqv
05EUbDpiTrdDijd5CO3uL/jmhkuejmQQ4Ez6PMPtXw1d0tZjEnwUs0p5FYrQt2JKwJ1nrxHQRQ7s
n5oWVuuIrNCq3YXsh/VgQ0gfcKPxnR/y8JLFEZ0BVqojUch9ZpMe3xrX+sobFu/TnGRvW5stT2BD
etEMLaS0bWKtyJImP4R1trcxc9OH0POs5C5091ojVGd7TzvhZ44fXd/yg1nW6cqSHi7UqeRzopSU
ApgTBOS2LPApDFs8hzjpj2nH5k5keCDtcd8Sr+t2Ycn6/1DE/z8tz89+cvFV6pOtd98W2gy6pv+6
MJfeePu5/a40v77x16KcvykyjLMCA/4DRutVWfqjKBf4DYPODOQZ6LMZ+XO9/qsil74BQMULjuEv
ZQDn/laVE/oGmvO8AC2OQ2mGX/4faXKwie878L+qcrAaSVMCZMMPCC7o0Ha2aXWFxoXctnZuFbvo
VNoae696NzbJBlkrWV1doCGwt6GfF3oiTTJmN1gna4QyMd/ifvi67/M5ZfPXLq4yuV8zLtvS9sAX
VXHO26823YHSXacEZAeANNsD5VjmZdo0yJ21hDjVwrWEmMOOUZ+JJEi91UAWxvnRqU7uFTFoWN/b
YjEB8mKHV/I0F96bctA8+jIDoWgp+9VkXAxZb8zltLc8Ea3DcnwY1SzDed2J2gVxc5N+nj2a+q9z
cO18zNJWU+DENVsPMZm3STA+9yAITglzD3Pf7bR0rosPSIMVoGPggym9skt2QGnCgrCGWcgrHule
LHs3E8gnEwKqes9zVvph8lRozTGqunHIga3R3ZpcNEDw8hK2lpuzoo5ZYID7pq8bI31TTuugvNCS
TSNYcnZoZGJNdGvrrd9JXwXgMOVFB8ppd9NFvu3vvdKolc8oWP47c6PrRDfnIxdusMl9NmSyFQAI
ikQk2gXQGzID/zN5x6GGK+BhBUB5VvwuVbdQMZB5aX4f+6Z1CAorXbfDFFzTfQQCuDXXw5gpeY6U
vlKbs9/7kkJptCdDVSCV4jQZq6ZY/f5hzNMO11BDuK9yFxNsBE8GvzsB5XF/MI3H8shJRPvjtKDh
U4vinAKW3nymakdnm9aK2lHVAXsylIOKaTz5Ypf4ZLuNdkEkBnZ/Y0Jh50uLUWMuaV4MurTbPqHj
K/mi6yKRar7QVAagz6Rt9Zmue0cv5lwNyz2lw1pcki3FptojS9X1RPdtA6dyvBWoSPIzDRYPJ8mB
TazSPpuQ2JHbvi6x0Gtl49xk2Tk0dFAX4ChdBixk64MYin3ZH0AMzOFLGo1jHUzO8V1vp2aqp8QU
+ZVeabKdUwtxUYVMZ96DvLktG1Bg84TYVdwioyXImWtbAoyb9QWHhtIfdJFvql7UOG5PoJg0/Wfc
A2FX4Xluh8sdD2D2fU4mdhlC3zRPMvHcPybN3nWHyNtR1ix4/GFKmmX6qAImM5QHcID5PgPpp3ve
mpQXdQgLGctt4bwtnUS4OANVv2SXWeYnVm0J920m9m1YdxFQtsQ6T81u7nWhjDq76JoMZJk1aaGF
beE7A1DO3RHlg+OkSixqe9FPttPQ3DnWvzbeeMsr0oyTr9G+cnTupsn6PoowFXk4tU2zLVdxmhv9
oGXY0soYlOUXUwBl8EBN0tGK+HXoPkiQAi6D7sF2ls7mvew3guu1cd1Spo5N7Rl0vWjgdotxu8zz
GdTO3RZdWu6TcUPNcUhYxUmxfi0KCOAr1VkH7tEDTIFOMBajOxXT1kAMEa4tOyqQy2mN0jnNDrOH
PX8iehv70rYwTXGB2Fqg88BUNJ/WtetxNdvBtgBzcGMuqJbgLd71/VC37FWHmFC6SqAkx6Iv55UW
AXSoxboFJGxABeOD3fs+PLOxKB6h2TB9ubsclAq84hTcts8+NGaecCl7auU5uDxsFR4M38VixmWu
pxwlrAZpu4Bc2/fJJ60odwKNETQPEptVwPhAd5x1NjxwSDUOXK/pYpkBZovQ4qNxFjKfyaVViVlq
yFtjW2Ed9OXkpAqgnM3FZUqIu2riSpzIUGprwwz+oijdPmfriFoBQGe+olGtY9UlYXkLXBCpt7lZ
7wJPiwkmAnoviYhL14Sqp02eVPuk0+Z6AKjDqoT2cauxJrqpcy1jeDIzLVyZEbTu1UhpaKDf8UGf
GNq5Pu0w6MFyMRKAosdO5p0EWWPaIMLHpkk3yBGsny9ABjbu1DRZ/vtiCZFXNlPcyBP43Th8jUOb
bO8COEEEdjULuBy7XdU2xncFaUpJ+J1EClR0fAm4diiRWy4YRJLYPXlch+JhYKA0sRnSH8Mkio4u
7WHNElbqYHORhx6dEE3ak/T5cAFYOdYI1CfR++xjdNld6IujC/G+g1woWg9Ok6B9rpZmB3UFQk90
Ll4nFF9p2w6QRNPlXEh3yzx+P2r1NsNbIfBmXpZ2vR/2AKx+RiRcRHiRa/Ik8/y2S6Ey2W0p1ZaC
fAnan4iUFFdoGemHlLhUaIfni9Hok5uVugQVBB2zIYWyYgA3yCGB6AiDKtNEv116fll0dBY4aiJG
cPA6W6P8iDI5lQXcSS9dPGa6YRemt/yIiZf3EUIUmGTX60xMi7O3C85BicFNpEek+i8ys65UyaqA
SC8Aeuj8qU20vFJr8DWD4Idf5iBCTxbqGJB8BUwixNtNKQWF2t1s67aKUcv2wYPadChMdmNME5+g
nfmYbDgvuy69AIngMWkViARw10cIWCWaTD1xP+BbZdd4bPwSBG8BWYzM8wPKRvISu1Xf7u3ylW2r
OnAERPdk2EViYV5gt/w6X+f7mSAltHfpUU/rdhx935Sx75+M1/RhU4t6n9jJXkSV9ZVfdfZxi4m+
dLsHOd9FekqdBwEYu8/bOAbB+ulqTwZWBWyBxQBisQwxkcKNSH8OM7o2xlwV2ILsBWnTDb47zE0/
lInP8ppvxZPSchA5qCCC7CMvNwDoTO5dDdUcJkxgwiNy408rgCMytXdguuWKgk/5BYTmaehfLEQC
wOL+NLriFEfzftzJZ6+GUzfQRZBgrttsv2CUZxXX4Qokta7UZOzOgGBgQsDdaYXOk2TPNIZzQPMB
gJUUHEbElnU9KPIKkZR96hI9nhYlv2jWYeFWmx2XNdhjt/GPM18T8Gl8ZMueA5Hqj+vcHQsmSzUB
D6SXYqkgDTxA//1W4/Qy68erAGBbwCgAkDFFuFw7WZoJcijpZAKgN0vLCGL8oUk0OiVJCiE89/ku
JLX5ETs0HHou+SPdW//WA9L9ADTb/FamEb1wp5q37eamDmZjxvw8w2iDFLjZIlRth/W7qY/QJTGY
irC+KzYRUqwAaa70qtmgRZ3HaXqa5n59x9pCP8BXzF0Ri1i5PlPXCoZAQH5d+wO03cVLz1B7SqHJ
OrmN9zfT69TLHJvtRm86lg12+decFvouuilWMIc0+BvoRTVM2EwY1Op9nEHB3afw0SueqJM3pMiu
17nfOiFNs1lIZ7sP5dJt+3gA0YpPZwd99GebQFdaUq7jUBV5Ik1Nx21+mwETAZl/jmw7QxjOsZon
k7fHbG5dd5Hm05r97k3L4lUXcd5BlqD+E8xg5dNLYVDLjoM3DtNq2KSTfcn9mORlwFwWghVY3rcm
wE37Ado3QbQuVtECNRUqBMNs9xOaxmvHRvR+a8cIlaCnF2gbYKBAD2MxwSHinlcwytYQsfe4he7K
ACKC4Q47hiMLU5zLcZzADFSawUCHRCI/rdDXEFFMDf7sk/xDV2BXU7IygWGEpwOUMt3CSE+d5BEo
pHSK5QyoooKQXYElAkXaLK4/dSHCzM+goQKDEn8AgSUvQXfdhdcpPy+NRyLrOnwBCeHRMKoe1nUc
7pzc0stWbhkkYtSdxxmd/YQ+wogPAkGEtGXbBSM8Td/HMfudmj6/Jcy/tb7AvyvSjxfeIijPIIZV
MGi5nHCSvPBhzW93PD/5nX1e5rDWdtHbRde2qlQ5crdZtPHS9rM9BgjZa0WKAOVUtSVfzPKu3zYY
Cdp9e4AOw37d/y87Z7LkNpJ16Vf5rfdIg0+AY4uBQ5ARjDkkbWAKDYAD7pgck+Pp/0NlDSllV1ZX
dy960Zs0S4VFkAR9uPec79xIux0O8S2pjCp3WJf62klM5KHbKnEY+QSyhw/eIzoKP1uiWacK/RNK
RyNTHnW1wQWFog5tj+/d2AIlZewzCsditd7v/BMKObtv+iZMeMFv9dUM/kFDUfj9iRkkmDjut+Vz
1PjtSUxdjlIcbBRtOn0rg7zHvbN87cdoyX7wUarJ12PUGJm0bHzFyQDwb5E7fb0u8nW6M1x8Dfso
4Sw6iFwks9Mk7iFdFYx9I45/bMT8NJEFp6VqqwRl3xrnc/RxzHkT/8CrtnaKMt0LHjeGfqRM4J73
IhLzob0JQpwzP8irBjhCvOXBwVPB3dqxu8EbX1H7udjYMh3W4qXq7CG3gGqmMbj1gvozdLAPvEHZ
ACriknN6jvCPEAWPjS/3CwF+9U90SxCR9J3GxfIPfEvWy93q6udmnr463wKEWbpbVF63g/PH21Ch
CGB5za7w0HfItiqWC8C+ofZvKQ2OdQjU0NQby2Y2ANOTOEULtu8g0cWLEsch95/HQu1/YGABB4fT
ROO4H7ycxzNvv/zgwaYRCleOayQJA/SIP8iwKgCCoWqhY1LgTXsrZQAU109sDdIhBBT6Axrzu+FF
FcHLaC0ELqd0ArTyOR/NfqqjOWb+2O2bNZyPYxlN8YAj9tgt+mHc1nSoR0A2uB0yMuS7rqI4NLzq
LpqbFndGtCbDXEWZbbwi6Yx7rarpDP+YZn3kYSl56PKuQJoa9PMw9g9+YP192xZ+7JaGZsLvv0SM
2HiR7AHEX0JW/5lX0f2sqxta2gsXUfIDV1saVTx0A+t21dJAfa5x/lTUg2zxD3it5w1PrB3qJKjo
tMTaTOFZVzbAX1IqKfzAnVsVmFgLwND+VPpJrtV5NhL/VIKNmTz/bhPhhTt7ZGuDdyMHDrSvwwXt
S8CqQB59x/faKXMcPCxzihYt18alGwlff+BwYAimWAbRYxsu57nQt642JEZPcahY8SoAwvoe1PJm
qz9BNri1wr3p2b78E5urfKqx9OUBZ153kIPyM3CKOkVptCQWWn1CFlSpDsdLvOJZxD0QJRynIwjS
zkE0qHX+PLerzjrTvBCvO5uCRQ+ctPnRTfiTvaZuB+F8SKcias+Ai7sj6rh+DyiU48IJp1dUq6yA
oVAZFIJyOA527mxCei4MNIeV7cQ21x1kHGNNUkVdXiTbMuTvvevmI8wBAqawc7NCM9rlnyGQrlMm
AeOIg88EbkXR1LOfRWUPzHiugQZGKp8fvSqnJ75ZghLGQ7QAatWzkthEuXLfPXxpe+fPa1Yw7i4m
4Plu8mYbQWlypsbZwYGQcT0ewna2BxGM5rsmnrgZoWQcR79HzxWQaQ+iCfuPqs018VgESuKX0KjF
E5rTpJvxNXsbELDIlzOPJw2bGTIFwFLQnFHFTrWp7S2n3vTBkGBo91VNcGRT4HzkGJGI7FWk4JJx
D06WJro4NnqpsaOiOh+OjcnHJNiYvfiW+peN5tE9tH6nHrtqtetRjxs7bwpUKR5wM9ysZqD7Hhzs
XUVQ0ew9cL9NzBquYaVB6YJS4EgcoKE7oYRYs0GN6/cyD5sMbRU51FtLIB6yjaZSjB6OA9Dhnlc9
CG9zZ0XMc8/ohqyAKF61WYI055W6FINvn8hQPLTbfHJKvtDBDvCBUK66YOA7kLUg1Lcdvm900gH7
7KqF7novUDEHBByvkrwYUz3kRX83jUwlbLL3fCJVvAp5XCt6x1ezq1uWtaHf7wMrvuqquyHoDebB
+2RWAcJzHW62UvtZFbRvg6kuHWnaTErlEgLFLA2MbRLamwnt3lpjlQW494JgB0cg0+hEU2Bt/g7F
6e2kAGyHQfVxmNW5RhGZQGcEJFxPh8C1t0Ed3XihyLxhlfEsZwePBIqiyaP2gYtyhLg31ykpfB+3
ZFRksgWe7En0DRXfFqBvIbupKVGXCJ3BRTQUbDdkhTYeXaNw6HG8O7CvHXS7dkz7aNLnpYQqZ4zv
33k+rxJaz7dzhD7Ng1qMx2JEXJfePtDteeLwJbf5idVVVhTdw0DzBmYJ/E84vQeobnUyKu9Ec/vC
upEnZKsBDMHJzgJvxCHIuTp2ATMonvPjEnQ8XgPvPhq3N7v0UTyv+XPFcP9yOn7wBu9S1QCyO6gs
ieVdHgMt3FeqWVDmjXdTE+Jmy821qbhAmn1vZ6znML8LS/NQrTSDbb4vnHvUCxexaTqYhiHO9an2
jmSi755HT5CKi3gLvM8kkp+IotuxUjC0Bw+9cFuDaQ7PLnC3Y+Eft1K+rYvLpkK/WE0PEEzTgdoj
L7d9sy0FWKEmq+Rw2GxbHfOc0CQMl1vHy++0sDdmW2911cOYFQ84dh5Cr3gpwv67EPqmhQZQMBQg
tXGXntbNvtrQmbhw+D7XckwiNr/iu02jQeJqlxnNJ3yWuXlzsnroXd7FvPGOXE9xvpX3wIu+du2c
eSvD9rM7sfQH27aQZvHdCsbSqjXpvNIysaJAxTE8Uq9HBzlm28qOFAI+r9r7hfInrQTIRAG0fKuD
+6Xx7qDU3YZmRq6Hmy+153/QQXmpXX+YbISLWrzgzLepbW2fbOs4Jt0i37oJ9rEci4Sa2YfYGgYX
gvYO3Yhr4zz3WGzzmu7HHPbZ7HGYq7hgOxJ2r3aE3E5aO8TdgGKx717wBC+ymm+mbUpGuR6q1j9F
MyqqPl9vEJLYSd6datlnnEM72YiER9/XCBA438TY+W8GREVcNF2xiwo+xe1QHqEuxotoP1u17FFU
vhTy6oS279oNd5DEzoWevig3CixK/VxXQzZsPBvW7gLg/NJrBXTXrikEwrT2qjPq009VUD3oKk/0
BvXFjJ8R9vBiX0TYeLS8FnB2z5ZNxQZ9lJ77y1iWb2Gnntt6UPHa9MUBKY9v7VxA4kYjiHKGpJ1R
R9lok6g1el9t/j7WYtcX5TNI9M/4oNUpKNY7ZbEwr5WSn5/LHE4h8ZPVeF3CNGcZLb0yE7R7bmi0
n9em/cyNiG4mo4bYXmsWuhBszap5WGsLmlF1+G2xltm8IdqQQ/6gtL1Xi9s1nhclvtI7mnfPdWBf
ebuIjLb9tgvD4GvYBd5+soYn3SDaHfeKR6g/XxpP3i4e8dC3hdeCczupnNyCXC/jZe4eBNSixPXI
rJAFD1VMD1O5YnW0xfO4zB+wVcuD6qK97OmzVPo4bbqNh9VbdmW4zXK3Nna5EX5UvRdAy2/pNpYm
lvWoaNpTWeMrMex2yju7w2OhN3BTIAnAMkI95PcJTIH6C59nksxokz/IwhNgVgiKfpZv/BxAXn6C
X7M98tZtt0xPNi1tALGB53J68tREjtCx1rMJ/OGLgpo1Jkvf8Q7VST7v8slfP47aFIcejf8p2lby
cRj48BmyyvvcO8gq4VV0mcsczojALV4qH/9r8iR36n7QgEtK6z3LmTX7BrdxGwqdhEgBFcs03cql
D4HEdBfR+dDsJ0eTzSega4zos14tKfFCKMMV/OaCYpfmPo6BIIJQHmGbQO2YY7QED7zmN4QNT/D9
sExD6XZBU7N7xdiIEJD14Tr1OsXjgnfdB2tcQ1OPTR/WMRTZR6/tJEKPCGtt8s2ZYMDDrz8FVfje
oj5OprIWCevmHlZj/lYMZaplaw16n/U9UOEHV0rvg7DtHkbSkPl8O5jRf8wJeR969rUEwR8Fm5ey
EEoBn+s3tyKB08EuSauetnGXo9QmcDmOSEAZuGrozweFr2+d2REhjeew9AJoheOHsfbOwCgudiZ3
Y09dWhgbHAqro6QBtZMGuNTjoTQ69pRVMeI+O9J0pzBC2sGrcND32wdoFxcTDp+17z8p0W8xmdr3
LXD+HRnmA+H8KV+RC/EslPuV6WPJgiPDoltdz+NyRQ1jcn84CAgV2cRHxFVEp9J6npHv4Hj70Eru
uWt7cDodpDM4SJ/8a3RBNCHf9dSIb22vmrNkE4mndemPuqDlE+sW9bQ223wjKDY9lct6kWOuofZ2
nH4LsJBTmEHVBbaRQLJhCFrkA/uogThcVk9zT4s7MnntyUYW/Z71qYcDlPf6G7w6IAaLl/vv0aDn
WPYR/D+s1gRhruU+0KWAhD3RjBlTvBaeYucR0MiRbAxrPjBrR3a4fIM7AVX26IUtv9/GgKfLspU1
Mn61Qa+tVx/bqVo0FHa8PcqAHVugUOAQ5ZpByII606pxeqDrtEKk35CcwhnBwg7qIfSOWPuOHFc1
QObs0UGZNaq+D5HCJc4adu6ZbR712jRnNrfhDWsdPUSRZ77ThRWnmbgeSSngbnGpaosXJQ3vbt0s
PXxNpXyuZbEe663pjxErlxuS9wJsMrJjEM7YmOIEJB9YPQE+64bgKj41dyNtvX1O5uWQs9buCR+G
U0vgldmiCQF8RYaledcFOxO66t5zHQ7iSox0TPCUphfDWvYaXHsuKzs80JmhWWi2EQKCJ9TdjJzh
kU/jlC0yUCeIV/5uIXCjYsPmbic3lL21b6ujWMgIeqenVTq3Ene6CmubBF2uj7lXeIlHpVkSv1j4
qXcl+25E0VLgaCMzCR+jOiNjgVocKHHUPhJtnR+D66Jxv6EUg9rzQuDXyGQuFvWJzH752oqxzgyM
hy6FeQpFqF62rwUc13TqNXtorsKuIQghyppVb6WGwdlHlX9bmdWilpUSNQoXF1qFy/0QgPlLdddW
QeZD+dq5aS2y2ooBR58Uj264eBI6yTXDaQdY9ZF0NdzwcLmhoy0OZB0PTa63Os4b6HUxyIUqLeFF
6kfR98Ls8rGuyswr5uYbyRn5mttoAXIX1t84C3KVzk1uP+VQIl5nhnhOPLY93+J5U/K206wkoBC3
6hNp6vVTU/qtQNIQyPopcJFnd9xEw2piEHgt0jANmoZ4XgI7Jw32BITqblgK1HcDwT0RzgzhxB7y
JkTIzengvghLnAVBXgzLYWtLFHq9n5Pw6OhyEOoqF3a8nvEUS6pOIm+jF4levU0d1ww8BXA5k01t
br09KVwU7MLphx/cLKiklnGs93qaHMuQgxl1qiMIgLEVAKsyNTSw6+toQRk6IAdMkI4TbZEUfSiL
AyAvfUNWWY67kc/jOwRYW6eGWLg00xiNETRc2n8AuYIbRonCK5O80+uwG2nB5I2WwJYVwfWXqnDe
QwEOySF0XrU9AkS5rqayo0tqGNuaGnpGQ762jQeHUnoNTloQ5hPC5maCiioKjlYWPwS7wYLhKkPl
GyrKKWc1AkIcF3Rqm4kHWeXLxpxKXLkSNpMw/W0wF1IBd4MO/FmIWovbpZ3W9dbWovloq2lZ8a6p
hjdCJuJcXPRiTnKgGqZfxxZGSx59o40T3/MANUW8QSW0p0it5kGWs2cSC7EoqQYwEIkn2w2aCWiR
KWZ2lN1e+GMzpzYv6jajCzSk4xT54zfuUVgc/uY7P9Ul8rhL5BCY6WCjRnzDiTHW6otZgRFm3RhN
ERSEhoEGMVHkHsmIgtpvRzOdJsrkF5gcbk0A/0xrOuU5ABw/8KS/G/y8vi2iefs+1iua/sDv/D71
ckxc2PvGC2VWrnroUs+HzxGPalJl2i6mO/PF0fU8X5GRPSrvobq2ZiWa0UpadppaC7UMa0i43eJ4
COQhiBAiPHNvasOncM5DL11WZS4d9IwiCwogFYkpdDFcJsUKlrmIAUgIp2uQcJ5BnZyH0YvEaapN
dx+u+cYS5LROI67ZBR3WtNZPFWq+4ZZOxYyCZvMosJ0gxzKE8bZ4KOsbCR5p9bsej7PauhgsFMCR
hUc4iUmAQiEjc8PMbg49glgtqJooayrrfSkRTWPnDnAOlA8yQ05qc0Ts1i0s83gMWpZIUeGD9q18
mL0WAAlInWAGYlOXLMEKhgxZqwi2kvHzKE86t6xPQINsgbbLVS9yW6l8cMWi3yux2e24hGXZIy/r
C7IbAw/tvG8LMLQVirb8FXMSVnNLSquunGJkVxhm5YQ7es2ZRRk0N+Zj6F1LII5IcoUq3EoI1NQG
7k0MwleJL5cyhFJdDUESIhPyilqXyRiBxb54CBq6fV36Kd+Qkc2B34ye2j7UVQDn1OWN5DFGYEzv
pN9MnShTQjMcl5APlw5s6XfYn0jOtiX+YtZFm11jgsEUrxs1BuVX2OMy7aBm1Am4LG/95sNF6ncF
6Jpw70dzUSZ+KZHxK3oEVVCHV1Vxo2nlvnMD2uHIBs1l1nZ6jmJkW7fmFPptMyR66cBSNaLiejdH
YxnEylT0deYLd/ueh8JlIRX55xIi7/QJMd7R3nReRYe0qESPczwcligZUe5AMPaMd0Zbrpo4wJph
wNJD+9jMg3/n2tzUSBN7jUitG9opdpMGZ4PDHC01cBV9WAFDAZEFZaH8ee6SGtwxnHCHvhC1nmHi
jMRnP6Sq9LW90ayIOI7FAccnzA24FKMOCex+ePpNOgHZBRNcbnzd5XPfT2/wMOXnHEYjdFWi6Rdq
Iu8tr0U3p5HTHI0+FgcC3V3Eza4Fgi0eoHiwOvGFq0sEkm3Iz9XiDRdedU2VKGU3Cg+bA2wevQUZ
cpy0IzuNERqIdAFiZtOxKUSPO67d8lSTYHIJNu9YnluWMyBlq6hvdYEfnMxADKj03tXwp6VcsS06
u1xQ061qxywD6KUaTw+nEdlknpKu3VrUnawuzxbyyBbnMhi/GNe3Ztf0eWETqx0TiYOR0u8d67na
l6hRRnyabfkyYv1EENd8IfdU1QCmwL+u3R4Ybv4e8cIDrzwURu69iQ/RLph92L7AmntQW8PaoA6b
ylYlizLBdWzEPNz2kWJ11ldCII0ZLdtlDDEkINFWh1U8cDcANOkAoqCDbn11M1AzrhmoGZwcrBq5
PW7tiBz8ipezWZBPoUsMfldkHKqgTcKlHec9hiEEKzpu5ApuyhbiXMKp6RTY5R68wEvduqtu5Dnu
krC1xN3oigqvjCXXBTaTCdx2R0LeV3seLWK6HikUaWGCGzv4NzGmn0MdSFBBjPMJch0CiLQkFOTr
H2NMQCdLrzElRVOVD9gNoyU4mtiw45PXxXiS9cH1v0PEPwWB/jhH5k+prdBHmIRCjGZRCA72l+gU
YVxBmq9ZykPjP4YSqiPreyCpdWt3kKURMC+4S2s8iGQRA8KWfwB8/xZE+uPrX1NhP6XGQh9BGQHz
k3F6zdP8/Jmh4pWbE3j9sW+2HVHlfAipAy/hY+zEf/5SSG5FQobggJGg+fmltgWFZ1d2LCV00HfU
R0PuAZhL66KWj3/9UuT6tn/+WBQwMQ8ARgbAG8Qv+ZxCYXfPkFxRZjiQthMUxaJHgSnSvPf8czVZ
CF/1gBLI4fDtIMHHkx/4/yay9qeEZYi4kYQU7eOygIjwy7tAtW4mnBosLUZD32sUpnOy1p6Ou143
Dxbt2PZvXvFPSzjEZw2iEKFOoNrhdTDSH5cwmuNcYU/iY7ZBGbfV/A3wjZ8CAv5QDv5DXwAQ/OtH
/ecFxBCAEgyJPOiHkl6fwR+yf4NZS97Pi0hhyzQpStItxmySEHwgUh1//VJ/epw/4tRBEDFkrhhS
3D+/1P/lwUa/Jyp5EFLku2TEEB77+fX+OeJJyZ5V2e+zm1Zoi/8uOPqn0CFC4oThRkZ1h8Pn12f4
vxlt/J8EqqWEukeREveRqeO/bMDJAY5fC15ljRFs17QV3deE17gSbJUMkI6SYpBbjHzlq2uKPAPJ
0SAN05QJQmjXjmCFQR1iAsNff63Xr+2nvYqm9o9v65evtanzFdWTqDLXlIA/aoAI22QKbEsPoyM2
MWLURVHd6zyi/2ZB/em5/wh7BtgyjBAE568//8Pa/euw57884n/dIVziYJcU0QisWlTOv3w+H3qF
hslG4N2DkBikWi8t6jxMdMrL9K8f5a8fCPsPKUeCOwVzvxhjv6zYgYFuR/deQXYmcMq2oB4A7a9d
uGR//UK/fiasVOQrcHNgOFQQIcn985OzPugXxJnKHVkdHW5FO1ePPFh9wD1gTubfP9b/j8v+j78F
X/E9/utUzu238fMfMzz//J2/T8ojv/lhiKtV4ugn3L+e+n8Py/LfIoxQoMjbMyYilDb/SMviJ7gg
UXWAceeMYl7eP3I55DdE869BWoRoUBWgMPlP0rI8vK6Gf+5wgcCQBKEKZh9FjrxWWD+vlnVU8xIi
apACFuB+ysYQAvpc1YDZpA0nnQRaDp/7tl+8bHA0uI9I6X8vW4QJAFeAqZ5z2XXjDmLQeAosK+7X
Vq2YHTRi8Avg7s90XrdnZ+hk0FxAU/R5t+wwJSe6myC2u5Sr0GxJM/YuCeawukG7OT5RQjFSBtjA
oSezSlvkHTNAoz3Kkt6yHYYB5V862E7fJIYHZiyfhotZ2XjaytG/8ZpgvXTdUoMgBNTpF0X4hvxs
uFOY+nMZ+0C9B8gSoHRfxw+E1eoStG2YzCGHm6EYSJa4KBYH542zWxVId8lbgTwEjxQsXg4bT5kB
9ld1nem1aH2cC1EdXCvtN8SMEa6kvHqBPgQ9Tw/lp1VMiF+UOaRNVD23U2OCx6oCM8G0sx9NvgSf
iW6hZbUdOv4N2/q4Rl7wWjvFtszQsj2PpOOniir9hIF4AuPXuqCDSdwX+xoBoKMah+DGq4PtpuDC
qbhb/OYbSFwLdAFQSoZgGLBuDUzrkfhDeFuqcIuQdvTWe4UALlBcoO63rsDkoSlsQPoVCJGleFjs
Jpprc3KLnL7KCdwk2jmdnwBwmr3GaQYgawUuFjl6x9TU3wUUqrg3df3HZt7oQwiY/wUj7ySkaR+p
JAMDqyOu/ogwV/FgtDZf62XWN1tU5nsYa/I71/WMSMoWrcCZ6wrOSNOot9ALIh/QMJnPaFwAGue1
f1yniB0VJp48zR7Wb1KMfnPCBLDoyOU8QZec5yc8CA+mxegvByoJedwwMg6z4rZCfHHWi57gPCrI
T5Z2bcIiDJxL0An3z/6yLbu+Crs9RhPCe6YgGZEQl69NMS11SpnZnkLkoB8QxXH3KIggi9RIg2Ps
2yjyDDUnBeYzeJCpAGFOEHElwip9MIg3WP0sC13XnOa1MIfei+AnNQ6kAkIp/Ru+ffSEgGm7KS7k
OoAO5PShh5IVBwsCxmDzVX3jFXXx2DeY9QSNMUQh7QhiIhzZF3NjyoXsVhCxL5GN5EW2TYNFgwYW
sE97NS+EuHDrB4e5qfTJmRCDtmDasYMUvDJgNzDuii1leSBNOd4ZOsqvEqDKri788LS5gmFuBS/C
05JjCfKiYixGeQLXOPSh++ATF5M/lN0NhkIOu2X25nPnwHZ5VJNTjmVNbloCKmnTfOMYKedXKqG8
E/eLJ1kWRCX5ShoZwnhqsb93iKEEj/Ta4ydIm2OK04gQibmBoWLxmIByfihh35UJXDYY7bSfP3IN
Vhj9bWNzNKJkbEAUaQz1sJsDlbLJEYkK0+L9FujuvyKCAqMchsz05maN9CxOg5DGGmPMPhnwJ/B9
Ro3hZT6zZ9/mpUR2nbGjE2r5HAae+cZb0T3j6y4OyAQp6Kw2P2PqIfoKrnryUMKZJljPXfOO6Ply
KmBIngMRsh3xiuBjM4hmjNlMOge1HT18TAW0iWTeMA8wnzGfUGktztFokMJGPvQIOKlKoEQ0aQeT
Cd7UVC8owRxs0WD5MFNSPq3Ie6VgttrbFTrMaeaV+LRWIUtax+dPACYN5jLqNaAfKtd0sF56jrRf
7cTVOWkW8okqQClLAq29854BTSLVHq49ARcdLuthEJOq7qDDbzqWrdGIfrNQb5mE6dunBYZPvo3W
A48/1SUsQg3x7gH5tuZku7XHZJUpso+zDMh9D/YBmk1eRS9NswK56VdFZIz5kuOKc6UtXzC/UxEg
OXrIIiWq26XHZEnsgxHnUNvI6j4fuPeNDRvgBzVDuUjLusf26Qp/uAcfjgDaQMQeIhJFFKnLJ+hp
xVtYKYlRqBi+hI+V49apbJ+DJUYqFXWtdP6VLWHLWdhaIq3Dx+KShwOcdoguR9kN+kJABGypI6E9
8TysUzEN5tFNjO31toQZ6PkgyzdIJ3yrEd6o1upclBQqsYCye+NVkAdBTa17RUN2hDUoj3VQwWnx
KtvuJih6+MUCkDd47j4N8zm4gfripatplzOdOazRATmTtRzrS2SRoQ8EGFo75jgzSMe8HQ7P8KYo
YMSXjbIHGGb1vlddf2iJ7shjo8MwjKPOtXU8jAbGeMNpdG4W13j7Wq+2APZvK4DiYAFBKPmIHcPg
8TFdTnSFPUP37LoM491m0JcD05cCMNHHZpnsFndW0hVchtVPkrUa8yEpPohZfOzRpWG923l1Sd4E
o+UC0bwPm32PuCbI5t41+zas5XuY2/odj7CJUq3UhDPWQcgSBvnIOOrdlkLwxrLNtW3v8khCq0cO
/zrRUE/Vw6BWnNxTjYg69uPWHETd+4fGRKC8uhzfp83X+W3ZmEZCCAM7rqZqZ+Z9PvqkThFUwbXj
gSWP/UKjzIDcl8ALWY7BFpApI/7MH+cJ4bs4KGx4Bo6MMX9s6t0b+iFikhrZOvg+Q8Ra8BdhMaWI
2kx3tV7a+wreaoDX72AGRCbvigx649Xl7EZcJG7K7xsMkoswpW9EMrT3lk4mSERN5zHQ0QfEzOr3
QuEzk7Lcvl/lCxz1IyB+7pa9RcLuceNd7yWhB9MrLtq1PBVbjQDCj/L2Pyr3/x8N1v/LodeMI/Pz
V1X862etv/3X12/6v5Jfp9/87Xf/Xs2L39C//X3szXW8zT8z9pCRMHwEWwdjkH5odX/L2IvfQOpi
GLV/VQ8E5mtBD7O/j71mv6EUCAVmX1P8B73ofzT55peRWijl0b9iOBr0pTAkAarVn0v5oBiwE13I
0vnDnKrDdsCYtFh/Zsn/ykC2n7vM318sROMMbRJT9EhwbXf/0J//n4iTXF7f+U9Nis/RmgSYHYBe
yfflL0ooD5BwpguCluPa1Cl2DxBdL/R2HYxReJn5nKlgI3uLGjwbCnDrQV+r96L084uC9YxI29Rn
IajKDG0XvEPhB7HYcsymdQwZe+ee8J2qPaZT19mEAZ4g4ClN5nWZ7pBQio6RrZoE6S1ASRppCvC+
TdIq5AFH6KmH4L/ZO6/lyK10Sz8RFBseuJxE+qRJehZvEKxiEd5sABvubc6zzIvNh1SpW6ZbCk1M
nIlzZqIvWqESK5OZwMZv1vpWWut76fnoZKbPRhTYjepK8J7SDAzMpOagrWe1YRvRr6Pc8bZDK9TO
SnX2dEmc3rDriNeMXLWV24XJxmoN61TbhXbyNCF2kZO7J1fZ1q2c/QmJxtRfl63rXRUsQ55s1P63
Wu2h0gy9PjduBGjLitMdHykPQhv9QROPzl5vsvm7jzwlDtCbIa5z/Opb58bzh5OMyVNe+jJbj72y
H/XWw8UdYqpkbeDsqnmOPpt2ToogN5x+IytoMEgYXcXGUG/pyEbDmc+TN1mH2k59qrDM3HTpUH1n
YDV+UuZ2sJHEFJ9Q1yDa0xonQtfJM5pFVhvrKyFltrWa3r7XR9N80qCU3k9GPTxWfYJvvJ4htlEm
NLRCefqK5X66K8aSTxFOkh/4cT6v62n0FnycUkPQTVI7KaHN/R5ag7o3IOG0wFCj8CHV0/qxCb3u
4Ntat2VmX56abBThysFm9jYtE7ZcG5x7C+XIGUtHs7ZdK9z7NBwfpWtq+xr0aB4kHRBm6YXGXe34
xb4EO8NDD42Ou86l1Xqo4WWuB3rEFFsDxoqtP2+YwqJS2Gu98o589817wZP+Zc6LHIyQUQPkZhR0
amJn/ACcpAUm5r8tdut63Tj1wMStGGmJoK/SXaqgFlB8cBfPaM7Y2FsQhLaqVAawXf3Zb+u1VNaw
aWvZ3NutG9erIinCt5Tq62saxdpLZIzTYzW2xqfNXKALAM2IZJunqr6WoHofzLBv9nnjx29+UaEa
0HxVmDetFYEVMDIfdT6tD5oxj6uhZv8Z+hshQgda6Si6nVADW5lqNDGxx1TeHeoIq9pZIAW+lnpI
EYaHnkF4qcDq5BE+vNib5ZuMxVAGmVNRAicx/tK+ZBcV+UXpobEGxxqoootAxbfpsPIHbrmgxG28
BkRpXU+idr+oDGn6xkrDdA68JPLPaW/XJ9VTU2mlad8xbdRu4lD3yjVeYucBh72GHmDOTX/bzHrn
btXcghQpEnQdoUrEJ3aD5AO3dvtQOlX2FNX8E/wwUBu+ZuHILZGun6dQL469Z/KLllnbn+Nw8m6r
pMIdK2ZjeGq60sKlZek5S0kOs7tsWjpaPu30QIiCjcprBJubZfHO0hzjPplVfRxxsh1Nu9KeM64t
nd+nr75rxkjDos2RWKO2iWq0E9D9VQRLKuxs7EN11NR3fj6037qc4lcoYBPQpNUX6XglgIApSddp
G+WBor0sNhCfc8YZwkFzczCVLz8HDfeMTBv31kklEr3Q8scvoWZpGxPeO6rTxcshZjCCMWJcT+RQ
n6WVHZrakCc9meWmRC56VCKDCDDq1SbDtHwXNqG7i0yuGzarLWechPirIdrRbb/cG73qr9oegAFn
wSIkj0tQK1l+bym9CnzMh0cbyP4VWPivTc8kpXZwZHa9K2mQURTGMeIa9IAofErKphpky2GALLYt
M1wCltMlW1XN8doMtX5Z7eJh7iVo/pyT1hHpfI0wwNqUGeVebYIzmyLBhFbvureijKegLvueVrSy
T67V9dfLKjYYemEd3c5yN+YY2kczlnhTTDUfah+xH+oI9FNlrjZRP2L6hwWD88Yv/Pg4xUXN4rCl
F8pHoFhCGSsDlc1dzwOQ8b+hgK6o/oBqkaPGdhLtqqm66dFx7UWXKJMbTNjmtYiByplRjwO5HkLU
vFIcTJw5uyhB3JvmCYAAUXtrOMNYCeauWePWtDczyoaTmfeQnCmF72tXZscw4bhRqjf2Yxn1Vz/r
o8Ipzo+NFmtvHXttRmzOsOHVwa8zMtxkuaU4das7c7TdFdOjFjNmWT2VWTI9N4QlYFkyZ8bbnqDD
LJvmsY4SvPFt5EEKYO61ynBZ3Ihex5aMv0YP4MOoQGtNL1jEV95cMYzoUMTvC/hEp7J3fex//Wze
JCYAgH3tSxD3F12W00vHvdLqubtuXDbfozGxnQ6FMTBh4x6FbtNnZw5fG+tMg1c/7qLuKEvbPLg8
JdATpOWI7GrADWJK5KkCjaZXCQGCzm53Tc4Dpk+n9BGJeHpO/Tz5ZkxK2/DvtNNYhOXd3Mflkzsl
7t53o+TIYfhNK6ri2ekwh/glopwU6BpzrTFT69bT2mDKwJ3kAC25fyk3WMpGATASnF4yo5nLMlND
7O/jNKkcnCxw7wNjZmgTI6PaTiATtrpXaCvoIFWAv0ZbxPvTl2qQ8dKXDviGS+ubN5Txd9zZ7Xke
xAJdSPUXbWjGqxGUwAnlFYdt7OnxO86gQsMPmKLlMKxyipD38vUHHhQP0PNy6TGzOX2e0HTvauBw
d/B6Rnj62cCTZWbqe1dg+vpSmYmxS8w+2WuT4n0D7nGOZeiqLZYz/+pXJfr55+rv19vxC2P4n0Wh
Z9kCVuSyLjMMFo4/F42/qkDDugnBiTc5RNeyXzWP2aZ9OkR7a5NstGDe+XfwXpqVOoi1AdK13e+T
7V9RbJeK/1eF6Y/3APLXFijulxXrb6vgeJhywAKSE9hPg8KLdkBd0IPzfwrCwH2Byzbrvvmavolq
WjuCMBAwMSWJt2GS3hVeiG3qqbbuWitfVxEWtPDKrOutNOa1tJ+qTP+5ffu3+64/YHAvH9qv3vDv
xv3tgDCdMAtc9DsG+uND+2TfFjfWptrlJ3sKNivtvTp0N+jTHdStgbb98y/tgtX+w5f2q9f/Xdvg
V2EKLYrXt3G5oPMPxKbcxrfOgVnCc/6OtWWn9n/xmsvf+WevuXyJv7pQvAaUTWUtjK1rDJNUKwCi
E5C/6X1zU2219V/pNhai6h9fcCGtgTJfZA6/a1e8VNbZzHoPerN224E33vbbaQPsY3ub7dsg2vg3
eJeOqOP3gbUFQin26V+sT/+wj79oR9gfIbDwLMhfv/2dS3g5CeM/cKXuyanUpmbeYMcfsp0Of/7p
Xhbgf/h0f3Ub/u6X1flsGyvkG+3W2fsr/r2dsWl3/qq6Gd7ZKm04sa+GtQkXfH7uGPausvWC7r68
i781lvjvDO1dtsX/fgv58F527+XH9+aPq8jlB38ZXhg/WYuyAMD3hQL4q/GFa/3EVpq5M5Bey0ef
wh78x/jC+0lfdgysiJbssGXA8I/xxTIMcfjrmNa6NioTlD6/wIt/nN9/ltoFkOk3tw2AQHcRdDBe
WU5Sj2HJb69ZlWrmHFvFvGackh8iUXKvjpkTsQ7L1XXVIwQya+GpvU6Vfzc0WXaaEaTTXUlVPHpW
LMBaJQVae1ZQm7x3AFjRnUzUh25sDtvccG3sm4az4LWSnagLXsAJbYGTDNEozTjJBMFgSZ16R3r5
tV6i9sUB2KfHqbSzwFddMewj/G7vbZGmyZ5Rb/ZkTAUWOnzzmNYZUn5LiaD5wLztXU80ACevxcUq
Y7z/DPc7gGMAvtDtNZlXPBeqLzdo9bECxBPmstxPZpaPfo8k1qqURxdoKe+6ErFzD6A9f5rdqfw0
kO2h6YRw+x67aXtE7e2tx1iD2tVXNNt4LRqmtItp05HzQyMH3OR8XFexXU47FJNwEDBBSN6Q5zrf
Kcqd77lnSobCoTQx7qTVOKzmRDFICAeDufUwWG+gJSxkoL06z5qmH+EDu98Li0i1bTiXOZ7PGtm3
PdA0oA+Uci3Mub+Log477CR1SHwuEVpfkKBmmLYuXNrY6x/cVHXbsXX0DxJnum+dsqvrcrCLg57z
B37q4EZHZoIvvRfVEwhYAM1DX11Pqtb8NQ1PwbmG2vu29Udk//0o3iWNRLuyrKQ1g3ykTQYb5AF6
Gr0n+IzdKyovSe+vyzcSl7w7j6+yDUSoYUDREI5/ZeGdoXSMRU8TqhU3fhGX75ZtWC5u6358c0rN
uUOOazP4d/2vjEAw7VagAeAllnsaR3mtJ8UEXwpCk+/RJE+DUHe5maojIr7o2u+i/Dzn7C1Wjl66
H1UOG8dmWAFA2e4OChsbfW+4TcZc7VmyA26r9HlfNa0HVDTOTiiaNRyaSc1suJrJGonsVwcV5z5T
DQXakIW3ZjpK3lDafYrSz3ZmWmvY6Fq6+5AFZCTog9y+ki82OGCP3WDWW+sJBfB+mmpgU0D/ur3V
mNq6BHUIKqQwcUu01KnAIsxaW6V6xSSOVCN8SWCJUA62TmXcWXWqrBUjlOGDPUv8FsHHOabFnH3V
fC+MmV20GNjnZSlWjxCk2C6kxjUUNPltAJvGvmVEuEthqfR4w1olZMVcZxgxKfEBROXunNMvOEwg
QG9AdVn1jaO9erFtXQna+iEole+8SU6spX2vpvSA69k/m5Ws33Q7HK7DLgnvjKnqX1G4RsUKBV5m
BKEA07ly8Qxx83CPr3oiCXcyU9ZLL7IebiC91Ksyqxi/BUsp6CFguOcVJg15woLDJpwppEvRVJX5
jEG9mG/GSwrdvATS1VURPSb6klJXN2nurd0iFZ+JWWUwjZZIO5O185W85NwJ3Fgsztv8sWM3+1xD
wQa3W5SwNoSZPs2OCp8qu2GZ0ywperWos+fSjUd5zLO8f2lRlVdrIyrtd9DN5Uvq9MUX1t6QDhJ8
PFRcZJadW9LbBjxxuqkdcpqo5mj3tsQ5WiNPv8HBkPRrPHYpi0R/aQfIqsPhj1x/eOn8meV25g3G
A6iilnyqkLQ03BEz9nmcWI1HspqWnnRIqYCxXLFNRTx5ga2sQsAJ1+Czprav4RVLvRf0X9PW8hoJ
HIp9mg0wtdHhIAPiZnGrBP/sVXaFd5TrHj2FirXH2LO0J3ytKfNS9IgnsyJljb8zfJFpRTvXWrFq
gnTyuq9gxeczkswFwzGAKQZZwOTXzF3lbBk2GRA+Ct/loVFymDhpVd4lKE+dNbut+HYc8+QzGapP
Ky0HEI1Q30ItFxh3inhjFQgIVl4/al9jbRjS9ZCqcd8lU/JKM+/+XLb/rfLmv9rW5WcplIne6N8X
LgB03r/9z//4F2ULP/ZL2aL/5COQMjyEmFQgiDD/sXWhbGEnYDKzB27jo3Gl8v9Rtrg/CdvyTN/R
9WVF4ThUND+2LssPUZkj50R1YqDHtf9O2YKe9ndlC0W+ZztMBSwkXPxvKWt+1V6kZqFNxsy9QipW
/wpdyb/CGSCebYBa/rqzkOXAsKzXdj/jYAllFd6wz8cgm18UDXPEanFh75osakhAWo9l6NwlfvfI
HhBRsq1lKH6U240HpUr8DI5byN1IUg6pZ0wBvrm23l51uYnVvKj6+BIHKAJJPODygGwi/ypJCH8D
2lrLXZd4pk4P3zi4/IqJe2Z27NeeTajJGHUy6Vf9COhx35feJnPs4jWphvhI7cbZ0RZjlGw7Nw0Z
C2rCiDdJXhP+GFbTRHJiWG1U72hfozmEmFVZoW7t6UGim4YPblc5yruK/QK7mKwiYvJqij1M3mEN
qwwHCmQvuyR/rDT9q3aY4IeRXhgT2hLYxQg8EB2q3FRFWt9n1H+3c+2zoUmqRhL6xdjDtEdsTibw
mImnl12/C6fnpXA26ttWdxg3dqMbnlgsAJlrGmjvcGCIOrSwtKVJGx04Z+R7a5Na4tdN/31ghP9Y
G6PFw3wOzzgq5ZVVZfa4iStHrCptzrDixuT4lV03XRcDPJ8MoM8erY3L80JpRzI4jc0cjx3oT9fp
jyU5k3iFGhkypgXQla+KJU9gyuqYcmuahlcgJcZN7xeMWbKuNrZEbbRA+C7hBEo34hR0bW1/4o/G
4K+negRRhwcr62e7aa8bTYXFmvIFjRLAC45pbG4QXRkkXXkpUy8M27b+EmIuDmqeTjdqrqpd5jTG
oSSW4W10xmEzs2pZAxa01rhyFCsCVz+HY5Q3e0cDQRdIRW0XdlL0q0lHQw8iKmVWbtgTijaphc1z
XMVAtS710mhOxXvUG9mVKK3hC9TX7iERMyPHpdASZUfN1Zpd0gYJV/ZtL9vso8PYDQmBQg3Vs/dU
LcUbkYTRxsJ/TybH6CHxEEXfiFUX2uHZudSADMw5wqdZWrejMZcBWq7qqRe5xHddUkPGc9lti6Ww
zM0pOiHp4k4alrqzHPkTrXTduzwSQAWAxTUrv1PiSzU10XESkbxCugD4aF4qWnepba1LmQsTiHsQ
JH/+oumxOhZjSPKiylTEc97J02uWXsa1hoxnTSxdugdE0t+VmBIpq1HpQmuqFREYfdG44dK4NJ+i
SuZP8uEozfNwnpZzIrxJlqpdJAn1+6Q7W+WE2nMPT+oGtYu6dsQcUXF0Nt9poeF99HwUN0U72ljk
lm7BXfqGcukg3DkDdDFNrhbElxajFt1kUb4trQeO0G6fL/1IX+r6CztWwBveRGjzurk0L8KAPTsv
HQ2I1vRELizOdt2Zym9+1EfPfNN0QWSP5U8I1+McokrXfwHWVU172SLJqkGt0qosHZWr4IhbSP8W
RBVHa0AEpc+mryk/cgvn2QpEI6uNPNPiXbj0a9nSuRn91IONsQfuYEbnWYWEq6gYrIFy9i/Nn770
gWz+aAmHxk1PYg6L5znjubGzU0UfsvSReTZFhxz8Ou/eFeku4vjeuHCYn3MLc3ZuCWLasjHRvtqX
Z3y3PO5V2+DU8LX5w0OFtjKb0qZbI/TkeuwMw1i3vMZDgW/GWfec+ADsyDE6lLE9cvpcio4R4aLE
fG7Lh1yW2b09TSaiOVUSzpFmeLJXeEiTF0/F9QtQNHCMyOaSQJd69ZgsZU93qYAgq1ENlbU1UqRj
+M5XJDjkciUTYjZWMej7OXC6aN5OhjXC2pFAfSNdzDcpvf/OjdMw3FSGUHhsNQRCc597iLB04QlK
6SI7uzRX4JQMecYkJyFDcQVwTWllzd2Ee27lohl7No3M4RvNRXtTtjP4g0IT2eeY1BACfCdfW9hO
mHRCaA6tgkMjFyo7D66sVsCqnRW2tvhoopWCgz93G8No4rMPd3vdoVY8FvlcrQfaf7UG/5Df1Yp4
kHXbLttF/L/0e1ky3Lgs7hafUATClZQYClGMvOKcgEIBjzmo+tHifHno/VT7aG2ZYtOWmXvf2dAb
WHZ4wKAb6ALs+KNHAI/2PpwLJq96bzn4XLP0Ne37Xqy0MbN2Km8Jf2kEmRwrbtnhyhjN8Psgmvwq
x9L8GTl+AucWv/zNFHf6m+oi44ZjaL6GvQ9c3IHHwl5ac278zOV4JVLTedNqp3vjeNV2htZUW+SN
/gJjL/S3EDbJVdaNxU3MBf6YRgN7QCB226K3+h0RmSGUIM8/9EBQ3xJia/EvD4YTrdkl2fAo+/Ij
A3nNf5ToJ6sf9dfG4ZoIWonfNkxN7wrxCGqrRRzArkM7GmmZPfijY35p9cZniZYXrcWOIjacAI1A
+BkmoSKaN0Gd0MAZf2gNF1Uu/9kec6S/rXJndIEq9cMps1EAg1SI7wWG7L1X4Chc1fNk4BfX0+pa
gXtr1wo7H9ZJ+vYzAw/ADLKVDOkHK5Yr08uta61Tcgdwuf4xsf9/oJJeErP+fSUdvLfv5Xvz/Y+l
9PJzP0ppkrswgeF6c1D6U6kug+lfzAhokUgJoQCgnmaepzPT/lFKOz+RtsgalqBMRoSYWChw/1FK
Q+lFvoTDgR+jq/5bAiZiwH5fShsYfXTMgeR/omayfzcBTBbsPuzDZj1aNcJY4yKMTdslBUcselkA
gBagZjS0iNGHU9dY5dfoIrFFfKrfJViKzbW3aHATrROnGRv+djBy+Qj4KPnCupmFfJYi4CXcvMBN
1bUQzsRkPRc6RssVp/74BpEbBTDNt4aDBuLAF83EBm80fneiEm4+PAcW81LgIQklW4D9L+w6STB2
qUr4OGkXBsQ8hVmg6Vb/BfPyeIwuGuWYKLovWdPTJzulnRtHyUo+DULTUHGgG2X3lBXEgmxQdtig
84ZCbin5Oh6UqcWGX7fPoo7ZtmppZ/DY6tP5tjCRZh9nqouT30mSMuwovykmbsZkYoWchNlEfeow
j1l1sZmCiLeg14GGbHZ23TTzZlRNw3BTX3T75KGq9AvzOkB3oq5CbAGWLkBZOfGC7hudLY5rtPvY
wt8sVshvetJQSWLQ0Ma1Rumbrt0RI/sBDuMENxxV1G0WGfjX6BSqJ3tu7MU0bKtyI8mXeO3JvqpO
Ggic791Qlw9OUVuPQ+OTTdJQoMsVcjfjJGwZQeXKGsN+h3QQ3/PryA/rkiLULYFC2eh0hzIiZAjg
KjAgJmQRgNlqwnmtLLHVgBNeVUtIESZl/dGZl+SiLFZio0Ppu47hUm64mIyzPoZGUHUsTJoiSXYQ
44wgCh3YZnNRFod0SUmylrykeklOKpYMpbKx5AN5JuVXy3Kindlq5rGO0/zbyPbyXC5JTJFIR5xY
pDMt3dPaWhKb5JLdBH5r5CGYqaMr0+gZzllFQsqS9QSBgIu/WRKg5jmUQKHm7DByXINqmciK8pSs
jrXlloGVGN3ebmt73xiNt+mqzr+1cfM8JEv2VJZlyGfYwTtYpROaIWqegYkOiVXM1iEmZsP40eZw
2s0l2krMdEGdIO5Kj6zpql0isIxhVtveIBYLlGoHpFBa9UMYovdlnU+Clj2AbUiXWC3nkrDVdjJ9
j0192I1xrB1MHZ7xrBMdojVefhdXWOj9S2aXJ2dY8DmCMtAv3rEp4Z7GkZe5oDDM6dpbcr+sJQFs
6lPoODYiYVSuJISZkYvFHdTUNilbHZsN6W2YdwkWq/HXowowz03ijfvpkkDmLWFkRLd44Lp7a5Mt
UWUxK4RrscSXNakznhQ9XzCWuRipgbNhk3li2vUGcjjXIs5WC2FNDGYR7tBauwgQB3+bOnVz7Q5p
vqsS6RwnKv5NsmSrwWnN38olby3sQ3HSDGXcl5c4NmBytc1Kn5IJDHrUnLs01o6s6qEdNIpja1O1
JSRaQftL0IpvyU9AGw6IuNiJ1U5dIuHi2rHuomGIDhzWw3tyCY+TFmZYpMv29NylciI9aGlNOw99
UWQRiL6mCMzQaSQkwS3tLDaHpbF11fdmaXbdpe3l7uWrV5Va+7h6rqIypD8el1bZRtqFbwPKfGBN
GRg9cAzrOjba7xh8MloYNJvgqUQ+Im2mDY9YpOwZOcN4dkpvChieFHcRk9N7NiqAA7s2cz90h1z0
urbFkYuqOg+K872ukBgEmq1VmMIvowGUhyElz4hAq0py70q62rCpaOTuQDQKax9fxgz9ZeIg8uSR
QtWw1wWr+ngzSgVQsTayyN5UlWIqGC9jjAwK7+uwjDbI7W6aAKUKhYnbYNhcN8sgZL6MRC7TEbeE
zb7LfDSVBrodUtGQ1QfgvPIv+SBC76rWDX7BiBP0ZeiarFkZdRXv2ssgBj5re1Uu05nOAJW5MjsJ
lJZnBqqn0ohzFDkloHgdJwcKsWSGXnAZA40GfQv56YDrVyRB4euotTpE4zot9gzuPqwaRZO1fsD8
fSi/2Bc7R7k4O/TOMAO1uD18r8bZo5rx1Pm2vnEmR7+tnOr74JTRmtjy/rq6mEdgJjEi0EmBQlSW
7lGatTvy1vGb0LIGqSSWkvUyWry/v6v9LzrMpF759yXY/yiBikv124i2H1NQfvCXcab5E4NH21v2
rfiasZ39swZzf9IN9qnCIo+czf3iFf3HFhaXJiJxk6RUl1t3+aMfNZj9ExWTY/gIDdCWGzh+/844
8+Kr/uc6fxmMIvgUNu+AN8A7WUq0X00z/7OM6L7xW6Mqw1WHNbTJQtJ1BI20+TtFQ2cXaAFrZazr
pijCK+jlgL/kNHVoWwe//saxzcSLrBV1PWKrXtt6712Dk7FPXukNmOza+esMi+bUk1DIGmd2sJUs
uKggm0c6U/Jv7OcylEwRfQUiLRp7ySq50OvPaEjbPYoof6PVEF+FSJw3VaY1OSVmf69PmngjI328
kmDP7m3RextQmNHWa8KRIc0YnRNtBNsoE5G8NiTuUF+Zon4yego58K+XPtuJm7MZ2dUVdlzzVM2Z
5dDR6nTngIHp1KfBgw+hmq5dqjYt2gjGZvsci7fYVlPpoWs0+pCVBIXhJxPJUgRtUtdj0ENuPtDA
FZAmQndG8ZkvstXL1kZkUzfwGDbym4YCtA2sZcVTRiM4J00QEhIoRMz04XjI+3UHIdkk37NiylGr
2GnY7OW2dohCox3Wrq3S6w7/zT79edF0WTrBniq+VMsmCjZDdKf3MZOOyJmbb9iliY2hoBHadmbZ
VAdYcOavbRw5xAg12aHShPkcsVHbtgTk3UDshkZFYKXOxEyU79Kpe+C/Ujf2sdmb00GjAn0E6Tlc
ub2Qr06mUiK8DIcDfhoWV1rM3rvNqvxzLLX0sa+T9sbUMfZBUINuylb+uyLI9TgIrbx3sMq7iF2T
7KSlxWRt59a7Ic/L/yBURJyg4cY31LJzEHf2dDe4Zfo4pUK/n3qGxR3yhnE9iKLmtYeQMXfINPyr
bsYVkUeu+GzGfJEQEHlCTr3SP7zGbwIzaSl8vDBCQeZ3Ux4gg60OUFmA4Hvp3CK57v3wPurZ5WVm
BDk4nXF7IYXPUvxZGH7G1iowsuaugROs85vD1JTIDsGrRMeeMLRHh8SWc1E2sJ8HphFeHzlyRXmA
iWrCKZoc6kYMJKBUiLvJD8NSu6LSbqdtYTfmdyOGt+MKdBdbBRfvmt1zP28SaEhXrc6YdiWHof4e
DZ75AoJIGxdgM0B1isCvigBb2Him/kWlEBVXSpTgj8kXAj9KutJb1/jhq0/7983UUNhqut8HRSyd
PcNtsnLDrCZpsSkBFCc9lrRxqtEv9kv0HeF5n6kxWQ9ykDb6jygszx1pZ2d3rNX13OEj8N1yfgKU
4B90M3R18K9mez1qfkZ0rVk/aUWX90HUanW6g1DV3luJcDK4klnSftHCxWWLcHk+xbkJ6HRKnA6+
lp0cbLtBXkg2L6Mdu39ndDqtHXuWO7iHKE+MOUPjxlbT4YDqE2bSkZ9nd2x4xMqUMDGTrCeQHVz5
RgtBpK1Sv7E3BJhBrNZt5N4IjnfY0qKAESGbcbjo5VM2YgZY7ALReS5HfT/Xun2Pzvijn6l64nBm
10CJJm5y0bBwSFhXEuaRMyibW/80OtYITxM1ta/kvOH7nALlKzvwOlIfRo1drFtwkpQ2vSsGNp0+
uEf/nE8A1GVYJxxpUP2ETy0VsGZAOUqHcVKe27yCVDduzSl5gTp2DiFZLbPOHC/l0Eak3cSQ4YM0
duZviZUaVxn+y4c+Ndik1JGV3HOYRdjaIyd98RgRU2dGNspvxuEUZi0IpNwwienJUwTDx7xxnTc7
abXuxgA7+iM4wG5bLzkMPNOCBhjWIRNZiD7I0x8NXbnpeVagyY7Y1/Ubs2lLf+spvkSHcKN9Hcn2
Zpgja90lzrDtPTfU9z9HCNQl0WrABqV//Fc5AjjJ3bdmFHeEW2OPzBjFp5Ep6FqM7DWSjvEZDzDP
/yxUgGq9e5ztWIfpsuCyM6LdzChLDppyWK3Nk7f7q0iBRrIlqhNc2ur/fIwA0UhqrWeWvjIGni88
CIpjXE5il6KKx3QeJ0ikSQLIIs27Tb3wTfV46gdO9BXwQoPYxuGg4gE3QU7wDbqSYFAAZTzSGaFw
ziR9T+QsYmRIBm6sdCEvEy+4nWPb+PhdFgAsLO5Z2vvT/48A+L8eAWCMxOo5XfffKwLAIcpzxdgM
cPfCW/wXEQCwMurnuSdY5j89AkDPSXc35f9mBEBtCOb9ibrKR3/tOrJYu38RAMAWgTRNmXT38b8E
/2sdZHzGS38O/i8sxfg0utbn4TH2FZRoZH2Ul0QoNy65rrbRbhIgmwdNdztWQn6p7aO8ktAgEnlO
C8u8QyQ4EwNRs76olioVs+frrCvrAZyjONVLPmVaoAmrfKpm6ZEUFfUWh2eZmx8eC6lgTNOYNp4d
iRsm/kJoeczyjI0JTr1Vb5LfHig89y9REhHW0UJlNnOpUfH2rwN43Lsy975EHmOKXB+to+mmLB89
uwZ8Cw11hRMrXcu0fw5DrxGBZoXDrV3X3j0pCdEr3rzwPjY7cjAwo+mbDgnqLu7K4QBgwNiVQ0Py
QEcWiOEb7kzK0NAJPARkVVTWgEksyoqgYryWrxirNtoxicEqB8g72nXout8h2RDKZA7nUbRfe8tF
uRV68kGJYXIRlKafFCtpMOgzgycomdfUi8T1pN4yPkp2htliNs+oaUSqBCnAQ/bid6nzzKE8BrGl
31Q+XiHKwhe3k30AeRiJSDs/M5QnKcImmrU3qn7Vlb4HexyTKoUHGVDiuUzTHBA5EH4TssM25vm8
R54xM78w3xyGmWsfRXEA5Do/OTj911AMYFtoeDA17K4rBFXdNkOWetbFaK6knbywlnt0fQ1FKMAX
SBwoNCO3N97ZDwD8d3KVbAhrJqNp7kAGT6l3YFIa3dZeXvCKcwzSoB9m7aEl0O/G98wxMLE07bME
sje/eXtfkG5wKkyP7M+WC7XMIx/raKozSalm46auE0VSLED0K2+wGY4VZXqfDUWxHytiCmyq+O/w
WIdzJA0Xy6YtjAeq0mYDTrVYZ9KhmZjwoS2Fr7yNacf2vtlCKBrBwrD/jYhbyqtmx4S93DlQVd+I
qkIFYkyYlokJkASW+Bj/eFKePayYm86EN8NGY9TXSTcU32qkvdB9FNTUKCl3fmq356SpCbaq4Qbj
N5zmq4ZO56teWyYQgXbG5PO/2DuT5ciRM1u/SlvvUYZ5WPQmgBjJ4DwkuYExOWBwOGbAATz9/ZBZ
UqVKLbXV4m763o1MMhWLjAiED+c/5zsVRej4K7IjjioeJX2mPFvl2nglFgoADJ6zvdlYzQWeD4So
em7ex7JxLzx4CzdeMpX3fauoIykzMO+6HVzaXULeIInFN+pL9JAzdw+nPOifHaaZau0ElltGDRmO
oGU6+CqZdlT09pd6MUIYxwUojtQJUHph5dkYao0PUNZY+n3XK8Vlph3aJJRGV98rvNFXvjejmFFy
6jzPucagxkhSPxSeXtwWtrg3Y0DJ0ungZ8p6gJO6DHvP7fOtNJZ6B49N0GI6yHpP0bqe7GuKh55r
XSJKtrn6QHAJ9s2QD1emXw/YS0zz2PJZXyRkrrYtrrXbCtcixmG8ufmhy82FExJBwY9kbtVFScr6
GoJe/SYVQKzNyAAlPZdtr1CFl34HMLIasKqk+fdCSu+tkJl/ZVRr2osUN9RzrAjThtZ3XA6Y0l8l
KK6XobXryCtThiJlvHTH2hfaLvf9/uxDWDlTvNcKumAk/gaBaezKacyash0m2ktDqXVrp2LXYKPa
ph0Ymwhyn34zqonyZOzQ6cb1Y5wxLQAOjWsPLpqoYozx3qaBdUglUOOoN2JG+iXx5btlUf3ZVLX+
zHxqvKBxxzuUfqrfssgaHzp/85XD23oUbUer9iKsNrIEGXtI0aTtjbl/LcHtFOBQbPr35iy1nwfT
7J9/keF+Txr8RznIG3yaffdf/8nA8x/iOJbve5brYhBkimlY+hrX+UXS+r8JMQSfCHmT1IRLq5O1
DlV//c05l06INMjek4EBoP2ez+e/rqX+b869rPmxf6O4yrelKt+6fx56rz/3x9DbChzThKzJWNm0
bEyifxt627+hdRqkThAXUWLXxMnvgqv+m0Hm98dsGz0W5oTLZ/e74qrZvzGndsHmET1Fb1pjf38h
+OKC+fj1AXWBtFq6axuWATeEp8RZw1y/PKCdAP4pkZoivVXmdYZakHqnPLUwWNyWZBIKZmWNRPfE
R+h4MhzBmJGLL62rJRir19QJsg9hYum3Jqv6lhgg80IJo0iGhpcldxiz8FgNWAefKp8gcDXXldjJ
xYPap3XtzWKY+kVMBB3RgkELC0MrriggYsyt4qS+lQMdg4Ji3kt9kez6MxXa5xFi6YWvp1ArZmOZ
dlzSKdbqe0/eW9R7g9D08ItlQWNfmanvZPs4NhfKiCH8olmIPcPgYbicFEtEVbf2lW9J+41dg8OJ
o5n5PZwN98HMs/q2GqgTprza8g6wXiXNWX6TbV1nNr9D/KfPjoi1uOvTBTo/lTVlNLuL9z0WJWlM
DaP9BrpesI9xvJEogFcQGlnsvOc5CQncuKW1bYbFvWTu3Nz6pP2pIVk0xr2gsS0M3hZwsWIu3rTC
IrJdsGA/Atdk8pIUw4XNFPMGdcGZSFdb9Pq19OY9wnIfb4pWn7+E0wF/8PRSO2FxNi46jG6KDiCZ
XdS+MW1racTbiQIVjgS5Fa/KZlnwC6lIOLjDEDw306yeqBgs38rBohOOB8nZDtQYzFtRSn1myu4U
nB9MRCqKNry9Jkx1OXsNV3ZGjbTMsMNtOGIaD3ZqK2TvUctekEbj90WSHe/7xTjB6mv3VLH5VECX
HHDIGQCXde2WI2c+Uh0DQi0IvmSTkxThtW+V5w23eVtRaE6V2Te8eEQkbLXUTOv1dLcwrfg+Evg+
z/BGzI3ZYuG0qJ1+oNbFJOo0zMdAthk3KBoUXgEqiYPS8yTApamyb4OwppO/lLD727HjguB3I9K7
XBqiCUnV3roNJDc39dpbnzanPV6+0Y+ceICHJiapaZuW52TfBm4pDziip22XZe09NMn0Ke5qxps+
Y/BWuk0XpjW1pMHi5rta43hzmUNf/DKMLn/B+LhOM63VpMendHTAGKBXzINzKk2HntN+Kpqb2PZo
NCP2tQ8gkp0dramP2tSnbw04TIJpCcdPsK8LalTZ3YDMk98sXQ53Pe/uWdKd8rFuwqHpJ9VrS1Lt
ccCxse+JlWCwLr739D3uKNDxcfUqh9N5QorNIRxsDnN/XIKgvExylxR5ZQta8KbKV6E7+EaUZouz
r0nCf1v9vPeV9LML0c3TgR7j5trXq/lBUAv1QEK84cjnMnbakAS3in3tprqxG+3UkJFTq4Cgmdu2
1xBYKmuDi7d3QkVLKm2yIh5lZOcjOXvP18fbJtCFv7EksM7dEBNPecsGDGs7ikELvK8yfplxZuph
a0K2ADRIDQjloc1aQqtKJyAllUjsMIaKtznxq2tzmcWTDZ6B3he9nK/7do7bnQMf5jBrxXSDxWk8
kdp3rlnviuDRyhNSP0KBK+DiYor8pDOOP9EEmvKgQkd8xhxpj5sOL9xaBVncGmZmX9KcxJ+gYHu2
VGOn/W3HmBUOXW3R1GFa9fjmBxQMbbDrjZSP0LT1qhVyNFYKEL0SOijzTU0+gbKxrutfsGTCKZGB
Tc+wFSdQd8GXtJ9jqppz3mU6Dbd9niUR69k8RMwJi0dXUWGNsXBQDzD9/PtMYWHa5olr3XqaVRlh
pmHDAd1mPVJROh+rWCwfle8Wn51g4oT3uimuR1Zm7gd0WBgsYOPyFE+0vzh6TUz+WMGmvCuazHr5
p9aMBbj2I10Qxiu2y3yfWlMNgoVWi0cxOu5hsqf20NC+EpXgRKIB9CeiLyVztuiB13H6vRnLoTgz
LdFJaWVxGVnY77NNAM8IG/QftRtzbet7npDiJYiTmJJhe52Z1z8KOIDlZc9K91hG+kw2JUZQH6Mn
xjN08cAN1FOsmm5LJ7k8aZQ0mJuYkCTdJ7W9fGudXPueaX55bwdG/ukZvrGv8Didg6Z3XvTS8La+
xgUaQlxVwnZcKzwcQ4kJ16qVHHWr9r5lNHIcbL8zwilRZjQtcaVCZ7KNsNQHMIUMeJot62F1XfVa
ypihZNOjcsmRjz9bPzQCIGflLubzYDDvH3O4eJ7HE04DSrwAy4EE4KWGT0RoDC4k3cq7H7UgSdIt
+5Qa6GzTJIt2iavV5zuo0vcAtXyXxhbDo1nv6W9lInjI2zq/GE1UBEGl3JtR13YcaolMnscYPiTB
uUw/LI7qJSQiQmvMhVyKVpsmcx9+rRcpFE3M1eDwHWVMEY1rqfFASuVo5oDlGjG2Fz8LR6i6pw6r
6zTGproWidmwLzR80Tzcs1/c/No/MoDLo93Dr8fnHyUkdk5ooM2FhRUcaTgxDdQk0Dx0Of7RTJLO
5XhU7ZhizPulnoQ1bTzQm64S/NTEcDcL38pH3KnlTcHvhZ8y9H00N1LQOMo19bbjcnkyjVyeyrao
r7i5J59l2S/fAmgHe4zj1PUNRoHTqZD71GkBeXh0sE5t61mbyrKqw8+GExpAi2Pl+82rDgr5uzlU
VYSvHoO+5Uvyhq0WBPXe51zx4KSjddtxliGlMsY3YrSaSHrx6i2iJa+gwvIC1yBNfSmz4We6ANdv
qlHeDUVWnpwuz775bQ+tloajJ82UrD4LfXoM0QbjXU8H7Tw12djtJ2vyvnvTHL+58bicsmXivUpt
azl3+qTfaPZkHxPGuyKcJt396h3bPAddrF/na7eKLvLi6Mc8tJufBSssFvq2UZ3Pl5O39ojfPnnl
okro0Wz89pubq3ncFNijKnCZlX6yOYIfk0TyBco4g73TpN0eIZhO25y14gaISLDHD+xFWpB4HDA0
Z6CGclEHWKg01SuJalAh7NWbJFcsqTILkgd8dMNbkLbTZaCGducnfhrRWbputiml65t8Vj39v268
mZwsOMVWUx4HYkSEFRp6NOclvepmu9q2LVkXLGyTs/lR8ELor7qZs1YOofWj5aWcA6nTMcdYNayc
1RMZlMu+J/rE1E0fGI97fbIv+YNP2TQb8H5kvYoeDdnUn00waeXZDx7HFQqxKFcjXD4Nb74hxLzJ
3dQkqsswvjXksG8kRfebOB2RNiA3XidJCseInHS2xelsF1tjNXEHjK/yTTfo2VFmXnpvCrvbeSVu
XYoNeR5AjBX1xs881mGC+lyZlQPbDv8pHecrQGerhlrugrRLT2QsgHc4Ls2CTJ8dmMw5aM9GkoEN
JFTMaOotdXB/1M1osIUZGtriQNeh3YeViXqw6T29Pvr853cfR8M1IQ5596OARtfH/topbAQImVvm
FU0A9Zcx++YqKv69jwb3UEHBnt08xnmP04JOtSAkYwDj+Ec7TcOo7hPb5sh3Hl7d+8+emgFjJ9Ld
KNNDVblsOh4+uSkJpodApO03YdbBDhFL+44SWW0ne+2wGdN+fHIzJ37ogAO5m6mQ9rPeewkRgzl5
mT2uOCVp9Ctl1jCGKIrMv1M6Nl/nObmMsOOqtx8Mb3ktAZJPBNV1chzpj9KbpSX3Q4R5XO1bBOAV
c40u5eB7bNYanMBsjHkD/k2+D+M8H73azsgciMa5xD2m6JoaC3BalJi9M6HO7WjJmpaT0UA+ZLOY
hQNN6EdhTpu08JFjqXXf0CVhtAGd+nt3zqwHODtAYgXjliGZgcrdNE1/zsyyejfHodn9f+Wgn48f
//WfPy1XDr6qf60cXL79x354y7P27Z+1g/Un/2bWMpABHKAYwLVQ3zlp/KEdWL8h6nD8xJFkr576
P7KnBqANFkAz8Bx0Ay71yAq/SweGjuLg4vGyf4dp/CXlgH/PL8IWwAzX9HxopMQ1dDJBa0vAr7oB
dKyiVLh0tlV7F4sh1Gk0c+Be//LO/DfymfFn5xVmNPp2Oa0EzEr4lX+yhBUeMFzQk8lW9cnWACfG
VWDnNyrMkwL139rHyUwpWHDVl/8D42kVPv4wo/Ge/uk3r2SfX4SRKki4Ihn0ak7GZddHWH+Y4FBT
/+9f4J/1wT//lvVt/uW3GHxiOrX2vD57s6F2NwQxGv1P5KN//KzWlwL/0QDAgjUXNvKfRUhs9qWc
Ji6u3dZzyh3t4dv089+/DnIa//R+mfQ44AdEcTS5qq7//y+vRPiOP7O6x5HuJJTYeVRxjw1MTBDa
2kC9UYdbLceTvWmHodW3fRzkr7AW5IWQdvOezN3SRzpe0IdWg3M98+BdOpNlfuEjLnZZGqdn8lBM
e/JyXjhmdvnWVTHyt/C65NolCwjRIouXswca/QX2pPaNSGR7OcRmdjKxfCB2E/oFe255YVso49zl
Wvfh0r46bwqV2kNox8K4Jnvb7xvfFTelmTj73vSxCljDHKwCS2zN22Wd0jZxUUDpp/Ty5EKQKA9x
7LivSppmcikd+Kcw2WfVNl+r0NxtcZdNkxMa9A6DKHA46luymHZ6EMc4U2yV7epY6c6uHyDgU4CI
Z7Z3k0NX8FRTPKaf2qWyt8hwddgBP9ksBM0w9oJJGY+50WjNARgHLra6IVGA1p1MzkOjmaN9aNNA
P82dznnFjhG8Q5e06FFVgoGOvgSAwc2eIMuEwfzCa1pmfoPF3T1sK8d+NBcZnKH+zSFZy/kZRYmO
bPShKg4nuwq+JmmRBLR7TtmpRX3uouG8J+g7jgsUaIiCWi/ie0q8rZ3kT4VEZ7E9DgRQuIlqRkHH
XJXez+mYvBZ9UZ2b2sA4HozNvkDguBxLTZwNoakrP47lXplVHQ11U+2qQOg45FsZSoEOJbR82Poj
EgmlJh3hCQHGR/twGizHvtHYkda5VGgEvXrQEmt+GBU6VQVfZUeZuXlJpKa6J3U2P3t20txruiMu
aGOvOrSrpclXl519XLq2+BB60l9odrXUDybOuIOggXff5yNHTw6xwYmHjo/fNucjKkf71palfSCk
oCIbXuudQCB6x8MUH4fSza7SNLG/q7THuILT6NoC5XVn0s+xEyMgIlqtu/pmssY2auqxrK+mIbFh
ygwGh0NqAfpwKpzkbbb1Ak4uPdDOWc7uZJx0SQ0I4dnUAScydneDret3rWP193VrlduqEbok5kNF
PAdrZb8bejKx3weibzDyA9wHT5kH34n3ZXy2Y+9x6KDRoY/GoXCzvaIm2cRhM1vQirJAG9+6cer7
y7w3QA+rzq5etGKxugj10LqOGcGKc99z6d7qoGLErrJychYyIy1MesfEMkZ/JoRVzeJUpqD53wdG
5p9HtVazGV0Q6dQ5gmUEXpl4+RxadhdfDbadloi8sfVcN3BjQPynV06XTU8obuYN01t/xwwwOPXm
0FybwayYuCcw+OvKGvqNYfJhhgJQDsGBDslgE7cEHuh8pvW7szInKtHRO86W/Xzr9bnxWfud+emB
a/ooe5OSBULxW6Xsnug0ohn01Sw7rcgdHb1VBruUsxvXBd3sd0lal9veTQGl2CPE3DY21wG6lj0Y
7lK1u6TPnEvBvePo+mYH9DLPjmmTBgdp93Ma9mR2aVWNdd5bczTv82DxPg0kmSHEolp+yqT5+LGQ
/z8QUrTZcf71qet+eP/vEorrD/3twAWIDCE8cECAucybfz1wgRtjJMMxBxi4ztyGw8LvwxpOVQYn
MAYycOh8DkN/uOP930z84vyA57E1Aj7z/tqo5h932PXItZrsqQ7ESeLbxp+x580EmgeWQxBJgtKb
spllmPtWymLZ06S82LA1ckWrLcChQwpJI5xMdV0uVnDMuL+G3iJfWrNjMAOfOQRGDIy3XuporqAz
6CilG60wvvolZeCjDK5WszqOpWttAxQChsAsDRn0rQjaafOmL4tOw7w0I1J9WpgLdT13OcWibNRb
Xkmw66bleVxKgwc1v15sSfl2ERcHAbX6Ko8Hjdw83LPa+DHfIfZOGkft/Sq4UZMJ3YnIYJT2MAWW
ms7fjT1qDAe84FU3CcbosK7K5JLYjMa/3lGXjqeuwC1XG0OL85Ag6nHwaYupnGAJBdmmo05p8imI
vWCjacJGVqdzdeANR9ceSAaS/Nl4efBEDQo3dt3tz3luPMmkrIBSSXpG2hQ4egFSdSmm8sMxa2/T
pqa2rbERIK+8yVhOEb0X17VX0mSDtZZbIysl7HAXBc4ld0xhDHira7rWee0o+tGAzwckcaZ2dQ70
DO9AcJJezZbcwqgqUj4liV581eeDxi6gJXfQnqb7GZND5E50RFISRXl7TwsDZiBq1EvHVhcmdLh9
CX08LOL2cYD9v7E9ymMyFLLDsGKbOZ7UnwVtiqubll7XZExDLvIyGhmI0UUSEM9GncgXdR4okaU8
Q3+0VfWGfZ0Av5N/yX4xOX0Q8EPJ3MYmj5o2eslGY56A21d9xWvdDzOct1QW10oVD6XlLwdTc/1o
nrVkp1X4KJiSzRFu8+Idbec+NTAp0FhhbKcO50Y8IXeIugzCavRvLDGThO/xjgGcXEITAfKy6Kls
yqz3fvHQ9UeKrPGtjxtTJwqrVvBeXqKZAb7J9rBg5wNFTmNkefZ4yus2iIwhlzCdHMRNz14Ofg+W
e4iRgsyxunKoHtrkTfaUAFw5F41La8jYHTW6kplHTS6NyPm7FSTPSd+RHVSFHw5dNW+pb7ZQcYt6
p3yvuxCBV10ACzmzfqTgaPxHPpbTyDw2mvJ1isqtfJOhndCdnV5xkMLBkFt26BfYgXVTs09a3aFd
zUmwc/SqOC70+G36pHI241TfNeuGwkyXHlFsRpHd2c99T4JPptZVBZYg1PKZ8NmYg9NPgUqnpV0c
h9h7AMLvbtO2ICLnrq/IhgUdi+bOn717Ifkq2LVIo8mdTxC3Ttj1SwreIZPkqtjV9YyL3aRruE9T
7Mp2jV9syRkSwRId7eLOoUcJH3gDEUXOb9riGdvaW97hXaSoWvGDUdl+GOip2Lhd9sJjPe7AL3zm
CFqcs83hJIwcDwc9KJjAKTRhlBvGg7hWk65eyl56kWlP8941ahwjgr7zii6aZPKPKarzxh2Q2RdS
1dlS8JXSMjiyrlXuybxcLrGeRra+XFc44EK4O/l+1nr7tnRGoL1Ma7e2Npp7ONCEbZhOPwxQdeHL
l/GRY0W9k2jux2HJqLfQlLk+NyBkg/ksAMhvFvSYiGXuxqc2KZSg0D/jKXZDHvWWg75SP+Dr+P8z
3nDiBIeiTP2jU6Vt1LX1FvI3lhu7HO6RkI5m7N26U35uFr16Z0rH16oTkLZpTn5ViXHt6uoJ1nJ/
0vU1LKBZl+WULkyMIP+3szw3swEiW4E0skdxC1Gx2gNfx3aTBDqhHCc5LDY3kSxvF5BKIkH7Wb3n
7jSGyD1eZGUwOYaGvieg0rdBWdJQl4K5CLoevIiPdMtRjb4CkYNmmCCwX5WmCfVh6Dg0eq2TEB+a
t+Pi6LzNJDPWS1p1konFNMIfupNwrPwAQm7eVZw79+hbIN1HPblEZm6Os7fUezSyZMtYoT6ZwMl3
a8PhrvN9hp2LRyUPI+19oSEAGgvJQQIgdYgyGRwnancPDjD8u1ToHXtb+8KwXrtIzYbrJfXmYUDb
cEQb9ZujJV1E2ALQp9LdE/cVl5q4qd3xZ897p/Kzy5pkUhjMSBsEBYpoNDPCOjqNTcpI1KGqx/iN
LZmBMMOdo1nr0xeTs+ZJnwXPQEy7M2Fwjv6XS9WgEidGslzWFNPtnUweGd5dzbPjnbuFaIsxF9qW
RfyCebgkLI0Bi76XzzSOk53t6/a2i7X0i+9ycilwNG2SzrgBN/rZYDuKEPqrJ09UbF0xwXqtGpcI
r6iMDIMZNRdGrgid3UW1abP1kLvfgdGy+Cov7qZOWShITtlR4i/9afKd4WKpswoPQEx7H+55Il54
xKze2o1zva/n+HHh+eea34HNcu3PsYNBZFUt0R0q5GtneHWEeQwMqlBKrpFh17DhuXlfhcrsh61t
TmYElua+WMEzvEgjMiz3IU3lfaDzypjYp8jdVRM2XjdEGVUlkECVuC4IUtUeXQbZmM9b3HLnPBjx
9AnDRbJuHn1ffGpWc6XI+V5h8L+lnw/GdTzhI17KitspM6DaLW+GsZ4iEhzeZooN9J1yHLbOrLPb
ZUCxe5dCtDwxz1lpXM71TFuLsAzW6llE7QDVGEDARzFxmxjm4YkgTU41vch2ejKAh6zmKsKONl1p
fGs2zRhcd+ZwZ7uqiaDpfAmoEJHCe4an871IgaDz5WEyVWgkbPFw3o2ZIHnCJR6Q6LhxOrbWGqLu
1jernFQGC5iQntj3df+IYeGKwRvwGX+Md7TNN3venjQUBQdD3pVix+SaEkOgi6EajfmYSvO1m6rn
tOBvpijuFjNEdgj6/nustO8CJgMFeiajF+FjihAN0FnfZuLbN1s/S/1TBS/hBHxIPMKKfclyK32J
c21nMKbbcnxOQPxY74VW6hGfnNy7wdKG/uC90q/u7e22TsNGmryerguOPt1sWGndeKeDDGOePaVE
NtgiprbzdkldtNzas2tPDO7N1HOj9QgtH2uPMj68nxa+GJO311RPVVp9W3x7PHoQakip1dW3tk0I
s2sTgHtVZ3gYO8FGN86HYcisvdekY5jGObuNa15x/8r23po2byU9oxEDEn6s1j4MTtHbKR67F88t
7GdfjfndVCffHJGSG1qG9M5FYPia3ML4dCrFGgeLKH+Ndc9IN4au3QxqqaidGW3K1WZwdV7n61HL
XnpqB+sWCaLdYBjinx0Z32t+uh6mgh1De/9aQWUNY+WboZu1D5plMeNxzjlz2zCk8IZFWdLCLK1X
GzN0sije0zhj1544w4P75MCpzevaNxpbLTPzSFfdMSbPcuGaKQOXwD3GbcDuKOVNkflPWts/66V+
l1HKAbwDIyx/BKHzvOaIr8n0IvN4PDtb4wRgM3TmuPBTBf1Ll87/nVZCbm2osf/6Whq+FR//aCL8
+RN/3EldsNQ4OX+kq621d+tvBkKHol5zTSRDfTF/AnV+v5NyW+UEBqCPfl8o2Rho/j4EsH/zddPR
IU9yv+XYCQbnL9gH+al/UH3XyLYLCgVx3je5nHr6qt//ovpmypKmDYErKgQUpb4DM5slw8fUBa+t
0ZXXXeoWW6Aw3q4g5BqKzi0uTNaIraVa/bSAnd3FQcGkck5SWFBjufHMjP855I+IlONjDdX67FPQ
eyh67X4i0og+pr9VfW5d8S/M94tklWkW+MOlf8sAwdyYms7eURv1oaDiMxJ40q/wODzV7BtsQXUM
9ZrblxMAMBQ4cTJf3Do855wsive5bqgCwQjygGW+OUqNdtbEhUU7FfyXGFZKJy+z2emOjQoOTT2/
NCOVeUbhLpuqru6tyj/qesMVJCClwxLxtbh0Shq+fBQtuDGLjr7eR4zOJ/FqL5ROMnt8nFT/5sAo
C1XKl6zFfIlx0GNHrg5Yc/BWWuulsna4BdALBSYB39TE4af3WOWDuPxye3ndztkT6/RCZUe9i/Ek
buYiphMj6Q/AB0+zUvdDMr5JBEM70C6sFsqc2+1o0dnDrei3nGy3GViGyBeCvhMiymRkqEe2MGpt
UpXtR+7kIU68j9FiNVJDcJj67tIuAqpzOrXPkwwGss81IC59N2RUipg7GNf8Yo/0JGZJ3eFXeCKm
TxeRN/IDRXhh2ucZFLfAMN/rSSFb+7vYLp5zzENRUnmAKgxocrXoaZKTw1Fk7XyiieQhpv23asr0
gD3ncYwXZtXrvoaY/M20UDQK4Rxp9nrWVXzpZuK+xRUeG9lw0Hz3pjbszymOj5j8Hkczvre8tfEp
AJna2s+i7ondCv08FWm7aWanXFl19pWmd+W9Wcb1WacE+NC1ChCLdWLsXYIywbaaQ/cZel5tGsQB
n6Aytp6fw8vQs2c9WdotCPM3Qq2g6BJD3mItfNANrQ9t0pe0NbrPTU4oxYOD2M6OCbR10N+A9C30
wrlJCKPEeymzbKR6zjbJAMXlBWkVE8Bjx2qf6AF2/snYWBjnIvLc1SWIySEC68CuqjugTbxmPuZB
bR+cVmv452Artf64rFkSN7J/fApNukSZnZrbxpA2/gFCGhrNNhUQ7GFPcjfe0s2ahAWewG0RkDdP
8/K1q2wYqdl9UqXE1khah37ekbCiWnlTWnmLzmBOlyXQvVBW1R2ZcHeT1WSRnaH/bpfxl5Z4n2YD
1hOh5JkJfbVTnuNHo2W6lJSILMIZ5IXzSkHwY7K5jUBfEIVG022CtQXSMrEBQ1wInxMt7Z13mVuK
SyIPdTQ6vmQDXj5KV4Hc1rkRF4DRNzbGtad6KWG0CPdhSXinSlhDfLn61VWQaZFFhIQqYCANriiw
Inb8wbWWViHq77JbDENjY9WqqNeLVYBIglCa/HocsoSjUmVtCZ9fE6mFdt4Mjw4DByQ1LiEjjdB2
soxwpRAFcqpNwf+dnUSc5MC1UuvpUyZ6/d2b24tELcc41SKZ6Pduaz+k9nojLeenUSd267Y8Mhyc
ccpaPcfl7DRSd9VlwV080lOregzAtqDgiC1m2mInJRINW3NH89Kb7fZBCBDCwJs5vQ2ec0z0oo8s
2VMU2hvzCYXsztCwJ9IArW4DOklZmNL+nAJf34gxqKg0n6wwRbEJ1HQ7YCF8zLqC0RCk9KjRCX7N
dT1upwDWYtEqcAVuCl1+Bi9D5Vm7kQaLWs9pcCN7cV4PKjvNay7j9fHnG+8a3ZYskrFtdS5m9B99
BEyqNkC9nmNrRYMV1lfhUftljs+4vt+lXJ4pQnDolXVvAP60kbnGtdqimyPLh+/TVwNGrw7VYIZJ
oLUoHLJ9CQjNTY55bw9oaZVrXfcjFN/M1w4Zpo/BKY+i7B7bZpKh3vbk/5X7lcDn2kCX3yM7Reli
UGWWA1meYtr8hK7QXNpyvtH1SSMG1aOAeuI+p4VuwxuQhR7bBNd2I/QKDqZM7AagXM4jkfrdkEmG
B4kVIblqUWU0OspN9ewXM5XcnXC2rFWYEvtEbSj5YyDeODcegeWprfU9S+8XXMq97bWwjuvvsytv
dWlcilzcgCfCvG40n4MQX7VLObKspix0vOXZDFb6lI3iSGMx6DewIKor1aFX1b30CmfHTlUfHd+A
TJvZ9TFl14rkYt73Ot0OKuebMhjZq27kNxptWruk4LXETOuJobub2FNAM7X62WhNc0dai6fdWWU6
LoSRrMdLDH14YyEtZxql3J7BXduufW0/4lTa8RY+sOrepho1il6aPizsvM8kI2tsW8TjZpFt80Ww
j1MABnJqvmm5AKA8LnK/ZKMGAdm6y4Sm76DcV3uu/jvMbMXBLMShACkfVv60hLo20sYpUKMFHJgQ
Qn8OwzjRotHOPh3XYhDp7vExEbaEshxmGC/wHlvmNnAWdxdLNHTSbg1fPuoDSIflpO9Ga8eB+xtJ
poI/p/42NR0Jx1y9UGumzrOtqbOsiO3X8/K96eKbpWdeDqS1LtxLtliSfsnw5PflSVNsP1kQ3Lua
OPoO/k/piHdvWTHY3vJSxUUQFk5psaVWZpjOnBa4PrSRJxBksfwxQ1IUb1ZW8sWSah/4oefSG8ir
Gprae0b+wBCPeF4+fc7lVG3UVL+BPCZO4asPrW9Q4JZ1M8/+D3tntls5kmXZXyn0Ox0cjFM/3nnU
dDW/EHK5xNlonIe/avQn1I/1omdEprtnZgSi36pQQAARgEKiLkWaHTtn77WJNdOKD6fsmy2oAaK5
IHtvB684jWN8w/nlo5LVsEV1fikLTpMdGDmCpClkQhOH46icnRk0TxFuuQWylw7jZwudbxjxhPhm
gRcsvLZ0UNlOlqXrCYvjolNz/LdWcaKf6O72ufrqDGJnQF2mLViFi3Ysz8asgaYBGS5qLZFrhoJP
YVf1aLzR9OewDNZe1X/rdaPduU1/sVStr8A5xGvVsxAZEjctI4vXzG4F3Y6Gu9cyw66dqVz1Jlqr
1KW97GaO2uAv3EFapMtpsSWbrai3ehbA/83H4xCqZF1LgF56kqzHkTfQrR9VP+5C1IPQg58jL9/Q
r9BOQU2hTObZzAlUN+SkxQQPTtMitrJwHbS2Whh9dCUYjGtTfkh6gdcute6yQAY7ZdvawR8Ao2OD
XBmemql83TsgWPJUBPsn+u5i28IgQp1Ih1UPeWvbeLyxVH+iEw75XPO8Q9DOw2uD1QouI7oGrL/L
YkKl6Fbls5nTEiaj3OPpCa5kme6sCnGKI1jPA/i1gRfCsx2brTOyY2n1S8yiDfXrEDiUSAF/KaUI
q81pjlgGzO4qPwE2+2SXfID2/InkQJ1xBn3L5pWY7KY7zDmK+r+IV8DVHwYsGmsSUQz4vJaGDtoP
1iHHXxSihFoRjzKteqvksXL8cBlNE44JMCV2ab9HmTjPWqmFSs1mIdryEIf5zhYAzpOk8ReuHXxi
gpGbtvTLdcBbjDpCDefJHzYWKAhowc9uUb1CA2Ert7LHttB2iGohLU4XiC7IHKe7UNTP0eCfDDXe
1RH2A1u1uz4CXFuZwVsVp7d9BGUxTyUoNM7J2dzf7oTZvTpR5q7tTuChdXuIO5r/wN59H1Qoio3o
lBTxTaINZztK5vyI94kIDQ5Vzkoa1aXLO5aL6cVwvWMML3AJTcVdymGAFxWYVyWD7FDQoDd5ileO
OXxyIKLNDOZ31XWEMY7EagZEsGy7cUjW8Eb11dBzE8eZwDxHlnN2yQAOW5W+tRne0NIf/KsQAuiy
ydA2Z4x6VNMgHRJFsbebWOwFCaFXY5o/2Mr50ML0s2isufHDQIUJW740DUc7NlbyqQ8JCY/Ci1f/
/QfVSOZsZHz/vh1wF9dv1dwS+FEa+Nt3/d4SsL/gtDPhsTG6Mzjf/9AScL6YaAaZQZvcXve7ZPDv
LQGyrZhcI//6bYb9Q0uA0sOZf5pPy4A94K90BNj+/kVHgNHH/A9GE36ZnzsCHC/Q8yWuTqCL/WLE
nXslSHjeeKjfFzZ8+X0wiRtw52DFfCfa9D0yhzEMrgXenEVdGhb2QRemWRgtmKxnm1oHkOClrbvN
m9rb11GaIYKqyk2ifJuKWj61c9dBtbm58CY7XssS+RG4ivgpDAGoOoXf8vDycILC/TRi/2Oan9r5
8Q0wWLBuwncyK++djmtJc9G+lPOTbs3PfMvDj8KbPdBBrT4EjwqO5I4hRbF0eWuwEdMMdBy8DtP8
Jo3zO2Vnuk6Ll/dMm9+4aH730OgvOwKUVxD9WVx5Qa35TQWgiPIeVIKKxZn2NLEG83udfH/D++Ao
eeV7Xn3dCZ5bW3RYILx34dkv8bxYhOEJpdxmdIML8uqHsSc6Q3xfX2j4oydkzcnn1SeY1yHJglSk
WU6YTXrbqejrMK9ZWVDjjppXsVq/I4PThSMZPmttuXLi/tRM3Wxp3+d5XG07u3m1WSEFK6XOilnP
SycEB2cXNFZJwLghN53mfhL75BMBHiDUm1dfVuFiXo7LxP1a9eNdG7f9YpZVUrT0n7ZNfE83L+dD
rxHFMS/xGiMNBsEWy34GyjfFrLjwEfGv6yZ+cOdtQps3DPrhd/m8hVi1/x7Mm4pid6nZZUwwboRb
pScXyZlkGyrn/SjU2Jk0tihIrhzZy1Pely8uW1hd1lvozA35SaJcjiy/Yt7vEErtHDZApD0edXv4
xrpeounhFIfjYIIvxs6ZzXuoNu+mk5f5wJCLaCPmrZYtty5FBdceC2ROYbWm4cEQDhHQIp13a41t
22b2xfiXQ2ekFc9QVLVDOu/yOds9PHK+5hVXnFGuhjK5aqEALHD2MKvzzWmRThWSNlnh9aCSYFxq
ooa1tZMRFptKWbeGVx7gcR6QBV7GeOAAQH0CpxWSmWVhYwU5PNcuMAPqbT/XM2i96ftW3s6ba51s
rnqGuf7RNVGi/aIm8uiBY/RkFkUi02vU5LBR5xrKnKspOuj6KnXTtZOXO/Yzxkwlco54+pbNNZg1
V2NaS12mFxE5NVRqY5vz0+fqzSzrc2VyOGOtQw+WkbBL947HBUWfYs7iUQJOFqWZ5aK/dfwypa3S
FsvAngcEs0RApDOkI81vxkwKDBwUm7yZH+C95pFGmtFyw8BaUZdyfy71XKiGfvSBJZDw+OJkzKVs
rXWYZMSkc/Lxnpq54K2EvWT6wfksFq+ShJJlr2ELn8tkKGofUU1Nr9HECVtBKe2XfESq6w5T905R
byOiYPI+l+A4qTgUuDoBw3OBjoXRXKqYX5qwAn/JN70QRMKohsq+KmpyVdh9E2r+SfjMHzkFZGX/
KOdjQcn5IJ4UBEZ7U3FuaHLzq5wPEhohaePCqIdZB+G4e14U+gI0QLeazu/rqag55l0HcSQy9rh7
iEDNm25DxjPWVzflYYrbl5ziYq9FDan2g/nsjo22gczcHAjyRlw59G9jPg2LwsvM4yiGi9mU6RY3
aLjkNDYuhk7vVmNXJDt0kck9I3N18UkCfcF6sw5q0uQnT6fV1pdr07eMDUrSfBvTa1gmeZGsi0Qf
LzXEtg23CzOXY98bAWzwLk04Qpbug1t2n5w3Af8KuQ7r7j4VM9lhsL4aTU3dI7K3iC6V1lkXl+yd
BRFu72PjvtpD9ulSs3VZfBaRpy1sjfN7NOTf69d223Sev2LSLk8KqPc2LZU4aTgzb1XZUA7Gendk
UB7flFPsXNuJ7S1EU1Y805goyf/RHrl/7RXx0+FK4e+lKiVRBMbGN5ypJDMVKcLc0P3qE7ixTkyr
2xtE0eJJcUgDMnltcF/k0MfSclmLSeLf0x4tpftXeVVR1+nZowdCfG/Qgl1gf0UkLoPL6JFEDlZg
WJN/jaExYuYHhr4/EVg3d0uG8b6peZujFihgGlBw9ihkl0nWF+tAFTuRYWfVIS3njIPWce5Ve99U
AgmCilecqcZti0N1BSSR3m+rPzH2pcsd0L5gars2teqoGvuGkfm1qrLVVDHDqw2xJ7IRSDzldaz3
96Q9QsYJxzNrFEcGk3arIs/P8+RrX1q4eCVRjsP4rInwiL5o1yh4mcwdj2A81i49XIjHxVnzUUb4
rTRWINTlRif+ZhUi9t0GXvHS2cM3lrDXhBzEpDfw1KFH4bdRy2Hi+cfNk+xlkt2ijsCY2chqlWTl
E+mFGVQiGs1O+hL5nOHDBm1UzLyMVWQTToT+Mb89SDAtXltdCDY+FkLdF4HJx405uvorVqjtGLdH
GopMggnoVHobo4iTV3XnPXhmdgyRyPLQbww5XQIG5krv13ZR0zQctr1f3nUdOXOlzbXsKD6klEFC
TUd2vmT2dS1cD/h1VG1RHt4gPzy3erjrG2/D0fRQV9XWkc6h7tkUGnIFacCXdA2r8jAqWoFWJx/G
jK+byakuMkCvgXMri8ZdOS0imUxmr/C1eOeRoPCJ6ex5DEMiwkhdvdQXvdcjHahPqUTu16Yc4pu2
fBeZkW48Vz/5pPVZhXBXXY93WNC8NEMEse0kvqGwmyUPMFridgivRVagONdUc1MXsoC4baX/H1ai
/2pAZ2uORf6jU8B9AYn/pyPAb9/y+xFAkKZLx00AAuArvoWr5PepoPPFQG8Kw4pgjJmm/A+lKucG
SMA2sGaLstz5Hmb3mzXIhAtN+4KBIOsuVbv3V44AAEr+6QhgE6QBzZkdzbGcX9EzdCsjvzTNnrVv
Gg8qDtGA2UY2ZzzW0UPXwOVch6kTPWql0F5M3rdiUVch9EwTdcMqd8fkyo1ktTPQiFAppoNxlchC
XE9xXx67TuPE77IlPiDTV/YByI06YkmWJxFVGmo/WBFZ6Q4QrTrPPJA6Fe11d4w2EULWAz3v8DrR
c1suLKLHbobAjfZhO7TXmVNeA8nf4dk7QZXQXuOGBnGb9RVDsBY2QoVFMF/0pVQXgsbyszuNtN3b
xllapd1sfb90bs0+LE4mloFtbWCGqQ2ZPtIla8Uec4VE8WPYB92207Ui4B6yajk247K3XfOhYWrk
EsahlwfLyLrHwSn0a3J9hooP6yMsjDy9J70N1Rb6uTpiQSxobmxcTihrI1Y5m4g01aXk/33U8F8c
Q0Ryc7Dv4H9WY0OqZGpHJ2VKbYVUx1/zQcR+UF4cUDKBZ11ZqL3ClVQwNZaN8gBNDAYzVjYMHBab
fHBRCnVFcWH2V158IffZFGvX9CQ1Ahxoc3J/Qb3o5oeTtOG1ivRQLEN0Ilio81Icc6frbxqHpUIE
5ry647y/qCymZEnrPLsTUkd3MnTOkym9u4CZzBaB60SQq+88agY98Mim5bfMpGq3kOrk0a3L9pjK
Kd4I3W5WNc20Axzl4NGdBSSV3vbvELI7fyHrvngEIRU/x1ldbC0CnfiFyzB6kBJ/uDmZ2sEUDsNX
c5TaI+cymixt5skNE8aSaWhqa89B46MKcuZEJOnOwwm7vIP7EMuVZvXjW00H7hvCkuycYDNYs3tn
r8Ukp3Pre/I+6Rz51dQreuda1tyrZIzf4QXRtxTCj48BmO5zPAKOoO3Fgl3itkBQC7Pg1SaRY4uo
V1vHTUDjFQV4s4GDFVi7WrPLpzHVh2v6PWyeqJHss9to3W5wJ1cuAro8uJ61NOD+MfpkI1MPnt/4
X7EkhA9UdPmbTfZCtY5pEKB9FXl1W9RpfKSbnGxEOkRn2wnMS9YyS16jZ43fbV/VKNCD4JxhKf6o
4VxsQm9EjJILfrsiN8ubzm3bkTF6wokh5/jH0KNw/PuA54XGs9NZd5U2kEVDOyI/x3xLwDEYAQA4
O3XtWrF+8Hu0LWQIjn6yDCXi1yWO+uHSjgUMlNE3tqlbuYp4sdH71FWhPYft5D5oGY2vfWuGqFt6
DeMI9TNHSmacnruoo1nI2vRO90QbH44aRMBNJozyMUNc7kCok8GTppk9kuPM3MjAQ56tSMR5cwi3
uo1t29h2BUGQ2dyC6AerOTRe5t50GK4f8pTbtPLUVK8FQLQlSML0cYICczcYpfUQtol9Z5RlCi3N
Com5DvXqrtBKmW9AsHFskrypxwnc2QRDcho+hyEsPjpSYUjTcDxkeaPY8/SnV4QBQjZOEz/TMLKQ
lkCRQ5KJZbpRvmxllr8FXPsM1Fdvkb5zWFqVTRo/1G40fSMAp3gn/SPaV4HvbScjpY5oog7DWxGf
I/zHV+Q6Vpuqr61Tb7g+At9Gx3ceNurNN4T/zMaCFIMd5Fl2I0N1nthnldqGtuSNQlOV0vqJF4Hn
xk9BjPKbQY9RXaGsQAVsBsGyLJp+LmrFuB1CEAlWFWh3f70x+N9TTDSreWydhtu/byBeFVXz8R/f
Pv7j8iabN/nto/qxk/j3H/B7IWF+0akksGPoAofx95Lg90ICjzFqeJN9fNbWcuW/W178LyhXkfuY
CH7oN/LFv/cSHQoJMFAEDOJb5Zkz/lIgBO6bXyoJ1zdmW82c8uXS0fy1mSj1jrMZgsyVjyhYo8lH
AGYZsWQt0TyO/pb8mfFm6CrnHnJmx8JbBfQFm+KVTlK+LgY1nYyqDK9Mh8MZVizzyf0eRtrOuaSj
mBT4cThKCynMCgrBGIQEgPsUIdswTfUHplX0LXQQ//Zm1CeILlOTnxzZq6NHUtYIMjMnGcnGq9OQ
8OjqjyYRdVgPBDxzSPpZ/4S+0ztwXuweOtcgRnwaE6IAGtWiEHG72e2hmo7/tie4BIuq8hhk5n2W
PqD6DDjQ546xHUTvv8HoUtjfImsNTMm5FUxZHvOh4IgdcagwwbYxelXmMzigbIVHYTqMGiwJdAvI
Myum2xvChoI9Hk3O8ihU2d0jwxlWsjG8bTpmxrPeCJOYmjKOFk2iUYqkgyB1k9vTezM1Rwtt+m6m
tLZKT5xn7JnRdTnR+ZcNcKI2c4+6W5iPtREhsO4YgzdJFmxgfuBaTSp7EyES35t973jbnP5IyISv
8KcFWH2gRTgtF0oXzUrZhdhpFlot9im0M6XeP9ZA8NEgD0Zb3SUmraVHaZHyyJzLW9ssRGv0ijW/
b4CcChLSUo+zYR8YVbZtauWvBogWy7YwhwN07/AYGgNdZjtR9lOQda1B+zlWRzD4zippQt1YZZ6h
3yMnLl8s+GtXDuHtTP3wYa68qaOBW+rkozlGYq+EloZM31uCSsMIA42XuFc9bGaUOC6iic527/gb
dDt98p1nTSntJY3YkzipUTQihw6I48jdZNul1BKo61HCVRM4i6WNsKVZSFLlbjA6eKswzayt7ZSQ
f8gmdnd1mfePJZ0DBN2BFVz3JHpdtbhFHgEPAV9qctfd90ZfPGS4FgQC0tK7pHolt6EHFrclNwpS
UBk1j07oNi8BeN8NkEAGNwO/73NRG/0Og0s4I41LVHmT43DWtTRag5M3T/Ym5zbxe/shyGIECkNY
rn0eHH4y0NZD6REi0PMg7EicLi+Q/AQInNruF1ZUBw8ujtujE7KTLRvNs56RBvqKM+jg7BpftSdS
1oeNQylFlJ40H4cKb5ILX4S5Grn1Z4d4rY0V9kBRkTo+xcrLj25sR+/p4FsfaVprTzIZ8VbWfr3X
zcy9uFGVvhqtH4Lm68a7po/UQbMH6DBjYBLlGQxJsJVCppuu6Km7PNtu6XT4WvBNxW7RbDUWKTKo
pfJW0qr1dZDl+iEbI7LR+llf5qSojSEiJNz5yh23sEkGOvJReg1qLHgrxyKP8VjR9NKN2ueyFnwx
GDPWZyKEpG9oZsmpkWnyInKwg8o2UBuUtWO9eFaRHwlybj8jZcHAVyQhNou8BbOC187ol3XViVNb
Odpz2fo4nnrCqTG41RjZNB7kd1tK9AwRnog3mQ1zsC6jh2hdDgZqhR4IdbwgGsx5lZjpr3oqn/cs
BvQETxlNs1kb6kCpEAAJ9KPsa2DU9d5Gn/eu+5N81idHwFFMjEtScOxhS4jojPhYKRYxIVHpajAb
bQFuSJD0gpwqxKHeWfRkrQF5C6iRHSiBjrgvK/R3nczmmUjZFd7S6YrySfOx3mu5VW6o6xkat35w
O0k/3ZqWz7mGp1/bFX0aXFuDRPaSRcbWSFX7Ek95flZapU5+UWhbLYrIgqWP+01H6w65rpAHYLnT
wlGxdTuRMrYXdHTmtqm2iIWtfVgYegiebcLsBp5LeE6tpD2EfZBfMe6qlrk21Te4gYdtVDSQ1eJc
7kBNqX2cMS5ZaLUwH50m7teVmfX7SlqEBI8zgpsBCMpCgreYBP9PzfM3ospcslBS/GHNw1z9P/9P
8Wuh8/27fi90KEysmYjiGuApwLD90DHxv+j6zFJhcPp7DfTb0NT84ngW+yXlh0H9Yf6jztG/0Naw
3bljIkxH8C/jr7RMfgZ0zIpvwKuUOC6+Xuod/xeYCmHqU8YAxCQDBLa4GhbS2Afe/Q835V+wVH69
CONfkh85xzEe9gwYMT8PZmUYZyFWUmulj7RfkufG0LZ0Nv74Iv+c4WXQ3PLoInkmjA94Iz9fZQTu
oNUExq3KNUkqm35rHbtjsxiWxtI4F5dw1S7++IrzvfmR02IxvJ4Zu3wmm7GBmD/2Dwr0KInAgCjC
PnL1maTonaviGDeQ0/T65Lcvf3wxof/Z5SiLf7wcEOok9o2hWWn9yOmWgoHmvUqdEdJS55tHYena
vqAkWNGfM9fWOOUX9N609Wnm3k09aX/KGn1E4r18hOmU3oV1ldzALwMjxpJz1fkhYHfbBSBP0+5p
qDN7VZZUMhqEsrYgNICGWJ/e+lZEY2ueU2IdSVXf+8t69KKrsC26cBHTsVCg9kP9OAws3EkdBR+o
ftWm7hFeLmrq6bsGMcGd0KTzLC27G7daU6kbkhU9BNoAxbYd6Y5MwRppXhsDh0Pmj2nTLIogb45z
d2uf2XZ0I+0cb57vtPnGYfOFc1HEB0gg3ld8ncRDerWUq1Dv4ksXeNDPHaMgj4lILBxjKCZv874B
sF61zUviSklNzVn60IUINBei7rV45TVqhDyhZd29kRAvbrU64UiuWdwiqoIM6kYaKq75HAt/1w41
MlynpDsgQavvjb5LmS/R4H+InbC41lXvbMq2cndOi5J5Qbri5O81c9A4IRvTKqRyvxhEbL/1yhjT
ZQhW50Agl3XlpXn7KipqKQyxw31gED9NGLoL83LG1ryTzhDdDDZhm0vqVP2B/ndEyJsWNi9VZ/oI
dEy0/xnm9jPJ2zbONrdPL1GsYlIVAm1LYlMbrboyzB5KlNX3OHbzb5ksiZhCKL8dS2s6RIlG9JfX
tJecj4isqWufgbHxOcJJRQwBgyJw8RelobcwotqeFhhLyheTDskFhzeRkTbT6hO5VWginIJ6ZBFJ
30Y4Dnjvtq3y6ptoOAm0Urdv7DLR6fxHReIsJlnVYEJT2waf5ypqHQtd0jKhTbULtHbCr5YNFbp8
x71WRZmforIfLrR4sltY0uZdqaxqyZDOjq66hm7o0tKbwUJWkSA+0IaSmgs3onarMyDBie83No3V
vk2PopbFeWYL3aRu/EGB0320XRgg8qoGnioOh0jFXZMQUqEVKD/jmdhEWh+Xw44gH6wI32dZJ4AX
yV5d4TdJH0n6qwgiSYj6sHHB1bXnyCXyMtCDzIoPaL8Jn5Wj/VkHQ/Q4hW21Qi3eMOIxpAlonoRX
boK8gsLBQHswkaF7NGEJjYuGVSOQt0QqHPEA2+4pjy3IpQN3xOjt9tbj3Xuz8k4i3uqtJ5r40EDa
SQ/uRiWTs47DgYMkfFNSYYX+IUL84oXmqhPmxyUEfLmCo0T+mJUhs2QiuCLlIJGI6Q3jEPCAIzZw
3PGdPEEQgBACb+JutHnjAPbbQ1whQTU1bYtKcNpEY1nt3Yx3rwy9/NEFarwNMcxBlHTDb7WS4E5x
YH/0KsuxJg9RdchU619nhjHS/rbKc2TbGN0RDip0DibIF7S+yyyaHoKeabDtqf6icTORbzLATXSz
finDYLxuYz1fsU0V+6YNo/0YIZNHbpdxCuewJg6gKwKsB5qoFX/JOtnGYAq2NXX4Zejp4y8imnKL
viNkgNCr/DROE0O/qMbqp48DkApfSzH6Rz6RTlqEdyVmILi1jNje2/y2mIWddMcExmc+YBXlm12P
DKsrlyaeNiQ7lFXNoaDbt2M6SD4XAKh9Q2bXViQNlBndQdA7JDwSfUdx1880Jlux3TggH7wOJDm6
P1Yg4adLklefhcHbEigJPcB2iq2pyBFGuFm9QjcPh2VbjtHKz8nBdXSll0SB4GQmTRAbBCX+EgUy
pTfcVnmVhzmhMB5hs2lsz3OGeS336hj9rqW25RDFu85shqcWtihwITQ56IjS6wYRyYNvSRvOEcb7
IoWI0ZHAu7VaLVj6ZRBf7Fo4nxHwrK+k5lrc+dC7bdKRpj7DiJMdQgFGV+ydKuWjv6jnAF0tNCJs
24iVYjPs8ZggDAe9ka8GWaVnRiAABRKBd2oMbUaZKmcIjVISxSEclZTXtOxviFBGrM9e6C9inBOP
Li6o64nB+w3eb3mxzRLVGIeSVZROWrTURcfYpw09LOiOH0zDqYxi/aaURfpOEU/RNCZjcEWIJpjz
ypHKWtBZ1eAGxPl1CnBoyRYZbepGMBiCCpt/ZUVFsdrREkD0K+Q895ZDuu7J7dgRSOe5NGvg4I4o
8eKlM7T2Do+18wkLjBmqCtI+XEBSdF+Z6cdvCtstkoMGzsgRPnu4kVKXa5vBb7OikkxWauro/ZvG
kQ+vP3l6BZG+jcLZVZEW19HEX6MIjOzmjwuWuRz5sToSZLei+IMhKBzDIojg53LFFbakN4XodLIb
fG+PqsLeIdZCJn9S+P1aF/3tQgK1LeNFJNizLPCHMizIY1E2Exdyj+EtseV3rli5qz/+MD9XsJTa
JMwwwLQcnZJcp9388zV0zSY/dMiNVZUGiHeR6FwjNOG4ngTRn1yK0v6X++br9D0xXBqsjpyYf76U
rPW4m1BqE1jAaZ3qEm3f3/Iz3of/HX4U/6Ie/7NL/PKnoVmDo0FxibKeynxpUeCibPyz8vjXe4a5
mlvFEYpjDNm/1i9/F5nYnULqrq809051n0RPrzz4fH/8h/n1j//rRX65W7UEpiYB1a2SMqAYmdA0
roKq6m4VZdIiidDSEaPw/Zr/4xn+X7ywEDU5nv37Nv/yP/9v9a34+pNG4O/f9vuZV2ADtunc+3Tr
DdiMP5x5nS94gPmGmVdKk3+e0P925vW/iO+gyFkhMNMnBd/1m0rA/WIxhwYlSW+foeT8XX/BOzwf
BP+xMnHmdU22Bf4FptQ1xffM5R8WjN7Fbc4hI117HHf38S4+TO4i+my1P1mYvn+Yf74Sha6lI3xw
YKL+/C5D7TLR/6lgZeMivQv9vErAhqIGA1UyDfdSOgWSVlWgepTZWWdAcI76CdkpTEd/z3l9etAb
1d/LYWrPUBSNs92q6EJ7dMQM2Pv6hdAybZ9OCJ4W5CTld5r0ITbZMOzSIEKaaQcOOqSITNkkwyQr
5pzZyKgAWudwKi0Zxe9trcQ2gLcU4TcG8k8kq2Fh00rycEucqPmVYAwT58pIZSk0JZ5Gcus+9InQ
1EU0x+DGutETzzzU9anuy7TctJNfkdhAeC6mwXbE9RfSE7SyQAPjX+lk7caVWcT7GjDU7HG0Ka3q
2FO3PiMTjaQSEcBx0TtaxmyP8O7cepeIIHqIRtN69SN/PBHDQILSiMUHc1gTJpseG2qwANdOtjCE
FrMd+280YMHDhgUcZYbcK4508uApv77R6P2qRTG6ILKET/29jtxxiHY6QK1lBcMZrhiqWVRU39EM
ltdjK+5ReFK4TdxBk1FusMjszr71begSbao5NzQfnJupVulLYkzWQQ9BTDCqlfcxbmoa77qPqcgx
whB2vYHqYGlnVX0kGL2/VaHNGcBHVrpjVJEeaIv6Hmr0BtGaX3f5k2z69hUoyXCXIAtAQYk/HvrH
DPeQLZq1TFc4ycjYGq6Qvrn37TBY96FVGRvgU2W5rKjkz5w7EyDjrp9fpkn5R+VY4kabASeRC8Bx
gfiFIgy4/LRjhlKeLB1VMW7fOrlu28a4xxheoiB0UU7D1yeBtk+owOwhnfIFz7R1DGYajFNo/qrN
6mSP6z081aHgOYlnmgyhgWKVeB0wlKRom3LZQULcsN31V5Gd77UkoIkx1cYG+814Owye+Qr3dNg5
Y9SYG91WZG0FrvVqSpltbCp2AtACM0WD7KcXQfHNhyti1PDYnxGGjGiOOkxdfnLmxIU0NBA5vJbG
YtpVgJ22DrGbJeUxrOHSLEliCczN5GFRpMjzkT2myRy7K6McIhmx0nJcu99DestSpk/T9+jeYk7x
TUzg77x9dfgUzSm/mldO7+X36F/rewywNfj04PHoZ+spADvGvMJG1WIGZn4VKCe+HzDImhtiDcyb
YSzrRzPIRrxieIQqDAcakxZFZ/lJrxOsXDXNd8XzrVWP5jgUD/1UdV9rtuA3zSNpmRPfCELdijiZ
lplpntzvucxeLBHE+Q2MsgMtibZejqB+Ngge4BCt/vr++F9NGUezl04qJcy/3/nOb+G3t+xD/rL1
/fZ9v2991hdb8A6wi3ruL1uf+AJYkC96tHzxwwhqld+2PsP4YlHGAtvGuaL7xj92Pu8LgGt+DgWo
+NtX/sLG9712/Gnnc2zG6nTw8Dna87D85/2onVTQtLBt136ilg3at8LaS1bQLtVWckKSZTscmQ4O
Bt0mKh9U4uM2V/d5Ex1ZyNZWp2+6pN07MUxH/yom7GWcWH+NXWLqiFOszQ/391/Uqdyyn7ZqT1hU
AoDDTdMCwT3zJ3/+hbEf1wWjR2+lObHzZiCNfewCwg+8xJr1ZaK0z+GYpMchMvw1i/e48qwAPbKM
GvJfHG+6JR8N5DNkYOZb/rAeLHTaZHT4e+K56G+aWRytPc+ozq5eOa+BAfCEqt6M4pXjeMlL0rCH
LyTkhE8hi/oVZHT/DNkXF1Ac9ck1qT7pU2bPfuneZma7i1RL2JERwqqbWjc+EYHYHk3DlEQckNCw
VCPO4rwfNOjBTkB4CeDiBPwAqJOc7dMbwbt5gPO2uJbGF4k6piciO8DXMIVad9sMEHWk7kSfThVU
QKZcYpbChrJgwSfzNiOZauTzEIuD9pkdHeOSvhFt32zsdKgBO+S1T3I1S6nQvHQZlLOaH2HimWTa
Jb3YfRULFP1ENfbWdUy053WG6HtvtMa4NZqcRCgLnTcUsmS6VJHjRwvlaPpzKQc8VIQdEOveDwFr
MuqGDKllCZuS4SLuZOYPJw8jBgjGUh0LIn2uojYIrypgLbu6c+MbRxTJDSfG4Z5mpr2rKuEg2CmT
AHtPMFxyXcSrVo+9B6DA5gmYarA0CEz7NnfVEDZVxBKshS4ZVZZ/o+0Sa1suiXX3HvtyqnZRNDl3
QzIjenlLboAADo+QIM2rqiqLnQVx8YmRZ05LU8gJ06b2FbbHtLPxzh/jlmQQZs0G+FNba+68LKnY
Fkwa3pQs0WtP71FfsVhzxI9D/kaZnnfse+40vQ0iywf81eEEY4PUCVQCgYJwNLZtVrEJxtjpSbvf
tirI7uMSGfT/Y+/MltvG0i39Ln0PB7AxXzYHkBRJiZIlWdINQpZszOPeGN+mL/uin6JerD8o0+l0
nqiqyHN3IiqyIiOybA0kAex/WOtbWmxOgZyyidfjVnc8xu1zPitvD5M4gTrtJSsSPGwoGaBnasgt
X9poIuC3toeNwzzpM7SI9oK4zWcSHjaHFKsZKJZ0OLhLggzKA0nAhF48ov8OT2JKOOcZ58NJGTr9
ttO79ozNWX9Uoydfo2ayrnI9ZECOiJ6KakjV7Gw6V4YAD2uMdqtl/Yj1jNmfJA/EkBy7vWrxNyeW
29/4c90zDBNyCUZln9KV1Bcz9UtWIZ3BDq6gfGCHR00R4pvrVqbd9G+jZaOXTJsYp1odFf6zH5Xz
Lfg47wFrH0b+CZbrhOQ+nOHjZHalrUryX1/9wazOEzGz3g0FVykDEPR5AqumGW7gD+qfdUw6YtPX
qdZc4rBKv6GEt/ONGwtSkWuFK2vjTcgZSjiut7lsuAzGitmbg6rwZMzCeHdrqY1k19noGaQ9gids
G/Cp7LdxJuSahdqgKENOYeXOpEwRuodrigir3J2cm7ZG6Wpo8KtZAExXksDgZzmF1l1OxvZudDRY
sAkX48qHlLXRM804+xkSOqAduCGiQdMv1iQ7F855G+0mISSzr8LPVy1MXYoRk+iidMrwVIlkJE0u
rHTMuhVTy2IjorZU2waGDC9nsL1trvkTblvHvWM7gOgnZjWxp9BND9I0zPtkqK3nIoQw4QsK/TEy
jW1c9tmlliJ/EnHZ3NHB5ZuktOXWoGiEIuuoZ8eV5j00SHz1TgGcG/had8JyU17QwwBMKXvGYUkD
P7CwcXcvNXX3HKfoBVa45IcXlF5RgT5qDv9NsoLxq6prOU/MZRQlmD6ZQrc//vxPrV8pugIJFapH
tXFX8wZV8VUYuDuxqXf24d8cXv/uZ/1l68k1lCQWWbvbYa2viWnZ4B7JtgH9DGcNfq1V/bULPMQn
Gy4PuBvx6t9Nxoylv/x53lNhWKZg+sZMDCaXcPW/DHq8Nu8lG+Bs2wfgmqy1nq3yDTu7tf1CL1Lr
a2wV23/9shcu2H/9mS72AMPTdWhgf5nIVDMfKQK1bAsqdhPtY7yCK++gVu4uPqJVc//u2/zxGv/0
8/7yGuccgRlkkAzT5mrTR5vwVqzne0IONxpwuu0KbiE0qY0VIDglQuo/s6Dkh/yBSnXZaf/zinj9
2r39pRr+/Wt+VMPw4FB5cqMtTDgEndwjP1SeLhA5RiMOhR2FKH6tP6ph8xMTxyVlVjcWsSdL9j8G
Qfonn6Mf2BsDFSKGBUaUvzMJYsD0y9W6UOSYBOnOUgvDkDPcZVb0pwcCMkuCuiNDsv4o+6ekcbtv
I0fOwTba6U4XdXIRjVkCobHKh8bTrBd3kiNjddyNVRFLhPGdfYrAaW4yP5nJfxptnu6O037HaB5e
T2ViBSi98i+tEffXIErzfYQ3lElL5dASdiZkudwNYjbIx7asltDoybrXhq77Qo/fbivfTR+aBmka
hrL+eTKslhgtORaBxrPunmCHamMblfk01KwRBkpyagazG+4Nj2hSKuTMPDrkNj6X5GYs8aaL0c20
/N3AxhSscg3tGFVpdDBK073NCBCMKPlnEE/CYnnvhn13C3yyzlfzjPkFS4fJswStEiWrkZbjSukT
sTjOTN3aTT3ZIDoZsBm8HSsKYty0Np5H6m5vKsF4wGJLX1IiMCv8aQj5QIr2aEaVlk0vtKl80wYf
5DXwNEGkfKV/9k0hziH1eZDXUp1Hm9Mvx0T5Zk2N9zzpQ3xS7Ui6LeD6ttlIcuI4XrBLoC+r6WJM
RWouUNusumt8L/raq5oFPApe/UJBA3szTRwE5W7l9ScL0yOkEdbuMNgkD82xq8omwKDmu7u+651q
Y1md2a0jJmMS46ljWUFiOVnKOKFi/UC8+FOUOzojECt+V8lEOItvd4dOK1rQpkUBdLZtprehg+S+
Iz6e7SagEHOfMnDAPIw65iBMkEVrY+janJ2iHd5OMqwUzlg7vCF8EXg9qaEjWE74J81jCefKWvsh
HpBqEcUXizw+n5J5TyPjP6Fzr19bP4X1F00JwNO+9M9l5GUcvgjuqygbjopo1ADPw1J05s41CDWb
lzamJ+bqFh67bICOF+Ln9p2Kzz+sYbiT74G2E3Qomr3rqPHQqBJmmtyUZWQ/VNL1Tgzd+vOQZtoO
lqi8FLruHXWh9B3ZkdqRfaZ1dFSYbHXyVVb9aCM/SOL0uurMNMBekgTsHC3I1hgt0mYiGYTrYpvl
80xEvBteNSRdbl30q2ima41EwYVv4HlwBuC0kQYk18XIFo7q1VnFxCFDaEb4UtqWOguvxb9tQQAy
JxphpsPJrphxs6oSR3nM02hFFhTmfqMgs2TuGlzAqEJMMpQvbpMlX0lxY8k6Vd42dbB2lq3Vbxvm
bUtibBGMoh3PMndhAIzw8qysg1jde80SZV0lmLMTsSv92X82p0i71hkSzssHP00MkOLiJNIqJYIv
C7tdRWsKNKGmvV3namLAKwvbQz8TVrm2RrEoXiYqtwL6GqboaCRVMB5T44s+6PLbkqFy8SIr+maL
0npLDGPY1kMT86wIx2fTZdZdhrwRo8/aeA6LKUD0iyNESGffR5LtaT52QC3yYj8UbbzGT6ztwiZj
xDb2ur7FIUhglMm7SBjEeOsqsAqdPiwxzxOMXGJKQkzQbv4IFwZ41JS4e72Pywf2q8UZObm8Fggk
sfXkyVsktPTiYj2659qfNoNry51b6Tp4RWiTttnU9POLaYzHzdnT5r5ZZUnjoW+tB3tD28V6na5R
f7dTgzGayEvjHbo1eYq+3r8QyxcfUlqhs0tydMwn52lbhXvpIBoN2JTV+mg6qh40t+1FGOYl8ack
OUngfnSqOb1aYwUVSAk28ENy7gauELcy9UOp+d71RIsbNOiWmH9H+ambUKAPmmvd9EYWgcydIAdZ
sf08KAN9qmgzWAPc7BPoL60+FBGQiHywAH5kJMCi0Gwcc0czXDBZKRR/zSD4FynMoooxF30MhP3m
vSW465pcKLoW+0NKg/QDWY21KGzGyIZ9ZMWueuK8a571DzEOpB2EOW7pau6VNi2CHdtmpAkHWGiP
YUoacmInxl1kPAt7SG4cazYPnc3yLM6c+XuyCIIaUev33SISSj/0QtNA1NQAzXhno6F44q4TapMu
qQUk6qA3MseJ9foiQupaxX/j+9If6DlQKWWLYImRav/qpklIJ+NmPr8dULMbpj0q8M22+sKPy27a
uCw+64WT32HqJLvKR0Vsu1X4Wo2iuC9ag9Zr1FuSIJBRiXQa2Zp8qKsSObv7eZFcOX1b3SSLDIuE
SYIHIL3Ke9IN+iuOahRbUwH3bxNBZwPdZBYezKY+E6dmFuO7bRdzEPVTf+9+KMHI8EUQDhSq+B62
0DvMCUQM1gkUZGFTqJ23qMoqBuQtUhpSnoh1QHZWzWnyGd4ZTBBHM3pClGRyrgskVSvSzOdbHbaY
s54cpz+gjJzBQKHL2zmawK7FoNF/baOs4rkDREJmJvysMGzPldDH7eQ2I/61Cq6XZH/zUJW9TpkS
NhF4AIylK9SJ9dHqMW5uS3yYz8Ps97t+rgo4U6jc1XoSuFchEqTaPWO2+jKabXOGTDECu+2H2xGF
Cw7AsDzJPJkfO1icgW1qw81H2fifjer/WtaczIL/dRndle9J+Vq8tr9W0z+/9kc5bX7SbZ2wUV1g
bv5VSwxe2V/qbATGbFHthc30+3DZRoDscJn4Do43TNjOz+my+ckVy16SwhcFMDPmv8Vk/piX/6n3
W6pp36Eic4SFDQtV3196v1EMfR2leU9EWkNilt3K23ks+3sVjw3mSA96qGpQT+UFq40V3ccAxbK0
vRysqy2/oOjRyQazu9d5DIc3YflyzziLuCBCgmxAbCz1b2JL2leYGqJz1BuqCfpm8nbUA8SIZlVx
jtiM3KVxNGL1rQgoiJfMaW9oPsfhHJ/pN2CkJrXlgfEsEgYz5mCQTzASq3IwSyZ2WpUXTyCM5zOj
1pacEg6YE6BfEDCN9ZzkHQnbDjM03vx4B0p2vJ46w+fwBzQnFSAXYrbqu6pwzR3GKG8DFsVcmZOr
X2M5dxb4i/hc9GoI0LKErz3OZXa4xniQbTJtx1S4mzmcJvKUMHyEfgiaCNL+bnYixHQ6mWzUxxUM
FrKG6gWQRgKKOup1bV4bc2xgFUjx0mKPektmcIlMGaNL4vIsWqKk7SeMMAyONFHFt+NkW+shFBLJ
sHJYCHoeZLZh3KLd1L8Aq6KmsIhzB6cQRwFug/ge+5NaM6weqVJNCJul5noLZsNotjCZhnPClD2o
ExgXt1Hskzkri+E0myUBMVFUbo22iLbaNDFmanSj+JrOVnrucgHNpx7n6T1KlGVsPLsJT5FQ+bZi
yHyDTpcOR0eedGNbU3vQ3NY6UXNFN7xrjEFN2xxOER4yJL0WKsAVqR+kZJB/x2dnRnwxaHA1XTB5
kcxg4guBHgmibwTN0yGDCUJsc/dNpLcXc4wRK6IyIg4SjiePTGvsSGCbBeHKeQjWNuKlwawJk+zM
iq7deinYZA4NPX5ojZI0Jyal1NpFOcIzacLUf3CqjBz1VPTGJdRHeQc8kdIr09XMgZgh1lzlvT5+
K2Y7InsD/3Gz0WK4nlvATaYPonXu4UBzpPHbe+6A/BPstEHFt3Zj+2xWYlkpQy1wb/TYEvWzVuiq
+YL/Has/uulLbAx6vpVGXtyosOqfcsVmiPCh0dmxRzSvMWhDSsl0yE64kF3nrTW7+pY6pT5piZXf
p0XG2nCMXOfixTan7ZhM2otqFM59LzEw86BFPFapBmC5akJkcwkloxKYcGEDtZ/J/0wRm4UUWh+o
5C6vq2Q1JZ5wIMIUkpEUqGZ/1Xfkadk1wu5h6iJcu0kW+KUb3vRlOO8Jw/FPikJvLR0H+77dj8YT
hkkIwgDTA+7b8j2LhE0l4lCcUwt3d8RqlJuB3E1+R9yPryGK3cNAwHVQ9lZP9zX6QRYN+L0Rqt3n
alyywfTpNPlt+yLilHxJU2uroB5dbTfHUr1YtOwvsUd66KabNCJURJmtoZd21TY36vncq0hcJ2ao
v0Dgaa+dZHLOotDLF2Pw7K+DNw5HUh20+8Fx0gepp9TSPUtj0hCmzNr1mtORfEM3+QSkzAlAcNZ1
UCYZ2r8ii+4HLx4gudGn1uWg0/A2mXs38/dhc3V+9nUANvFUhk597xCnwv2elcYlJosJIGk7+EjV
chC9BJNn2vVsdc5WQSIw6L2ETDbWKPvbjKHrtCnzudqMRlhcuSFAHjkZzc2UQdBtLelC9Iy8vZmM
kNR04L7gzttu7SZs4GzsU0HdV+W2t8voxWuIXlUslLbtuOC9m1yn5sdI9zjA17ktSo/JqyzklwxF
fAs2aDCep0i6d7Hl4C9DGVEv+7MumIBXPgPXj2jxfYDSRFh07IOQuni5wSw5Hdz4KGFkPMB/AhAm
mu5kGlqHQiSMbSgXXffeZUS5khSHUWA1smrdOXqk30T9As1GvNseW/qBL4R9+OYePakE+p2SUtrZ
Xrh1FgbCXAn3BREpA0SrKoAkxAsvoUDyfWaWkhxdkwZhVS1khQgGJY8l0ZZfu2Eo79nLTOci97MX
ssY6AGZQGnhe6+/hQm4oa/IkN24izBsmR2HA1tU/Vk5NK1yjz6k/EBBIN8vAUXoTrZta9E+0+xjx
8cZVJ7fWvRuL9+EBqRutZEHlHPAj5UuxcCeY5zSEsIE+h0u3gCnUgqjwtBDggRfieAWjtjW7Zjhy
WpTHGJXJjuMX0kU52zf8Ws03enPnVZMdGUhKbZXT3JrhLJ5iLQKYHVXJbVk0vgZhW7SIFRbERr7A
Nro8m9l3hPNRFbl2qT6IHKRJlWwY2wQeCwKjG2vhd7RZV92YrTrJruKUXigf+cL7cEY64JXn1DRH
Awpm5j6JuR/pcz/HtTU8JiqqbpF/5OfaiTm447nJP4cZ6b//qU1/m/D+Xl/+S7nfbZeU7//4f79Y
3H5+3Y+6FMAPNSZDVEazCFepdn9MeSk+fdtmD/Dx//5ekSIPFEiCsf0vqlrP9X4OeK1POonbCChc
kx9Dxofzd+a7wvtVhbxUpHwPC6kf/yCv+Ks4uLMM2US9Nm9SK85OBlie1TyIy1xIl3TBqLsqFqRG
I9IrcszeeB43hBNjQ3fIWVpHnG6riMBlotjaL6MxfK1DKF1OJPJD5ir/S49BYWenRbOaOZMZljEL
dC0L/qP2jjIOM66BV8bq+o0elViQG5ZdFpLyFYhzOHMjba2WAKer3Pe2mKZt0c/vKU9NSiuYGiqJ
sYGDFl5aNFfv7xuu/lUs3H7VIa2Hl4EDwGFWlZsGuAu/PJu+RqaCQ28buRYxCab+3DqgdAv/41ZC
9IFW+jucVG3NxCZbU6cgg/Pye60h9aEHoLNmF/oAIJt0R1bca1viRg6H+EVFITTpuT4l4Orx8M32
eeiQVzWRzSzWxV082ILswaIICOEGxOi0JT4jB9cN47gArbh/MPGKrKTXPxmRjPaGKMxdNLrEHTJ6
QqiYDXuli+w9sqB9yTBXj1GVD0+FzL7hm0CLp5nf8K6Z6762n7S+KHfJpMdBsQBdO11cgA/VB91g
tWkv2NceItEF/D4tLewvtVDA3IUHZi9ksHRhhKU9dqBw4Ybx2Ru7wa1ONkgx3F/CA2VnLaCxUbUb
6AqnweqyoLbLt36BkkmILBthyBPm942ns7H352hbRmBIpoQkCnN0DozBk3UB78ztEO1XCwKNLcKt
+oCiQUeboaRZZvIYModeo3u8qoR6Ujl0fSLLq2Jjd2ZJqe4cnLQdtkvbdx5n98UqxasRYlr3kO8U
oaRE6+59FuQrbAJfB42JhjTG96k0sdwk0W2Tl8dcJd0GXQiTAM+4jWfy8nTVvg1+cUznxcTTpAHQ
7nibsIPl2MN+3bFA3ehjsSeZ/NrsKJSHPF18+7CovJFBqW1vu9A69ig9CU9hsxDH30yT+MKun1f4
Ju7lHH13SnUMhXY7qeaaBcQbu2nkLcN41SsH+mRjgWxzxqPytfwJoNdxwh+y6uJ6p8QSMoHMdYW4
fK/18xPZ1y+hOTOpmZt7EFr2uTZIpIvrvac5DM7UvPYkdwYMXAaXjnlsYm2fF2Knt36Am+nO7/V6
FRbl0a7G7cwQOR/SuzGejHUB+nHl9/5TlFpvURdnWxM+Fbl3ap92fFCIHlZGttAxRjI4Zqf4MuBv
OUAruIV9fWn8MuctJN/QMq3ndrSPcSLOrQ4Wb0DMyUTRO3BF4hoovS3EDLkt7YrRK2kMQVj2dz4Z
BYnr3U+J/QwxC8cqqtpFYSNAtLZ7WXnWdWzk+m7yu3SblsN36A091w4rl7Yha8Zz8vKsGmID7NwE
7yVnf+NGibzV47TDRsRQNZ/lKRxNfR3rDYPBKgrZtJAw7lPtbD1n+s8854+t6OL35ZT551vR/63y
f/yfUiVvvxyavvX7F/44M5dDEF047m6sdr8NbH4emmIZ2HD4sbpfxH9/zHIQCjJPwvaNfpDVJdl2
f6xGDf2TsE0cIxy3rDLJxfo7J+dvm8+f2gFU8rh20Eqw8DAouR0ipH/ZjLoJg4C281O6YFx6K7dx
uEuYInF7ZVmvCCFiPrLqNIijIkRBLdGGf86xhAbDINOHchmCMpCGn4UKtr2xnbZmK9UizdbTBp50
Nrywo0uCxKZFMXwSWcgMIFl40hsW9f47kpdHzbQJe/EJAM7Dr00yuBu9muK9j4UX5aGEGgngPz6y
UKHfLgxxFQ4RKGmOyWJdeciQmjE0b2TYUuqqvj4RUGKexr4GibdMUNK2dK5r0BSbjk/jQL5TfZWi
GeLG7Wtu6lQL1W5IRbQ1vZrHmkE2QO61Zroa22SLfI9ep9/29HIrpuzOdnHukJnelbeEeWbHfCh5
ybX1kozsRZ3IREqVMdAZam3Zbzmc1EBoCLRXMCvIzByQ6qxs4p+vsm68z0lUvOOVNJcymsxjEk32
msyzcY2jb1q1vX6oOv2pNByI+g1eziSV+aqyzEfV2i8k8YR7aVIbCMyLReUZL7GosckWujgWSLM2
tt2QI+pOhylNb/1mdG5mo3/1InVQiQ6NQ47bYiBhPk3gTpNVUWwawyGtUuHAJj2FlJMSBaav+nHH
4uerZ4LndaSOdaEMoY1OyAgLzS63zFe8dWP2cm0xYzGGJN7BWyNb3nRHdTb0Hlt3VDfxHf7A+BCn
SDgjWpcHaVBV5XHynpoEpRjlSMbjtIcoDrIvnb+7U/6C0Lne4r1+9WYjBocq6aTQu+CMh5suKd7W
7DKaK03lz12h8l2JR5EEWWeHki6+pDp9GgPLd9ecnlHCs2WDMVdKO0XtDXKl92Ct5m3PyEl7ZgF1
LYHyruwyJ8aAj/iyKLxWvZhezBy49qo3CM0mG9LZNq42o5o0wl1ilP2NII3r82yUybur2UPA7MTf
om9EZ7WUg/+NZuV/mvT6t3bC+JfP1EunuuJ1+uWJ+vPrfjxSzU9ouIGC/gCN0lb8eKS6n3A2oUFB
NPKjRfmhvf7E440WBGsRABuBJ+iPR6qmf2INRqOCZBv/0W9P6b+hvybZ4Be5iYNoBcmLxwni2Q7P
dfcvYqXOcBgDjTmKPXRwW19aY4vHd+5J/mp4Nll3QOdHQquMUL3xUAbFU1lJlga+0Mmcs93wpck1
/N7KISctbaov2dg419qIiBmSjn8t5nTYx3mcE9hkW97J0HIAEHkpx6Mk1v0tL4oeMRrh2bcMZPB8
KPIO040Hl6Bce6PhHT1kLF9IFu6DhA3VU1o1KZNSXtV1qZnWMuy2n2UBHn/25iJAvzHCdjSiYJAF
iU9FCq5xRcoIAIBBxC4iOyaWJIYuWbM9D4sgyebkCo1FJzdl2sKUhP9w8qdEXSP2aT7n0qmvgCLq
j12k9GukQwRZl7l35cCxCdgjqpsoaSJ35fujlwEV7lPiiNJGMwJF59QGBDTY7MSyOb2UbpQTEVUa
2bqTLRD+LOsKFDuD90aOFQvskc4lZ/qpyJ13gPOgvIY8toryIdrJxa+xSlsmTStjLqxrZrb5bdy2
DsRTk+cXYVS2s84HXWOAN3RXc6/ZQZiGeEGcWRB/C5VZvwwNww7bVwLprxWTROhGxRDMzZI9obtR
hvbAshhIw6Q4Q4EjZGVwh6eMQd47lqDiBuQV+9/MgWW5yUynfXdmy3j0JtDltYtIKPWqeC8aET3J
Me/mjass9zNcapQRedfVRAgnIY9EZJEe+Ay/TOtV4868SNMV4SbsZ5zRo14khyRKrHv2odrZyqX4
hkdbfJt8Nu4WE8GD8sujMKeQnekS2kto18YrmJbxBlcsOmTMUzcL63eC5Ua0whpHg5p661qoicXP
KOs90cQNvmjXSkkrQw81da659G7hta017XdioDV7PY5Nvq8I8diAEqvWXttwdzi9By1GTwMSipNN
2/TDG5un8qFvsohdJlp15Wjj3bTItibRdt8my+6enGVLGYq5C9SyuVzWnKfFrw9tPx1uAYcAZ6ur
+M7ScxuH9zTq6yhKzJvyYy1Kgi4r0gpD946xePxsdcBrt3iE9GP322JV8xeylByjw0Bk+YNa1q9g
49jE0lmrO3Rbcj/iZdwjJxvfXWcIv0CR179XVTW1SK7isT/ps7T3k1Yl5OEZ1XyrzAY5hm2nrMg9
rivKj/HBiC1tQzQulH7EM/BOaBrbK9WaWJAdXx5LY5QKFT5OzFVmRNYlcVTGVgD1bCBzh7zGVEb1
pfjgrJgLckUu8BUJaeOuIKLA4+iq2Yn4UZe81xA2jkk5LWOBxiIYQbZTfJ1+MF6GYYgI4yFuHlEP
jcubhrTn66QEF2jBcgLMqbpqDFcL8EzoX7J29kBQGcmdu8BlambB5LwBnFELekan73ysFhzNtIBp
cumON4Yy66vGqoYgp6rkcdHl6xYO42PSZ9XEu5EZVxSs8jJwQbH9s6ItPJHkHl+AxcxdExIpzegw
ffXAJxT9RLR7nlaBshqZEGkRFm/EDEz0nKNeNxs/K0lelEX6mLK12MOCNde+WcR700mW3GajE18Z
z2ZXrKXEZ4OkAEAGpnnyEUU/xWEEvHz2wupOChuxSN2P7GJ6VzN4j/ohP3IeoYtq4yLZUXbHm4QP
b5tWrjqAiU4OoCR088TyR/qrlInq66jHxX4mCRITY2Tum8zyvha6n163qai/6tIZHyLbzk/KqUyK
zHQKhqbybhf6H7Pjub8rRWhteIakLxWqDaR0IovN9ah6a2fUlrxh3xbvU6UlFI49rk7HGNEDFBNB
HpUXkBbfnuoJdgq7OxnxeGtcMqojYw9ifbqgrLOxPvS6vMN+pt+VsEGuhIMiXuhl/6Aiz9ipqq/u
OzlJbzW1rXHvyck9kuSwRHOmHZHrdebVX/tGeCeIBCbBZBUUP8V5l0FlxLw3ieIOTU8acEODZnOk
d9FVRbT02EUlcZezSd4Zgz6e+y7QNZpynaeaGogcRGE63xfCQ0OT9335xuzaQSoSq1Iyy+j6o0eI
4bMbR8ybZG3U47plWjFchVMzT/h7YF6gsgnd+7Sc2y91XxbPLlxGi11dDq9SpzWgK7CUhjvE8PJb
IVsSILQmSr1dpFrSYJSw5wd/HnAKTGak3moc8Xdoz5xz4/Qsmt08jh8dHuQPhrL94wB/BVQw15+7
4oIQu6qZzEs0x/MZmou/VgMrmdE2WDO4fcxSUYQg/oyptjZGVLt3SrPMq78/6f4fWjzSnP7zhvzx
tav/8X/lnyltv9eOfNnvtaPjf+Kp55j40lm8I5/40wwbVC1xry4t+UJKA439RzvOnyBy53+mwL+H
9OGntEIzPgmxfI2/wN18nH1/qx+n2vxr6SigKBh8u49v69nLn/9JqexEk7L6jrG1W2Jm48LAIuLh
jwbYY8xj4OoxZ4eCQ/m96zrW4UwP5pM3lsaxSVT/NFTMtZmOGdm1aFpvq/XGCOPQEQupKCLIsvH7
epuJhDM1HuSdUdn948AtTavu1psE9Qi+3IzwvZi/IhEWbzrP66hn+hujJmyayCbTBfNQKCxfQhgB
4Ghxgg9hHAw2/fxrSo5jSVOOgBXHQ43mCR8RrrG2HnGVpAuKmgk1ObCkiijKuhaC+w6qAyjWTpkM
stoQStVMMmnNtU84MJDsfijWqGm5Pwh+GjaJ0eMkyRz9OEfSZIuF6HjUEjRLjJQXZ3yuH3Exqv3g
GHijc/S0KXFxt8mMiKwWBOtCUG+2Vl1n67KorMCsGLPi4seyzNN3G8OA3VTSYdZXsI6j+jVXBpu1
VS6G5OI5HFuSoItV3jrlrtaYxsPodjf1FC0JPrSlRSsIXXIG8zqKiNAiK0tuZJF1W2VjMTfUYJ0V
wct7re2q/UBazCVyNe17njj6m0ql+axzkG80XzBczcmqBcla8rgaxFZDLnPKJ4FShdQsBtuFibOR
hIIjH68flCTDrovJdMCC52I/G3ptr0rPsr7ZWK63yC9lu0q9KMEEluqkD1E68JZVyUOESvXJZ7O8
MdoqOpcxJDR8k3ozPuq5Z4VPU4Ti7CZExSJe5dSqQw9V9ewrE/lNK9T9MNckWg2qO7SGJknp7cZN
JvqPP4gex8ws2FFbnbvmHW6TFY6V2ti4tVN8Ixjc17hURpcYaLeB9JM3AqkMALulknzyOYaAAPRu
ULpde7CLzL1HlVmSrVYLsppwgT2XiHKOiEr4zUMslhnc1xMb6eKb4xczq0bfuADnbJ+cZuTQ6Y1U
BhA1jVMIg+pCoM68RQJhP0goI7CdLeSJlYq+V7qGJVNzBuQHWL8C1H80Pp3mFhvfKPRdY4fqwCyn
uwbF6sKUDdFyp6Dlb2y97t/JATWhTk2+vbPMJi0DqMJQ89wycW7rrhsezETWAbg751yWqbpDIs3t
bkBUuerj2b0VZHbfGaTebmI98bcOKANyooU1M1xJ4jtuUe5WxlWkIFQ6EgFFKdsEaI5RlPodKxK9
ZMac6sOwdXpsZhHNzmcdjzQ6f4eEoYzcM3gERrHJMh9rX58O2UlS270OKg6/dlMb4x13kXXGsY+F
gLkbZ1akC+2FJYUMxlzZd2aXhcT9aNNDbJVusTJx912jbZCn1CVaYBXmURWucYRhhU2q8LHpQxtN
Bp9ksua0G10LQrM1Hnmnpxf0BqmzdmEExvB9JaZDvHxJMBPwgwYJnShGzLYs30w1mt8RQ5DkCi+S
sPK0UNcSx8IehoPGbqULW0RdpnMVNfYA19cy+QbSFdy1DiGiSwaNxehSEeqEZdfXuo1BDh9MuKJc
swAiAa/x1pTJ7FlavcVxtOj/Kxl+9upUHKt+BtCs5mTXlHoTeJpn76q5foyTVHueTVGvyEeI1glU
3R6S8q4RNea62l76VD0ojMxaM4mu12Q2hGuhDckaNH+LORuedUltsXXYZrJis+F9MLngrYi1dcOo
YWOKKty5BFRdm24977m44yue6yZNwTAHWUkN0eJYWc+xXR/KDFdzAsIjmPiRK5cty44+RO4cGeq4
DZpp7+hJuQuzRH+ps7jfiiHW7to80w/CU8lr3nnFnvwnst1z3w4gztHuMMd7LkwHhZIaCSqW5Lry
BEEJbpgzoG/bfLM9lCgpoQbguYgy9NKyXS9a7UDLRb8tyiTcmLUa9/ApXBohMzmkOTdbzS///8k7
j+VWmjNN38vsS1Emyy1mA29IgCRoz6aCPKa8N1mVd9PXMjc2T1JSSz3RWmg50TtF/OIhARQyv++1
dTI1lBs4xbF1sgBNH5lmBRzKFlpanbvBy9Ze0lT35CI2W9aWcYMm0N2YzuJ8uiOi9JAVbUfXlbMm
J5d+8mRSOCUDXZ6EZTTZ+2Xnr0h06F9lVoY/O8vONlhdSfBFRIHdFbZVMP/qSazecr1gmU+S8U62
g3+occ7v85Ie+IVSlcStQjyYuFOLYXxt7NrYxMThUeoYLVzfo/cKDIVWzWvq7gCsuWCj6RboqWFU
gs54FRn3Jrl0+ya32m4fN4uAiPzunkWeAnXU2fPL1KuRPRELT7ou+q48eSLqXqeMVMfZGGDWMJZm
AL5eOez6vievBAVw+pZIOz/GTfkxBtIW/FNJdQn7vL+kdYdJIep/t0jWdl3FY0F2W7T2JCqZ2EGO
2GRuSWiJ65yWvK8uIzzTaSpJJY8opzwg5OlWlR0b58lrog+AhRidDjLQJoOKlp1RHjHqTAhmBkV9
ypBuEpFWO0W6PuxsENzSsh+u2egl2OP5HKdYel+jiAPkXpJNCXqWD6Dxuw2+4/6x7V04vsUv9/Y8
uHienAI832ST9qlxhwwI3odhGh6BW5MMzj9XwaqAejfRBsbJvuXoFojeS+/O9Jr+w3Hafhe3wk1X
NayHXIO+OYRCu5kMX2rbao4ItIx7wkTynWgL9STQ8z2YDs52r4jcSyX74gnbY3emOMbXZb0xZlai
fzFKC4UAKioDhgjbUOql5fHY+kFTXbtwie5QzqPXwj1nPdCXXZxHEtGf8ij+ufCG7GZ/9B4jGZmv
mF7U19QU0c+0CNSLEXr5GxOYfa15HJ5mlYlz4Rd0hXW2dcC+L1+yOfIeaN3jmcrGpjtk3VIdzb6j
g3h26ePjqtw6ZO4duixzqQQEiHRI60qzhyxoaRAi0pMkF7t9qPEKvNSlVjZExMwBRGTLCRBxpL9n
BiRaQVtjDxaVsSvC1Pk5hCPNi1OXbJc8p88eU99pJgx83TsBYI6JA5eGmdS/OvFcb2grqA/eSM+9
q1z3rsWX847v2Xij6qF7QGhPpIuRluOj280BXToVl9aSEI7mzcYtKxznFngZ05ioA3CNwlqeC0xN
1yD35kNVBukZq1R+C+tcvaessXt3DLg35zoAHyi96GKAmNirkLLYBe1gXDy74YgYljyWnXIadBg5
DUxVYjQvkbVUP7rF5Run6uSXK9L+Hhv9+OSEVfIcgEg+k+y2HFVc00IUdwOFJPOQfAqD2YUQoOCe
EYeZ1piju3Eu2gdABd2GsIzuSeSdlpAM2bSdOxcvEs7FZENoe/Yx0VD7h84WcyYTMclJihmSYxUu
HS7XIJUbgyzAu8AVyStJsd2tqCcGw5AKmAOpts4+p8vKWIlobCogUH8KNlI3xUZL4LwuaBa2IVby
R9wGy8Xnf47b1K3qZjt6fv/Hpono0E5ssDtCYvMDTpDmh46GpPguSW+RV9uHrijEs9OVwWPatSk+
wCZO79tMD0hTSfoARmiVc+guzS+awNXPWgbtfd5NlK8qL5s/mNybmqgE8hBXEj0zceV1HTwp5XX7
cVDWqeII3XtUYP1AadreUpHyAnXBDD3jwNh/FkzAm5gR/C5Ew7vPODXH1TwX7rl3/ApETi5i2UoE
EtuOSGASXwnK/OzmRb5OlpHfk1MW3XtaDrLKi8LmrrE6rC8x0fyhY8pDqy14JVaPfdY3RPBbChBd
8QetzcEa3jK35zrJO3P5k9rd9IC9HujYsRLrZmECNDaGZRp3XlyM52jM01fLMsq3sajddjOYcfnp
Tw5tnb7AdgUdFu1y/HHofPxxuWedyS9p2rnUXGUJwwPI/08sezgewf7QfCxee6xiAF3yNacImjai
qnDTJyrYG4icnwIS+Jid7cT5MhStV9t8CKDyasc/VIQdTdtihqVaNQhan3GcZDeCUgOafXpLIE7s
xEVKy7y07jyOd6G5gFf7hnlXFmRElSAQJFdMKRhmIaf3/zFgBCDAvwYj1p/0sw7/5z/+GzSCn/s7
k0UekK0tzp7w/qoO+AeT5f2FmhuffD2+/7D92hz9NybL/gudfBbEP7o6PCImCMHf8vMgsnwKfJji
oJ18B5IeZurfILK874y8f6gDIGVs8EGmdFMQ4wdooomuf0IjQNpy36pNfJtEu4+oeJclhCYmzAAL
VXtVZRpdM0c2D36z9DPFlhR8bHsnpYKpYlG/VzIus3WLiyRcNZgVc9qyK1Ptigl50GqZ+4wWYEJH
PsbKKw4p9o9ph4K98z5VNFr+jm2wQPMJgHAf2tOXm022JJDNk9DoxRTxTTI4VBmPFfaLeJxY7Yys
9bqVGvRWk/ii9NnNBXHtFHYndyCd7nNv9CHiLbj5NbBj+AA6YdyoqdX3hL509PWj0nl+nRon+bXE
YnxEJ948h/WQPJKjZL+7dRH8iC1uNmPEGbwyGyvYD8gCEcrNwcksbeNhSWjUatLF+bnoC7PUV6dh
NdyiuPSoW6a04tDFdvNWL2b2NHWRSVSDvoDpJM9fKw+0BCSB3pfASR/c7zubEBF9f+ur3KwQZDjS
jc7tPJh3ouniozlkjABWnNpvqm2Tq5SjdfCCuASLB7so/Xrcqymrn6gDGK59N/XvPJbWXRYuuENT
m2FYzx6l3VmvBMAQAZxY05oSP95CPawgui7OxPJbD6g6mbbAjo1j2st2p6p6ee0a0/lhfM8/o8on
Cm0mEgI3FblDwCp6XEr04FTrEUpFg/MyEsf8LMtZPZV63pJ68pLz0BxBP8ungRjwp3R2elh1ImtE
nll3jldPNMcZE9F8fbx3OsFdlrWyWWESDX+wdcx/spSEq5Jy0rVMp+lLWI39hnXP29YijJ+GoG9/
BmQ3m0gCy+4xLkzvoWso5oYVZQA2y/DNt2f1VtlGuMdsv1yJ5xt0V3T7kpboqKtFWTsXp/bjkAzT
uq/keGYFj+8LklkwGrlOdBydlMQgso59PlhFrlLaM6m7kVMeB9tMwpVwo+Jm+1HyIBc8BbI3w5y2
JGPId7Xq/U3czjG4EwvmyTYsWJFaBTPCA8tkISVT3HXWVABgsQoibzl6viTae6DBPp1z46EqSXpE
bFf+WJog3LXL4myYkpJDPVjLHlISX4JflD/zAsLOH/zsalaDu0+rPtsOwigvtvTVJ0xVdXTG0jhg
/0FHZoQKc287vQEnDO9VTAhdFeJl7LGdPAACqqew7YuzmqW9npA/risfnGLgtmd9cTvzUuHO3jLF
L0/zRJZhwxl3Nes8feJAs4lutOZrmNKY01ilsZoclyx55fK6ZtXdG760HnIOyqNjKOf3GHTDyU1s
qMU6Sg4YkAySTxTYHtHtNzxV9BsVS7utpp5cED+fP53Bt69eXU/H2GyqtyIG0xwJrMlWVSFHfolJ
mpUdxfExq9Arrts2m24TDNO2lao9DlU5v9fDSC1glHcnM2hDJDOVjagupg+wyeliqeiAKuDkHzxe
xmM1Wuqrq0eGmYaRekXekM5s6Pw8wPpVQoJGQcRkIUX3VYZ1rPa8RML92onMI8qV6gNyX9TyarY5
XDGr0RfNk1q3VF2n1tB9hr0PcUZbNeGRYiDZEULbc8wNWBaBTUk9J+fA6KGsjHxsEAJ7pvHUIE1h
xB3m5yya8js7tuufnMr1RYzt8IXUp/yw+368o/2Vjpyokuqj6qCNmZdnY2KFr6t73NPdC1mexElH
ZdTE2yFqNJtF6pu3Kqh/fkjMcby4fdm1mxr3U6fjKYCQChFYoLgTBUSrJJznkoe6CnYUMI3boBKk
DtjmJJ585VnjNqp7eVSLir7DH3eEPwE/SXZ1Sh8Bt1nY3LE9curT8S6GvrThbozpzYXSrJkRc8h2
cAVoIzbrwTyTjgULFvbusBpNJ3fXBi2dl6rJw4gYsHR6CKGU4Hw4UF5JiFyeg7SpdLOy6T5FUQ5D
OuW9JIApmWnFtlNg3zxvgU+MJZ3addLMDa4O8JUaXkoZ9Cf14fA0knFwbMrQuFVmvCBHDk1BqHjZ
f+LYaOxD6pc9Zww5SCvl+P2vYEKyAXuaR/NaZD4gSRiH9dpILPfBhg3KV9AGQbbmRsZjl+bSgTMz
65QM9tE5F2AtUHIBppqjxdRa8/uC9uIrEUDBjlOzoig6ntbK5hTds3yP4w7Uufyyh1q8+l3LW6nN
MRwwk44BHCMW03UCtat9PVUEIF85qtu4iKfKrZDIHtc2WOGNVjS+8y2c6Fe32BrATEmEgCpGndCo
MEYOa3b+o6vzR3jvIdGihelbqSra934EroYnBisTf/gfwtsIjvCYMwi+SuVzHVB4t427FPeSRf5J
Y5jWekwJCOx0OkoQKWSFDLgJk3nrDfsKg+VrkA/xNtLhKiau/2cS3OPjWE1oAkF2qZ8dnZvhEswi
l0DhT4v4MHn+iW9fmhG40mxAthA0NLAhl/xb5WCm7XzKtfSB9rqZCcgMlz10sjiEWiThZ6r7EcdO
pVXExyZDl00NaZDXx3Ko5M3WKgs0S/jxyQn270CC3Y9a+dMDUGr1hO0povitSc2VSSAC8IG5FABQ
xIhBGqpRYMID2UXkZ4jxFi2TKjaMf+a7P7btfkQe8DrS33kg3sx+zbR6JPsWkjgV3e68zVP8MCAI
/qJ3QfIzqE84f7wrK2V8pUoOY4JWqDiDO7OfaN0KJgokLCwdSGz4/N17gFT1kBJOspkzEVp87Ml0
nizh7gQ41ynX6hjnWygzz5OHa22eva36VtLkgXNBo8FTZSqB8bKAgYhPRNBKF/GeludgRwp+Zjma
HTt3l2ZFB097H4q+fO2xWulX3Y3YAjIt+wkzLQEyfUWoQTPGbbztSab5085hBPVP7TgBF6iIygTN
zqCVRQqFxWuu1Ubl0re3uRL9hSjz6W4YSMepMCzQ7KC1SqNWLdX45io8/WiZBJe3j4hdS5xGEUCi
Td/SJz+Feu48d1toTRQBlYSBlDW5yCbsxxxn+c9Bq6imyUdQlYJIvlMTM+18rbfytfKqH+22gq1q
cyQyLcL0laV1WuTGsG3mtRx/5lrHNfeW8Y77pHisqm5ydnbXyYNBetvFr2pkYFoQ1mhpWKVFYo2W
i8myNX64RVZ8Vt9qsjbpcLLlWmTGlQj/DqrmiKf+W4dmKJ9UR8uqSiBTkSYMjvairnj3yD4URtXf
idZUv3oCHI/JUDsviUEphpMtjbVOY895TGSQ9ihAVXArIk8+Y/KGzBPEbb5UKHzHjRwyOjGNlJjM
lXbe3Qdl1f3mjoV2KrBj4q+gkooRBnZSUSBPXt3Kwtkl6JqxJt2AN1mrss6Tq8jIYea2wVWW1VP/
yOvIHq3YAnlg5vJonxA4siF7bKCIMEWvbMHK0z5PwNK93YriMaAb59wVUKoYdwz1NgKrLUi3bMBQ
RcHwifIcrH6ZZDz7azz4vxV68P8p3c6296833P34OaWf3e//ZsPl5/7BtxNzQg48yyORqvjD/rHh
0v/KgorI3YOg0X6yf95wbREgq9QsPLYb+Pu/bbjmXzyXMjQWXJ/zkr4Gcuf+jQX3+5+C41riujr+
+t//C+MYAjif1DJCDnRWr/n/RBlMIOpBXxR0typSDsu2L4dNCKdKEY7RmM29A5mUr3SdMwSEQ8GM
lN5dbICTr1Ky1O9EHYZcYEVBwFFbYOBecZAMj0yF4Ts+lWprFLQf8TQWa2wt7nb2sfnXtbXcdRre
ppbTWQ+kfersZ/4A9F3OL8JNORzdOmnPzZiWrxx3xi4sm2oXaDxdaGSdipDpPm8r90Bqi7ttuggL
f5dPO0VZ54fEi31ihHNWLgHY+yAHvW/iGmeyRvQ9je3XGuVPNN7PFxcXlOYASLwWKwyZwXYK+99R
EParRIz9xaLW86IVnE8NuNobEY/Ralii/FhrqoH9VEYriWZm2OWajLCKiG1n1BQFKUziWSYi4PKs
2lQv6rAZYZEtL+AecBwmTWPI6g1TbutvFqRLLcfYLrHOwzFKVLRcJiRDJF2CXS8Rbv5mxxEqc3a2
lTKYd6lJFZs+rKqDuShqm1oHq9CSHHmT/UOpqRukc8YmhACin6REEqnFct2C/T+bpHXubQigml35
J5EWw2ug6aHYnpL9xCTOpaLpIxU3kgFDk0oM7ckOb/MM12Grr2WcrEdXE1K9pqbqoaPhVkUzcUCm
sQMKLvYQeFCM37SWJrh4wPFjoyY/TIJKIlvzYJVmxPwiABN2Ycl8zZc1yjTXPiPIKewlRIUwafIl
b53e8EjtO024CayDYJOQcITvJodRmuY7VjRAY3S+exUPFOeoejr4gAs/pqxd0Ghaya0TlIi7kuZ3
hI7tPvPn5dB7OLWlY9EUK5pgL0gVWBFqq3aNtUyrCijzaOb8VUjB6LDka81rm8p1ZZL71FmzOnia
kuwKGe252NwNi5ex1nGVaDdg1JpM0R4s42LrjwNv7Th3G0vTnr7VR0wAUKHzUllrl/zKOu8I05lo
37JqfJffzaT+FK/5oGn8LWfjA96IOz33mJ0hX1ng2qNrj/4WiX98R3xzdPP5noEE1cUGRTXveSuZ
ZDFbrppvfpeUDDSAaFo2veZ/kb5JnBuJD3ytgnonp6Xe2WSzbecY+YESk4UNZLbXaOC4qrhapl0P
I3HvO1N6cgxv3jVMzE9LUs0b3WaF9QBis/XjZOOPUUQciNt+qbpR5wSuhnm3qg9BmpG+k7f+fT+5
Nsljnnsks42EhqTVNsXehkQM8/hAhdnwy2sw3aGczA+jYWW7shr7VZynyWVpDbI/MJ0dl9JtoEgC
yedIvldil/KMDGrZWrJoHogAjrdNW7sHgAGSM7LO28+2RwdfMpQhY2Y0EdBBcDkOG0SsFtvlb+gD
1I9mN8gtuqj4R1nOy/MUi+IZsWxx6+ywPcVJlJBW1qsCZITPIIiAwuxsoG/DXty3GJf4RTWCWlv+
mYeBOmuNltU/IqPwNyWbG9K7AKO4l1i7bsqbH3Ov6lsvsPRxZqNshLUZf/oUbQ9keWfjOQ/N7p3G
wegUQT3/NJwBNSFv67Y0x/nNyexuXzeI6VeuSRXlAJ6/bjikn42K8F27wtKRzgQZrmrJoOjP1OKi
srZarDYOo2DapH5ymIeyPw+TG/9KKkFLBDhAdYzYtO7BJZpNFZjTSTbBQrDhnB3rNFOflHr7z9S6
cgY2Nse5pcjEBuAyXm0vF9dp6TAgCwPUvs0L4z5Cnv1b4YNB5aRwAuNHCbp11Ye68KrJT/BgFbxn
6r94WgMeJcFLk3IHQFsO+T7HA0G9fRo9qCV3T1FrQrLEM2+HVFN/l9Lv8dFSWrlSVKC8O45ZIagc
kESGJiR2vIiLUzTmnsGaU3b0OhqzZjwEaxrPxYG0LRPxrFsyXi19x1TmxpnDceAnw69gNo018SYE
Fbfkzl5yLbAaUVT+apAJX4RMEowCNsqfTtcpN77rHBQpOdQGV1lx7ulNPhn5REwOmSQzPPzCfVtX
1S2ziBiT/KVrs6DGBFOEdaPkhFW9V5I6O2GrmGG2KEiAndhiuyrgr4Ymi5/IZcpOvrQVxLZL4K7j
CPsxxtK7do2Sjc7w6xZNZenlN6BVsu+R7tTgGD1Kj8pMXzsEf1sbNvgaJ4EctnXrjtulM0jLNouI
TjBULtG2N3siEanBAmOGZl8eHFL1Hh0HdZFP9DJiVSGDV3h470oynI3S3mz2aDIkyFSPlzWUhOdF
idd8SAoPX53ESF3ieozw1o94Zk3WL8r14tYCnu3xbLFTwfNMIjiGxMWd+zIShwXk5yBs4d4ikWNH
o4FE3EJuzGOig2rMIY+vUdxPdwkij3E1zTwlvPaaRM6GKAZ+8cz+DzH6p5q8cA+dU5yKoih/oUjC
Q0wf5UdRRsv7bMCat3xBjkwcxUsXVvYjvGJLdgdhMJ3I2stI3fkl5Ba+UTuanc0Js4Y/tOlmXrjd
2SD05WmbkXPw3Mk/lukoDlaggxVDZZWcP226N6g/OQ48Lr9oxnY/XdOAq8UbLbn3WDsKkTVbgpSI
B0Rl5hVIDY3sCKHMfDCWwdXonOow56l1V7mS/kmCiy4gUtVz5XTtna5ZoS+tkMljj8MZN1sm77IE
q/W2r8v6Y5Z4s6QfpfscVQbikAK1+2oxgvmJShCxsjOhHtDkutfGJ6eCOFMFdM+y8kYAkdxwyYEK
NXkNyO8Mzq6qSSP1qZVflQpNH/H56H7DGg458YLl2huDc5/EZIEsGA8JaIGMJLG0xqTeAM1eye+Z
Xh26fzZz0mRfabmIc2V2Pbv14r3xDUDL0Mgc7dtsXRc6J4lVGYezX+XdNWTc3VLTVP5WbhT97JbC
2VkKjhaEnkBItILpppVJdmPPj9+KFkPy2Atnl9G7sHYBodQ6cvt42czUCu2UFdpP2CMaxHpLTIBc
5WK1pPHypbOb+rPALvjlJxEB/xDf5xkps/2y2Hh5gm1TIwCIvhFMT4OZxTeuWUkhCVAnapHwUyN7
i8J8nrYpzEi67cmoSdcUyCQ/+A3qy2PffJytmG6ARmJVQuK68TXEmmqwVX3DrhqArTQUi1Zvfm80
PJuxGHO5AdkyRAMpWBrIVd+Ybqnh3SaSzqfFBbBybcIPOjLoH2qrTrcK2nSjFmlfM40Sk2yfbIRG
jg1GPPIiRudjogxXF1GgedBYs9Co86DxZ8Xg+TvTmHSXBtaD0jg11u38ftTYdaEvgVmJGRoCZBsf
qrM1oyl9ssw4vEqNgNeTTIkXkssu0/i4O0RA5Vkem/uu5rKYcLquA42phxpdHzTOzngtj/U39t5G
wztmm+mt08g8wshoRey5cbA1bm9pBH9O2uqSaVTfVKa79zTSz61X7QHV4s9F8wCVZgR6i2rHNsGf
MWu+YNTMATC+QANsePf2lJUnVzMMvuYagFegHcRfKYhvOgKCGWoCCgSaotCMRR1VSYwoV/MY35QG
IAN00Rj21dXSnAc40PwckHfjI1eAE3HxvrMwaKakByl8Gr7pE3w0ETnJmlQxKUe9K+0mPAnkp+T/
1vVD0cjgQB9wsalAr19yzdJwTMzXbo7l3iXG5p1wpfBtkJxMDo/OOtFcD3KD8cnjegVGNPvxq9Ks
kEtSFsHijv1GdUX1S+ZVczKHqvkNMhf+wDLjkdVBk+/BHlW8tzQBVUPEn71ZevdY/JzP/ymsuGaQ
/zVmcBjTgrfiN7b5/5JNww/9nRIXfxGW5cH4UHlh29954X83d3p/IXEQKyDRTaCbUOb/CRhoR6ig
NgY4gHREB2/8fyIG1l9c1+X/C2iAa51p5N/KPqSA/b/o8wEMLMcDM3BsX5iafdf//Z8YcWMqirRg
6NwQv0y+d90VBwvM9Zxg5lxbsfenG+xbgh9kPSX2h0zFxwBffWmrtHvIZJ28Q5pl7zI3xD3fO8yh
cyDPrctj1aH+PCwIkFj7PIpB8D33d05f/Ql6m2wy2rHWSF/L14ajauMHqXn1kZtuW1iMxyJdQFjn
PKi3Y2nGl0hZ4rVWY/U1BNLdVWPurhDAJaz3IPIbI0BaBKWKknMNgJYSWphMP2XRk4mV2+qF4JP2
ohQAoQP6eCGjgFnLyoxgN4RDtBmtxhFbP4Mdo6oN0kHU7rhmPpNH3sBx35A59zy0xIqAvJsct0UT
r5uQYqxoyREIe7b9Ybap2JaUCec6SyXfUvra7+wqtY7L4icQxIVx1/V0m/ZxZH2adMtvB980cNkY
E5LCrKV0rWGiBs1HgqrXWMs9iqhBEMateqhtxLxVMNzyQZHWNv8knfaJm7W4IekyjpPrJL9b/B6H
kEo4uoOn8dwALfIWGjOuAWGsA9WKe6fqq1vkN9d+cdTF8MgEY9Ch6M8o0Wp2Y7wjQCV8NcmA3M9R
F9UrIgRlvfZhXr9k1/vvqh2Sa+8ZQbVLq6amjZXWC0iu0Xoz4TcR5pTe42hI8z50q/Z+HDsugaE2
+l0fukQkJiPv2hANOyP1uUGcquMTrsW6DhF8EsDXY36Dh3Jbp7/aol/2eKyCddXQ30S+Vn0w6jzY
kv+bHUqwauYhN71aaWru6Bmi35w02PfJY13skvG9TInKVll9JfdYrYU/i+vSFJ9GPE3rnFXpsQfU
2BAk1M2rNOF3jZFtbe2wNndYi8lvJL1lXdRddwygYFZW4UUbikHaA8Uz9NZF+C3ua05sAHwCfpss
67P12Iqeozd0rrO0xDbouuZxWgL78v0edFbV3c3YXI9MvfK01LzyuQ2bDXnP5BksgXcnLWYuFIR3
aU7tu5zmrzxqXwExHPCd8EgsVL/yra4h8r3L2Mh6c9uUTD/hFL0p4U3rQXT1yZSuWCUOnw/m437d
RiYddjp6bDIM7ydl0vhyZVasBzt542bDRYaJ5UjhExmOWXQWwSB4b7txb9hIyeWSgdhYw41553Ni
WOuT/ILg3fwyXRZ3d9adPoK32vwFV5/view+9DHtcWHTPtctPhczctXZskDI3NJEzR2ku5gUpEz0
j+DcHyqB9W15G9d1Ot6WmvoRn2SOdWT01T6sJ29DCoG/Fjprvu+jc79MzjbqYGibobyraCvG+On+
YctnhoeQpyBcf6tRzbbhHQ/avDH4HLx8ICkfBmQ98j1fkQxGst1oyx3c4Q0X4DnOe1ybBFEHgpNI
eAuavjz6mgLvMKsaPS7+ng3IcLoplfM+D9VybioU+IiNTtlgn5K0+qgTcc5am7moeA/MHE+H3zUo
TUWBfq+M1hCVTHocMhYojD+W+xDZYZEToF22HACt3b1WAxWfc52pbQUox2fsMKnnIvz0veDshPOy
WvAzbIKGLXaakvu4rbb+kDxExMLT85Tt58q+b4rmN1P4aZmyAy16zbqT8k7KgPRu4+i5aX4hTl6Q
XsK7VA7Co12KNrCROMX1ZENOMyqUq7GybUahuKDpi/4yWWBHLyqJxt822xMiS8He6Q3Pkx/jObTy
QzkahP1QOpUVsz7NrAejdUjsAjrfKMf86uyC0HCAzk0dznQyjRSKxZwjoDT0eKPSLc8zCdaCdMey
dn8UMVmblutyMDszjHTk1Gtcsd0B45sAxnO8Az1cOII6Vcf6mjla+UikONv2DrTlORGWjREHkdWC
GHRDHfcD5kQ0uFMYbcmOqnEUBYCWNnFldYB9gkyWVT9mn7YQPxinLHBqCWSU+kSZ9cklp69Q0OyV
RuW1iHyFyX/GeeS39SYpmLAxFp1G+C6GXRVBatLHRilBDhccv/gcgmQY+Ds3mR6IJ7kvDcNceVoC
JUf/M/N8G0a66J4Yyx/yPv7C8/HAU3nsFoFVxnoy/eUuM/3fdJj+6qBhqZa4uopsp9ok8NYmT77L
rI0R2fduWL5CkT4neeOi7WkuCLTvVB2eWyaRje/mL23fPs5lcXGiOQAraYtNMtjncYmutmy6M/ma
xp6OzdvgKahDWtHD6NQ4cO4ujnNhe0B0nbk2ez5ketyhqTBRW/6SEBSiBnIkC3ud8OpXI4oA27Uv
bliQd4PUnja7W0A024ovuha9Me9mduutvTny127SGfu5wWzRR1jgraDbIdmWK1NSC9mMUb03Ca0N
HJBGTC9HoiiDh9Ed7puQid0lxZFkKtTHWVluaYpm4+PZW5GnSaRPFOC06fkS0gZQ6rmeoK4ZQ18s
nccKc8HWmXmCBpuE5bh7niN09wvxtiunT/1tTBl6DSq1tiuQv7Y3n8YJedsc0IlVZqm79T1tzeDZ
L/asdxWnO1ELYzTQbG7oOAb+PNbYP0nYzBsUZc4ul+mjbxYIXnIS+/A72kQuRyWbEmrnqkrILqD5
ZCtN69aSNgO1uHSbOTATZAHEx9DVmG4CrGbWVN+HZtOulkiB4MB4d8LRzYgknuPhFhueD7kOM0iA
JAsRzsWMRASrkoQajfU+pLfqEFeg0dyXVACkGU4rNXD6WuqGytPepr77x7ZwuU2Euu5zGxdRGacB
qvXMPIwu1QmVO35R7PuDDxTyMXKB/czmV7AEKQySrFf24CarORq/XEIgCD7F5R8lU3LwG0mFPXv5
1M5fplTONo/j9ipmOaErQmIUSOATT7k2Jk/fBSsTjEYg9OuyVOVpCix0PEPZck1zZCDESX4RDNFu
6fKK7yfcms52ibI6BCkDmB+jjD10abNDlbj+Lgrw1ucBg1pSAULXXRqdSUwsdi3wxZpOsWhnUyKy
aQQWnIxGRDbXRa26uVZQMiP3UVYFZ8PMWa2HljRqugxOGSW2zwSRonVIOlRj7SCPXunU+3FWfwAN
za1r85FEQxPvWxymhywk+tszI6SiovtEMWk995BLq4oSmK1Ilru6T9t1L/uazAao3VEYj/6ccH8F
I4rPDA0EUW4bZqXolCSGsSU7JDxZ5Tiup6kzdxYZAySMCpTQ2HSEzGg1nwsyZY2ajd7rF+bKDF8W
WyK9JJjIvBiFppzSaL2wjz8uRrv8iJscfr9h0HVjLoKxlkcgcgkUXX/l8NC3kkEQL7z85Ri0KfrI
5ugJArycCvAs0UTBth0xNEa4lPfyu5xGqCnf/l/2ziQ5cuba0lupDeA3AA5HY1aj6BAtyWCb5ASW
7ND3jQPYU41qCW9j9YGSSs2TnpmGZa+GSjH/JIMR8OvnnvOdeJIDedeKTzY1Giv8kUiz0HsTf8Lb
cC4UPZCtmtghljdVYGc3WTuos0Vw6IkVLCbZIfiqteauxyfCTYK6Pa9zDjH8gNVQ1XQc9SZOIj1B
317qgoIK7WrSzGYtshmUXpqEFxye6fKKZIemyuS1IWPLmDPAXRrEzRgNh3qOoFyLZX8D+KZNjXcQ
u84tp0cKxM6x1i7xsFPPewNL6UA9RtL+rkT9m0xjtJ4Lr3iIKrvbTppTbKsAC782olx4jG8Ps6ru
Ta01gxXPAXNr5kNKtwv1QKYd0LCAgLVikWDggjP0tQG1xq/B5K0rYtEXIGNc4L0cGSrkYOW5SmjY
i8NjukzkA7P0kXhniVsRQZKs/z1YqasXshcZx6L/hf+AMBV8dTIsksE1moJNE5Yn4pn1mhhVf5cZ
qkFWtNItqmFwzis9+ZYDJSGOTS21jUnmscZBtkd/LHzih+Gd2aVypwXCwi1FJBgH4y9lVbhWrIAy
JS3Nn7W6jNbOTJ+fppmQVoRldw8epTPrwkYqNkebjqiUEomNMkb3q+okj8mh6BjW5mznATw9sXcn
x1wayXu6FDo1dj7vE20aLsPkkJEs6b4ak3Zb2bpzY7EQcNM03MiIECfroeY82PE1jaIXFpPZa8L4
+pw13p+6+v4b2CNMvAz/WurAHhEX//G//pnawd/7iz3C/sOVAAno0TEXlN/CHPiL2kEHGsMWYodw
LedP4MD/y9XVLYeiWL4eDJYrF3Dgn/0RcAPp0cU5gZPQlMa/6///aQ78G3sErCxUDkkMADcGJn3n
H5rthw4PhtQx+sV6N4AadaZSRlsTEzVM9gC7TUa66ESvCTwRoTzGbs+Lb+LELt64cbgj8RVdW97i
qCJr1fTaVevCcJd0QrwNMg2zjYqaueMCMmA7QqqdL0leMe1aWuLCAmib6SaJk3LZBTu6yYGLlQAH
mb6xsJE/Ox2k0A5UCgEXl/RML2ZusAM3lhclteCGqtjgicqX9C21mIy3fTqZ1GOXGoUGlDyV2a5v
vPTXCHT/pTCIqmupCJ69JZALCABjd9LU4mPO52YnhighQcvD9SJF5j0Mtct3HAxOtqkDN7l3zYg8
uuEmhPz4ofMX8oATG1zLu5uaDP6Au6TdSf7udHYIC46P1VZMJxIF5PiPYtYHydpM8/gBy0rx3vA6
bicPqEDkWTXRzTk/aeOCS8078tPy0AZWHR0JjWO6UgiiLKVwvRbbOLeML+HUbHxB393wXLQZoVK9
abbYB+kGJrqkD1uvMObj2KfmPc0Lxpsg2HiT2RnBbUPGzyBR6MfNCGm/zqMXXk1RzF8yHCk1EPlU
GtBZh4GwgwwtOnM9PdTWNrbZZD04ctp3Y1ylvh50sYuRvecpFir4DtxpB0zndZPFm7RwaJNPgObd
p97cv+lZxXU9JgWQsNY44BSoz53GNWE3j+Q4bDNgkit7mR2ptS4xvCfR5zj13R4znLOlmsxmeTyG
TyARbL6hztkqjaXJyomE/TtM9PYWO19CxLzgbM57BwJj6VbAYKxEzQARYmgwY0EYkrRL/z21SUOQ
REXZywh8+EQir6W6E5PGbuCXtyu4iLDhpdfAV0aqDobhpV84MO3dGJvOwxBGA0HeisFBtwP32pvc
xzy2bv4clOMrQrsCZxDo81YUnbWbEkzxK8xFvLgjNkagNDzYMUykd0Ec1jd0rGjgDZYvirq+f2tn
zfJjPrl+YPbyew6beRfRYbLy3CF/tNyI22TR4URZtZPVnBTZsnw1xAiJJgHivd7qmLHdAaGgabr5
4DZeBJm44odH+3YpumhgEhARDXw5456mPFzUZ7vF8QJSID2FQc/oTkhE9/XCTnGXiGD5S4H2VMdN
/F6KwWJdJrUy8dvQtU8DUMZndxgjn9W++ZKJPLsf7DGDZUJX2CpiT7qGL8rIWAOm2NhRFj/WTZ61
a60M7XjNtctYONzVUoqn2c9pVatg7024Ucaytw8e7E0y4dJ8w9SX7ZK5aNrNZOnB2Ztnk8+kPhpP
ltYFq1irQGrqoTxomcuEbrraCz2GWKeASQw7oJf5lQTM8AbWfHppwLScqyhxmJSgK5Ur3tzRmo7t
6I1AErUOeHAGFmuVjpMIZOe3GWQF7JUGo0ijEu7cihoIK7U9citApIGLx1f6C2nK5U3DLFKC/XwH
Kpn5fSWCdwM9YTtbsvIxppgXJ3FQcxG70jVEEPU66oZpbpLaMo6Va7SnjKGPjpHINe8nfAIX0vOQ
pKN+Tn4Fuhbaq9FrxpvIjbRPPjfhFiaIceDZQRhEtjI6kp7q9lDm+l921aevzjDBbLMsVuvm5C6P
ndbdYllOPq0xDaFzREb/BGGJx1LYyfno6Gr8HuNuXFL39oXdFYu7JJuJQDejYJnljXtBSfJZObp8
BTFXUD4wsGCZveQyVbnx1cFOO8SBC3EC08hBem7k95kOgNntbWNDb2RwCRxoLrngqusa1fCMlyji
sVOWya3bx7NfhTqG6DCwj+VoE0OyavmI1IUCUVawuY24M78DzZG/cBfMxnYY4xhsX9K6OYYXiZ3I
03RxlxPEtDiIdCG25Rg8B7ZxqbF6CZzKm1QzlZ+liWvWe9szKIJh1ZkwbS+wQpc1G656PCXgUK37
cvGZRA2MUWvxnlhEMWg9Xhwp2eJNwdccbIPFr4K7GavG4mEhEtD8QpbpkBoK8UyRR1lvo8XyQkMj
7hcnyzpfBG30q6JD7bUHObilJrrbZIt1pu9DioQWOw0IVGPxhqg7jV/fRiNMf4Oh334R2Mp9HqzB
vlzsOW0mqarTtIyIAuWk2xEsItOyiQyz+HpoMJ8eZ6+O3mb+W9tx4uQA0MPMGzbDl5vX+W9D4T1E
oEmwuA94jnYulNxDarl0G5Y28pxZhFsi486ZrUPs656CLlu75RGZlZtQnU2PSeJa+3kxLtnFVN7O
ocENsHWTnbkYnOzJ87ZFl0ffGXh5f1iMUMZcGj4qFe4oczFKtYYyj64xRXdR3g875WnFPlysVVoU
zifNxW5lL8arZrFgqd6b76OyL9b14tIaGWJ2di+8IywN49LmbugnOk4UxE+IP3mHMhtGOrqThs1n
jt3+nqUIhjCy/PigvAIWWTnoNSdIoqGUVBK+iLegRug9RfcwQvgjMxQPnzqkFloAD9SVHVsVHgOV
9rvc1sY3mnXYrkw/WBPDoZNxkjk89tic4xDAygJB0dwmeTOMvt+QVU587IBiU6jB2Wt5Nq0McE5+
NmHHiJCjn9sExko4oBVEFV5oEIjeOR1HawfEYFhrQ6j5DnJzufJIuV+strW3CPjU0vMB87EWhsdx
rGvEQerc1aTGAxtZ03d6EiCWtkBFKuqOaPCWxRqTvLfNNdu54wGWXIPQUZu6mZHoM0qG2izmp+c4
9xuFdGk4wrwCeCS2D83vZHdGeerYN7BYSvWNrgzl15R+7jqobDggmchMINArWAsNLjKWtHXT1jvl
cClrt2D5aFQ4JalTHip+6kvelu1OaHl8IppoHWzumTdhoIc09ZjFrTVgmGjJDO3DdBZ7dBqHPYnE
cp4ZUeSLfta/YOyXm0QyqQ4GwavRMrzD3NOgaQe43dYaTgcCRsG8wHPYx0iu88WyFos4u1Z1bdmf
dRN0zzkADujr5eyysYH/s4JrOeJUmselzwyH4GtbzOXLCLkx22RWEdIaP87ybBFUfMpsW/scKg2S
VdjFIWHGsGQNprHXU31QxXvCXYgCWTYVX/3Ul5xHeaAIW3lV9RTOhDFhydvNfYHcccdEytsx5kP5
bUWhe5hF6Ny3dTC8Kz0lGNoFrY/Q0u6GLCE/a7jZsPPKCC5f2wrCp+zEnhxHg0olYuPB071Z7htb
JMY2MV3S9MjqOgqUPlxbymGBouJy/s5gp+Am7ob6vrDG5HcZVaLHbkR2f9UNOo6p2J49g/lLod46
SdBS2tnO9+NkdiwPSAK9FWRonmjdTKYN/afiRGucRvJC6fXrzzXs37pwXmKirG353f3P5a99lBVH
bxh1P07yv/6v/zdd+yZ3tH99Ld3EbdfEXfk/1r+ruPud/ZNlPH//L8t48Qdrcx2x8E8d3H97PWVP
T25d4OjnKkrj91/d+1QUCptAtwvkA1HOdf66jBfA8F1upXwBBn6+yvh33Pu4/f9xGY/RWOASYB5b
LsuSm/XfLuNxduTaPKbDBqY7Azu9YoPlDDsbMWgjYc9jF26xzvJUFmS1EACNC7npYWUoAQ+117bu
YHXUQMx3Ey5irPvTqxV7J9mkb56nTkMnrp4FzwUyzD5NCblBRNg2TvCSeGjkelLf6g1B0qByn7uJ
6uLQg96pk9VsECVza5Ywm0gOOa4aWMjZJ9OOqy39VjO+fA4J1fb1hjZqcU7K/BoFOuJ7PZ1YioBU
8/JroyLuqU1a43MEik/KMXvSATccJhpd8E7WxjqrkwnIH4+kIs/bVdCK82zln0Dh5nVJ2vMSLcjz
flB37DbqzTTr46asaqxJ+sy50hwtHPII/TaHU1jf2TylKTlxm/3YI6LWSylOLjvaLaLoanTF84zf
ayVjnnBaXt7xaxm2Udzvcyu8snjmKjqLRzvHi6Ch1R6V7m1xCtmruODSx2ud+07hoEqb3XMxUogS
jc0xXbhb7Mf0TR8vlVEoEhifkxKHrmfROUwwNCF1vzMl36kOWm6VC6HWwPAe5o7wfYtF24w4xYLp
EqX9dcLkvqLvna2ixaBS6Y9mJeDE0t3NmbY2R8KLJkuEiTl15fRU0ipCuQQniazTuIDV1NCeUyM+
eVUwrdxMvKT5nJz6pv49m+TGa4P7RcbIsc5j97ULNQTTmOlyMhxK0gabJXGoa1z4kg/CkPYmHpsb
4jEFvChj2/fFnja44juD2wQ1Jh/82Jr6LXi3ZK1PxUNbps8mnXAnvP28pePwl8ryxneQPzbt5MUs
OwpujxCsDx4T670sjGgd1/D8IAyzN6iGG28wPuaQIh5yI2ujCwfig3QxwEplruHXl0j7ij33iIsZ
q4lLFW7paM6tTvXcQbeCkeMFN4M2x1tJrGxF3IwHc/pcefETIjAQwX5cC52+lQYK5AakIHWMCZv/
XKbE6Mv5PgYhBSnVyZ4kp8Oxb4S9gXl1iirzY8EcG1Bad3pkV9tGsWosqb+kq5h1ZmSx26FNaB0H
zQ2jllgTnWy3KujfBG7+FQKVCY1P3tIME62jMHjXkv6FThr2FUPzMVvpRz4vEMcguyjNeXGa/BsQ
+LClNW/0s9qEbevCxzTG+FRW6kkftN8Nm7acG9LKiYduOw+Zr0e6rzwDo3ZJW092zaEgr3NBfanL
FkqW/TvPo10O1yWju3CN5eVurpJ919S7KMTEApN8GNILXZrHORpOUx+da3SeqioepkSeKE7lfRzR
I6HDlu1N4Qd5/xZ45pcBLGKsp0fH5Z1paoi8GWjauCvOsNB4kVX7BUq5JdLZ+R438FXiTI9mYL50
rVnTyACNuMMcaxnJvWUKks15znqdJ1XpDO8iYm2exN7N2KWXFJRUlXQkXbqC92srSESH6Xtsuo+q
a78tCyBCkFHw4MRHqQ20UFOu7JTHcHYvANCvfZR5RFKYkEI3gWpVTGc3G6naiIxf8+zgGvCcc6wX
fP608j6t05PeuW9NbL9bWnDVRq/bhG5z7zTO6+QMH7XpXPMmvmMSPGJdIlFp8QgAtg7f7SboygeJ
DSTT53kPias6WvGiPHIHngb9WNDhVDcKz0sXfMx1c1mifvPkYQ+OWeyRHEZX8MumuKcr+aTjQabg
xyQ9AG6AdQGdo5hQEmpdqb0YJD76VKt2iwa5Mnfapq1ROgfwX84C5MyleKsmHlIa1ve4VkB5Zlzu
puudHDdx115MutfjRr/CYkp03c15QrfxZxoH5ppPuL0ek+qaGF68z8gRs7eKc3yrYJNIGcs1SszJ
MUu5ilPUFkPm16FgkZ5m7IPFdOdMs7Yx5/Z3bcfknuzgITC7g8GidT2EttqyuAVL6bQuuS77PgPU
dizw9jr1/NFl8yt5ricegoe6ZxmULuWOoDADGsWMlHBs1+2oduzQpZzGhydwkjEqgKEnfjZg+C1D
tRdLL2+Os2llSn2+jaJO7kpjfjILJBKTdxLmJ162tsGpRhYtvRkTUCFpO64Bdadrb8gQkKn42rL3
myBS5NfA0eNTmxj0OfV8J3bB2rIHXKBx8Kww+qU7Wr0xaKtIcd5M7MlFse5U9p013S0MfPLlg7TO
Yk7o13I+gSH4EU3nKGg1T+JgPqP/bKEX8tAomf1bPoyN9jIaxOQkeWqA4jvayPkQYgB4Ctl5vNWT
gRtARLe8Wiy7BS8LhqVXNZCgw7f4lmJeZirF213FEpsB0eFNpQU7DpPt/59T/870+V/DnOOP6Pfn
P9ue/A3M2fnDYpZkomR9LyQ4579uTwwKBqEnwe2ybUv/4Tz/eXsCWAkXKW1MusDzIgz7r9sT8w9n
+TM6lxzKQixB8PTfCJday7//D+FSabCOsSRYchhPP9uVv/GKRphFio6U1sbCD7NJOPGpsDMHXHXZ
XO9zhKvb7CcsZA89wyG500uxZIlq1FvYXLF+0UyD3abtZZd+mOJLw4fsEP5EktpWS/fZKPhKq7F5
OxYxKigmSLhl7R1kjtt5NjYKZUdse0n6ggbu0LprfmQvgExIYFwckcNm9opc44SWzWt9EcxKU9oH
ah1Q0TSSnI8oaTX7/9w5MlQ0NFl02tlKpffLFfhwsDpq7sVNp3ofRHX4wnaD9YBuVX7duvOxKttp
lyfhhJYQpC8NbTy7sU6NOwuL6dEONWyYXWoeUMXYLC82B7Ns9DvC8/qezleytm3Ocdkv8iIdJjbm
DWf8bS/io5XF+lH+KJLZIk6WoYNOKa1ifhSAcY+1afbnIOooPsGq2r20XQWGN6Avux/N6WQtIqie
CKi8sdZ2ew+Nf1oR44KTOARjuY5jWCa0yyrfqWLxiKuHaGdQiPv8R3nNQq09xYsci+kEZbZdRNpu
iJgSfpRbGktMuDVh7euLsBvUZfDOcZ75Vh2271UWFSlO2EUNppo6vjYEJM7yRyxeZGORNc0+XaRk
isFRlUHx6V9uhRVqU6B4bcIfBRpEVvTGqigieLoo1DC4DCiSGo8usUjYpRepN3uRtaVCJoOwgdYd
2UH2WxTl/F4GI6GBRR7HSsOFfVxE8/hHP9e6fD7goVWP7iKvq0Vol+zN1xgexnhDhAs3Cc3g3qWm
vDZfA7JKTx5cwvMA0/eTyRD9Xi5SfrWI+t2Pvt9VFsjbGtcfoTMWAFXopPeeE4qXmT4+P8nD7Bmx
0T5pVcGZXfxsEmopCQ0t64Whi01yJHAB9tjgiK95yyaiGrwUXQmLQrEsKgweAxz7AeJfCdL4opSZ
f4MXzWhxT0jfBboYzvACdBwECSOlonUGxpZTfKuArfvKNaKW6qxlfcLwzirFXbYq8C7ABSybltwQ
3BSHwS38IeGKVNRVi21u4h+F59Z/4iqob4Y5z+76nz0ONw2MTsmQ9SvRhMYVpzAOMWMcL5aTy5bF
qo3YntskxemcfBoajHa8aThHZ2tGycmEtHc8ztIv8DXM58vSaTHCaasGy8JuTAHPND/7qWlZVSVO
z9LqZ381jFb/3XEMbtJlvaUkNYOMv8vWy3QHXIzBzzZsEins8GVFZjM2/CZrNyIiLiu0bFmmDXYa
PlXLgs1eVm08r7r9xJLzs6F/i6AxKzn2B2znpmVRp4VtJFkQeP3JphXrCAO8OS1q4MbN4uEtXhZ+
yZ92fz97wFYL8o9B763q2qe6aRwcPQIzBZKl3iu819o6oUAWlJYtxT2qU3BDpAqfpa2PgDMcoU03
cQWAmF+41PZp13UfrUPx2MocbKaDMsytV0Ce2HhzndB6sNgUSRdBoMRxDaKLARQqOehlT2y9GbFj
m1HpYgOs5PKxghbfKRzKRo0NtTEpO2ce+PIKWRwSiiHOshmGfsuSDHUM8k35wuuuPcNoyiFQFOHw
atDWaOxm3WzdfacWi0o9Sv0pG/WCHo3Usb9r3QRE0XD7+cJ0zjXeaUvjxelgXe1A4umRH+leH6wd
U/Gdg3khEhS7zLTsfYrPqS2Hp6qAo7mxZRodwGTyf+klBhuWXVrxqYmgiDe20u2rsiczWPdEG45t
q7D1TIod87riFngJsEd9lHOJ0xe0GHAjHbawgqBU9s6m0LDzw+eAKH07JEPa4aujja/xaoO0vNIo
HojCr9hVpFMp/qwCbuSRcH1p5+N9ZNWk6kynGL9wWRkts1/Pe9eC8XdD8zxxqyAf0zuNye8taONx
puygSQ78/muXnI+LKVFXcf+deT2LodLgCcqJVbWf7Sjcx7S2Zhx8Kg/f+tHTQDUVdJqABo/ewhzb
NcN0c4dVLvfpTjdq4mdudEFVxslQF0LpCPlG/RCUC/4EH7ITbWlwmmwCvn3XMUHa1cFeHPkrqbfq
LG0wqBRyS/O1TIowOLgMuPampauRAkBZgs2sWksO64D7xBenlfulpsWwpJdRPJ6KaapwtqKmnSrB
/p8XKxv71aS74jHqvfyhiS3zCyfWZB71yYu4w0ecK87k4jlqNb14Ip5n2qucz+GDOc8hKHh7mvRj
TaqbWiN3AhnnJK08Vy1rarYBon9bFuBvS4vNayWrZgvwqLpMYlkEzFUZeOtxCdGh0cIMewmEF+hb
A9p2cgzpta23aaEnoAFC7dYO2TqtTbcHQz1ZeHSXeAoXpE5vouoI5r2UVM9kXhN7my6sXCDXRuK9
WvgSHzt7CRgbbml3GEiS7Iog7OyTVHlPnsH30+p27OMeZKVKH5XYO3H+pSS+bu8n19xZRFvt1ND5
uVgCuNCffcLkqZ95Rf/bMFx4YmY8r6tq0PbcCcxrgST4ZiQF0nLnEquGpCYSYOxN4luW5n7WhBn+
2zTyCUTVf60Xr6Py4z/+939WiZe/9ReV2P6DrQA5R4q+F633LwYmh05wwRgnuag5iL7M2X8ewd0/
bEdCduGPBQqypzM4/9nAhOKMTZbYlWT+tg3pmP/OCM4p8HcjuGsJxm+aTflQ6YBmyID9vULcKF2i
DtUm1Vqt5QHq15yPsbTkh5nz7sI5k6GnhKWQ1zwByiDGuD45cejdhZ5IkbTiEYWzLUXxizQPDG4H
80ugatdbm6RXGATyLnwqETqw6pFxRkZstXo9cwri6k3x6tmsw1n2JHHzFhQ0NWAj6cODCxpOEmJp
ohcrjev3ydNK39SG6JuFNAmrVDJGrIQqg1MKMgUyqJMGWx2USLVSiTUsXnQBfTCN22br5HUJZKvS
CDp2oTvzvB1NcPc5jpVsi1I2VmSBsukmIlH9WaSAm8CasGKWufS+OqbhjmaEst0stvDNPJrOFqSB
AFbWq9mfo6zElZ8qDoSSFdqBR1xn7UWJfWJFl1p2aTUA77ljt0dHG/guu07dK8Puo4upS8mimVDu
bwZIYq9CVycLy8SdrunyUVpKIAoJL2E5raFTUWVqXp3U0hFT9fyMfcM8APCA+kx07SJak+uTyndK
pDknJwJ0XXv9S97hQPJbHDe+5UUUskRgw7m7xBUjWplsW+rhqLMWxJJoCfFt4fIgrOxhZw6y9YOp
G7AvSRMrTKeqZ1wXc7Yui9S9KYwW32nTNyFQAgNH1DTk9EA1LvP3TGKO+IED76sW8ZE3WvKNO6A7
43fNth44s6+Mj8y7Oeu5X5lF8EBeGs8TaWyPky4L/ZF37NlawlOtl9fHNKybBybm/GjqbbLXO9U8
auTJN41FKqIBWXEcif/42dyZGKL4OvidyMwpvFq0yzA+cFPOdjO8/mwtm1J8a9It38tlzZhTGpCs
JtuobzTluE/03sWPEbCBQ9SjCLX0WJ4zEnhrnfvakYSF/PJox8BM5nR3OR/gTdU4bEu4tz72tF0T
1OvCVyPqiwuCsdgEcNmg8FGCTO6ljfxYC5y9VZT1bYIPK1rLUnh7WnGVTx1B8W7FOLbQK6W6M4K2
/UoDWd0JFbPV7YV2j3JLz602VVhmWH+vRtJXNznB31OZhXxcAyf1wNc29nFq3Pa+5Y2IHVDV2AXn
cU2+IMZnK5Tx1NWK7A8DlP27q0G1tyEd3RWbZvbDo3aU8Jq2A60zxWqET/UxkMp+dmn/C/wgnrVz
RWJuq0H+w7s89PQaYOjYWKOVnkTm0skCBybXVwlb5hd8KDl9SMqtdxOhTLk3Z1S5WbApoNgb1Hlc
NbF6ISGIzKZKOztBFZ5bSpcyhe6Nov6SxXhY9nbp6iHugSYE96Jk+j0aevs+A5V9bWDX3fVdkjKe
imaxAQPFvMk0RDaZAcdBFjarz9gzpl9BVmMiZrvuJdQ5zEnIGyLhcmNJ6DHYiSwVolXOKZm7oK5g
nNt8LEtFmygSX0wNSVpuczWkv6H8g8Jwe+8pbJr4ZhSTfuACM7i7sWjVUVJc9x525nQx544Zyk25
om1qqNHXOnTNy6hUy41JN49OgeW6Q368TKleL+br9MMaBmMNHWj65YaaPMi5ttlqlbV1tkXhPIA/
mO+tcpovIqNGNGptekQtRtUHLe6Ngw50kze23nzEMsf1rGpul6yVg2EX9PpI7DYP93XndicPD+Fr
05AYaPFDfwKRKjEn5AFJU6UxEYf2KeADBJ+o7y+uqp19OxJ8H/p4+tZcp72H09IO7DiK6FySPuOe
zfz2wA8SrQ1dVmdQSrhKZSZuPQxru6TQ1WdfYK/ZuI0KX2bbna9l6/U7purpiXlxjkBaFtWTJ8Vw
bHLahyc6bU+R4dHDZVf1c9dpDcVbFEMIXrxxqgknjrH7lAdUxUsrJwRq8RiIZQXawXsJjSzyZ6st
zp5M5ZveLK3T8Hd3tZnLr7KOi7MregNtFck6C83oQVQqhoY4D0dpasCXkny8JbuUyxWXdPPLDmZr
k6Fp35ISlUz0jV3KdVl7xTEgy4/71QxvjF4rT63XcqFsdVOLN/ivsq+8iUBYKi3Q370GS4Vbe+zG
hojNDmSPOzuLpF8AQdyKPA+fQ/iAZ3qaI4rDBL8w7gwVjV1Ga9/IjG4l2C3WHWs+/FlqjlL2linP
4ZgbFO+FRGUgmfj2TDHX3BbsaJtFLuwt5lSgbHHXX82RbSAJ5LrjhhkJp1oVIw+IVaZPxmGMG7Hh
okE90Ogl340XO+dJFIJ1S1vc0zdWnMVQOkdRTgSFwSJ8m0qEp8GY6mtgEKpYRXHa8o8ahcVYzdDN
7ybiWuKG4yEFKHdASVZHI6glQH5Pf+KEJjnOJ834JdJeX2cVFCaHjs6bjvYYPzAGtSey1/qG1UDK
5uOLhbKgJIJ0N0/ZqrI5Z6fkjmcju41EdiaZcHrU7TJ7Ijcjnu0OpHNL0PGMXbv3o4Js0qrXZHwz
UGeJyjb32wQB52Tj5dwpo3YitqlDtXNn13hKOXgOUhmdvYpqqGgDTRsNjQ1pu6brJTsEGkZfDRuI
WuuhsuATReI7lyG3oinrRL62Oi/dsnFU9maW0D/uQd9M+gphjkwSlijGf/fJMFLTZWOh4jdj0KPn
kv3yFjMazWNYmpElUzV/hvhsNz0JjmsBncnPDZJjbiqSlygjO1h7iY5RfGy3muu6lLlZ8tZMHHXX
2HPCXruCsMO01DU7lsHhNm1ls+XhLO9VIaddTPRpp7noHyH2laD2sWVXdymEnJPrQRNBq1JHs2vD
vTF2+yLI5nTFBzk4O3ZmH1tRwg7vOHo5y6KNFzk64mvOIdz22fg1EPGTTJtz9JC2unq2YEB9A7N3
SE4GA0hQO+vfI88LnpoMH0DGn27mYspIdQPU82DpkgtlpaWmxtuE9jj8qmUE/y4paHn3iom7s7AD
HNR2+UWfRr5N2RUd8nrK9yGFu+xfk2qnJWSFXSG9z17Dbg87uWHv3Zo/3B0CL5jaLlQOqNcmdbud
AQya0c6qb6GMdZ+RnQKZLyhcWfWT1h81T4RYuHW7fRaJkk+C7o6lBzOZ/bJLOp8iCXQhQ6kDC3W4
hZlq4h09cGZxLArdODVu6lxZFb6PJa/cgEB3ifKk9cu6K9LNsmOHOBOfmsGJse3a4gTBvj3VA8K1
0yr9N09z8zV1LXVHKp0HX6zGT2o6OcKcthHnSFtc4QSUb/JUK9kyBf3vSDINr/OqTfJTBkhPrLNJ
rw+0sTcvFjCVK9O/diSLg1HZTRbzhMlnknIe+qnpXSifWbTTBUbw7ZIbuPUH+mQughTuh9MYsNkq
OX0GWQSjO9HH5Timyn7V9522B+eyl7GJrjKE2QWJP+Z4Zcf+K4yd7LbhmeJyHY1MyKYJJ/sKHbE5
STflLtKEOZlfLVr2qXpQfiWDAWo3ISPw7I5Rsp9bttqd1hovTU0xSs8IA9MOzWKE+HCXTKQOUBrc
9spBQJScV9dCK5lN9VTEpRayj/fcW06c+ezUPJ2RooL8+H/YO4/k2LEsTW8lrcftZdBiWNAO13Q6
1QRG8QjhDodWvqNaR22sP0RmdgUZUcHKYZv1JDIyHh+h7z3nP7+4lZKyNxYKwQEDMg7g/EpSX1SG
DWHTDfIz5j/pBzE/wieK+47FQCizY3UTW/3vDTT0qvhXsf+7puRv1y7fF+m1bbDe/EOjJomSwnY5
K0pYOknJ+D2Vpx7NGzA5arpcuFlj+kw2GapM2fpd8/onRxHnX/Nfgpa5H/x6mG/2HVJ2vZ4Bvi7u
ItBON09woePhK9nYg6d5jBsPyETtH475laXEMQ36XNhSXJ8hcInfLk1tBmbZo4GBhYMi1m7sy1Fz
3gFP3cU+83842B/uIwdT0RTpAui2JhpzQ/y7mRNp4Biq5+XFbVzRk1zRkU443zjinRyOvvZ2Ccm+
/JcvkA4ezw6Oa2gohYhA/XrMqSDdt0X1N77TGQWNn/qLExwRO3cgszu/XeH/5+/9L1HgiZnKX85F
7V/Na/1HOGb+S/+EY6R/o10zJKxuQA6/asqUf4ORZQig5QrJMr8NTP8ByYjCv0HW00RTFRV41PTZ
/xeS0UFr6InZDxibyvzUvwTJyArmPr/7BFVCbSDraSZUKeRLXPC3N9Qo6qK7EFXgyHVhvM1JIeve
IEqUmrFUPjV5QfpJImDMoUYlhfpUsJgJZEK8anh+7jqULieVfCm/jdQMaw/tPEqwofNoLZgplV0K
dcfFu8lwwDEJuiwE42r6uICUJ3yBx9LOcHBB237pzh7QR+yl56TBoRTf8tKaGH763QCkCbMeKS0A
9ZuRQAcUFqN+pLic1mKnsWqcm8UjoaLyL2xVk/cEp4rVCCsCR5Gqc0wtZaYzlM3uyoiVnh/hpTOp
mvgAnThbt+Ni9AYMDbfaVcz9nGsH5ZaV5FFOCqOwZQJYVwondRpyHbPYpj3nzzU0j+OIZVCApk20
o+Y6hjBHEiTAY0zS29AXj2eT7dkgmmRvyIr0iJFu6fHlditzxB7LUsYaWfvATwUXUemf1JYeCeKU
uvBu7AtAXpfmk9T2DqGRgS/PWZquaA8k48g8DLJDLN8u+6ghqMfUcR5GNdyUD2PUozIx08Vudg8m
bLSVhce0wGdSwIAAVVolLUJcQKVVnixgFOGoDuMI5w39kRYJihuwLSYdknRdkxEuXYHa5dwl4U6k
UVOmN3WsBTRRWtmvlRa6oJMtmuFYw+SjqYjGPVE+MDBbDMV9/EYhzyOYud7rYqz0QUODKRKFMRin
doB0DAfzWj7UBOV610q63VPWX3Zi1eZBcelKH1wvDyt2TFw+hsvC14asflOuhN4oyaUMByyMP7Kp
0TQoceM1UNsscapsTF+4Y+NoqZ3crQ0jkg6LLkY7TYoRfPFGVc4Bto3dUYY8hTFio4/7Xr7Ow+AI
H+JMoKvV1ETAqjYTGapecKy5W1zqBeGZ2cj8CbmwGKK6qj8lLNg7LGoZLMSRLh2vUpq/mVKL9r1G
BInSaYK8iv88NgzteW4gSvzPtVuBLQQRpX6kyDPPrcXYlwFscn7A9AGdtSBRA/bKoDMUa00P5TpE
HUDCNMRKIV4urvMXSBwqdVIRxbC1MKT6NdQ9CNe5jg51ksmN3VxNxYkJyAvx4bwR/3uWBpMWEsdV
R4uTK+yhIccZhJzYD6DhCDl6K63xD9JPF1T39AvTeEwqvEJ6nH3xPEnMIiCOqTmpWCfsDbzy9vQo
kd8xTEWsXE7bqKjKlb7oag/GrLpe5Gd4WrkOdoFSkVRknZCz2aw/gWd4xfKAyUmdPLGyjBD4J705
afSN7/GUC2upwwdvHCNzWegGUWyTtC676b7oUXdOCqyMxJE5r92igvMU61Bqm0vZr/peep5Fc9hB
qHmLmbWq4fcSL2JfhTxK2I3abHD0gjQsaZ3hFdj2lpiwdhp4ZwyDkclH8omrbbqc4kV/KMYOz9Xc
IPjC5XVVn0QCpRceQI2gWLzn5Brjr5r1RJbUycUyIL7QQ4Ib3RdRWud2NHbXZZ+rHZxDPV3XSioj
GIWnUFyChDgldPFjcn7s6W63UMf61styZXi6FsbwTMgJcnu5u+qSpWpG9jzd+i5zZDJAkKMXpvpy
g+u9Im4wcmNM/lUH61ZzGZsmYildhCJ8nWGOhHSZaIkkMEe5AZd/ANNw40lDewk1YpPn+H7SaxiV
o5BudqpzQX2VbqX6jEAP4KXPs9s7+kYmXjpJgpDAyjOEPaBSvhI9K5UDVon03Qx5b49J08MwTQaw
xyJqM8mJ6yi5X5Sl+FJSDmN/VEWLp1QV+yNEnPq54/4/olQZa/6kGypLQT+C+bg+qjSO2GZXgh7t
BwSThw5d1EbMS6jX/TR2zx2G8j4uhAyLewXc2xT6iPaIHQhIOktiEARD654upN0ejDHKtrfEKF7q
AgsRbB1v+KjGbSNY4NLdpy4X+apsNPk5yvLoScQ09eFfL5H+3xQvqJQd//0w6t9r0ojK9D//4/Ia
F3/7+PW34+v1b/9+/aj/8z+a//03wo/69OPX9T19/ds0/1H7isoBjUN6/RMe2Xykf1ZMzKP4VGal
u/HbNIo/+scQyxAR6KMqw/8IZtjftQz/rJjUuc5CA6pSakuSMf/Cf6rwJWT4Ahk7/ENRBOVfshyc
9Rtf6iXqAlXn9xhzjU1F/626luUer+hyTLwBXsuadEi5t+kqScXsNtFz9JHiXf0Gl2HhojdmncLG
f1NukE4VpqdC8lz97pb/WQs1j8x+30IpDOgkeLLUgiapDcI30YWsq2WXx2PqpbVHQpiTurTaqg0z
AgdEPJWN3c0tnBTbJLvTDoL5w/G/ZRKykhuA8QTTmZqoUct+H+llspYWAIgLt/rEgc0FO/IzRzzb
/R43RRu9wlL8vN6Jr80xecFWtP6hUVW+d1i/HR+iuSyJqMF4Nb52OxoddZXVEzxrv2fmQoYyLOMQ
a9jZIJ5MTdITLk+mHKiPkLIHrD1Ib3Y1fM0wJDRJnfOVt+aoXS3Dy/DCceQ9TkvlL+VxeJxKF+NU
kKRykxqWuh93l8GOXuThAGPqaLh//SDlr4X4fCNFoi9UXVNEA72OPD/o37WKaotUb4ivsccKi1EN
WafObQnYeFlgxr8uEUTr1uVRRH73HK91KP+2vuld2aVSMh2FGKoBEy2vWayirbHNH6WfIAHpj3ea
E6STkTWRvl3Tv3UKUBDoFW6cIGoPR6FxllvSYgjlsS8MDkiEWSvOhL22Fd8js5twa1EtcW47vYig
DVzdTm0U/PVNE386J6bav79pvdK2gO1F7JXlAezWA5pzumeq5csn52BYuB+5V/unFvur6+g/HtXv
7sS3d66Aq49cgqP2nhGiRfJlf4YrfkIPJNasL9/2/EpgYSNJOqsObd83eKRmiDoO2C15woHtMHcQ
arYfUWUxmLke+5VuT170rhpIxCFOW5Mju9cwwd/GApT94UbPN/L3y8y3U9Hnt/d3b+dVjok3Kyoc
Njcgz35OnpTVtxY7uGP6kSX/0oFC7/76oH/yxoFfyAbusiprLdkzXw8KWUpOp/ac8cYNLmLjagvA
+rLYFXf5Q73Ep8nNNxDR7NGtU1smNsXLHeGtRJvh/QPn+G8BsT9AVTwG2jRRZwOBEwEl+eu5TK0y
YWn227kYPi7Z+srAkzJykskqB2dOsPDJiiAE1O5KG15AU7rFD2utIc6L+den8PUkvt2QWo7SKyzN
zGvc3rk5VYiA6lPg8K5+L4XoYhhR9XskHncL05om92LucI0XUY3nmEEuxE+xcsp342bN3pkDrSyp
FTbcwny2brMyE4XL84Ksmot9k9YXXJmWo+qmW+0g72raPmpFOaSJp7iVPgEI7Qpfg7UQSmToONk6
3UZ+uyfkrNrWOD8FmWSRXhlCGL4s23W9v+zJRxatcnlbmytSO60KYVrtoq6hW7TJTqmsc9CvpXLb
kO9F4UuQ90OzBZLuHtIrPjd2ub69S0C4dXDb9Q7nYELXtTIMQBdaAB8Oya4UFgMml4yp9/17MiGs
JbIgqJ2ZQDdY2lZzJyhpK0m1yoV3XY8O1sCYq1ROdXde6e3SUL3pEhiMRGCpjM7L8CrIBzEBlyTg
dKPhxQbAYb7Dq0OQUaRPov6hFxbtXL697q/EsMZIMdZqvx3GTVlhp8hi7miGM1VI84mO8OqOLnyV
yY5WbeMgOkywEz2aD3sMaIriF/LFKx+rrGKDK0DmJY3PzUw+kgTXTtJ3VvBB46ubtQTR8Nwceioy
feUdFL/8FcVXD80cBFjYYF+YMxHdq3tzrR6pVm4UxD58UGI/sTZF0tPb/X3bunrKYv2kPEj9Ggor
awtGdefzXi2cs31ZMdQz7mEz1Ms2/zRiN1m4+XrxGq158fMlIxQEb42n32EnX9AUBPhJJnytkY/H
eDW6uZt5UeZwGzi1gJCEPkjsakvQ4s05h4vHa+eqkM/s+q0hycZ962D3BWPQBuPd7dA9/brhZ2ip
b5UlhFrYLqvwBmpbfZ5fk+fcjUOdAVVmGx83q7/vfCReuNWd5hgi1bkKTuHLupXbeGLai9xGdehP
mZWyyR8Uxt/WfXHxb6Y/2PJ94xJxeFXdcd2cSN9tAu2h2+Aol+IleCd9yFichoX9dvkQI0tDlBQw
30HHvpT4+hv8i++gQ9zMU8QrgX2/7qjaXdO852QkRxbjeOqQlRxUzFfK0FSW8aF97AZ8Pt1r+Rjd
oxdISPHbL043bGQdxTG6QFjGiis3cFHt5lnilJt9FQeYKiXnHfcZuTssx/mtrW1ioS62/qjirsYg
KgRAz662+YgolBxULF1Ypm90u7MjYdAbofGr3nVJIEe2ac/IsDI8Vk+Y+0nHziNadcsSGihBCsdU
YxRkR0/13bBTqWr9bnWhlIS3u8vNZetKaLLIG3Wbzs99BEWbNnd0+7ypgxLrVQ/yN3EGdm4Eoy0e
dB8P+nBa4ZC9Syob/z0bP4LIlpcmqHS+S9+HpUaaZWVPmCKd70TlUIbkPhQSZQbm0pw/xFw8IjbF
3njSZRIJfsnFKhe2ScxYeTVdPJGCvD/F0oOaHbmeFgIKl9i65RZ+5fskb4Vuib6xVHbE+J70lYBj
cunh7nuBu/yYeKo7SOsxVCduvcMY5plZICybNY7Vy9Gt9imPEmnssELC2Z6Ds4K/rXP5lI7itnbz
+xgOUXdHMqZqi6frXQo5xB0XrtSGieFwLw00JEtGidnCJQlKc0A9heXkdRLbFvrk6Wh4mriP612e
uuPDgonysBZyD1D1cgnK14vmkT8vC0uiCsg1ip8vYjCtVd7aG+JbxwXiu2ybfdk7huBc8O+HNh7I
p3Z7BvLM0PZh7I1TrCVZpW3cxbvskHvnp7MZkB0jEkLg1L+gkbmKpx+6997ld7gtnDfErUHuEaQW
qa5srMTNPLIg2OzsVFijllj+22K+n7GLa9iBGzFqK3wG45W5NMNL0OwItDy/D3hl9Kg/3KJ10R9k
g8NstHdVm9TVxVxio3z2iuW4xWHiKb+XYw+cQkMZvqm3l1fNS3T7hp3wNtsObAsHPAj96GlRW8lq
OJ6dFANXLFgj+0a2Qr1qqmMFJTwO9GdKzs1UOsg05HHTGJvoEYNwqx5cUXXMuLEGdakrwJVuq6wa
4QhHHV6x33ngEGDX2bbCbDKI35Ow/JUdjDcgme5ez8P66raX+X6SFfGAFYWNWGY5XS1lXduL0Y/5
5spXyfSkIlAJiNiZijXyARH+qziYckgZVfKS7MklZqP+5HOrAqgTtIjEXm2hqJcOm4L8wYA42gpv
F99c3z6KLCwezb38DEdAO9WD9de11p9U0oizDFVAa6XKIkPir/VNhhlUntzyzIMZpPGKHsW3mNM+
MEMuX4mk646JWwWA0frfLQf/+8rqj1UuRwbRNkgkZBIxd+6/Ly2N7JKSVvZbZZVuMU10oQLtL5bp
Fx50mscfrvNr/z7X7l+PBtn190fLehlTl6jOvPg1+9ADI5R7q/PxmVzzPHPhf1LGa38snr8e89u9
JaasLAvaVI89edxn69G04q1kq2tSMHGYnROlNtGJl2AMGyQ57+I7umEkz9Q54x6K52OnbpqVCRpf
OfLTzDQK5PXwYuSO+KSFstOccjZc7VA9ZHvTexE+62UUFmHGO26llhYSeEC9GPnw0dwx2EUs8Q/p
XbGa0Hd+5jQVzlw+ql5+KO/JPHHK2xsULnLNNiNvvNe7/Ss7wyeya/4jlufb1MXULOg8+ZPO48SC
6rcrBLTDRnTYHaXGY80xE0JDrf7DeK1e4pf4V17YbEkVo9AtVmzzXadgfxVSm4TaftnvQO0oqijy
2tSCIYqemn/JiKhO7zTDHtd4bm/MLdJ1OIae5owQy0bswV3pOfIwUX89fxiSc2s8hHPR0XxRjhLh
tQsLbDtqHWmfEBJUL9n3We/Sff3QPYkvbIDQFtxb2L+KISZm9mWHaVezWWx1t3OwPmFrwsfKlf1y
3u0aZ3BuiCzs613VW73unIsdG4GOGe0ry70TYxwRYGTm1ncJ3gt4Wtzlz2YYPWEiQ7wQijAWmBtS
7ieWSaG3FnKov4qjdRsp0S0dWqDhwOCBjozYmftPStcjhfXiI8EPhzkWRRgOFjhm2TXLXeqZzx0u
WgNREPwgiHly9kflOKpOidLYao6GYP0Pxsvzy/q1B/n6Mn8HwOaJVgzbmqYUBdPgggT4iB8goeir
GfJpHDw22IAwwY+BU/7lz1cFehMYbQN7m+BNXz/fRu4J/U6K3DOPqbiZXqHCuGyvbivfCw6r78/j
9Pl6vl7vlyOa3zrftCQgI5qPOHpNZWNE7mEVSDofPo5B5iGLwcZjO/IputHjz33nN9XqvF4RmAJN
AoNRxBPgQl8v+AJhPsH4iXBteK+YcnZ+/Eqe2hs+jln2ApvHEqYXoT9RHkEnZsu0sp18ly68iiTh
0QLpgnyXE0D40CMXXA9IQbIZICyASrCGYtMs3Zg3TVqNq/iX1TU74iw/yZvwquPU7xfqXjy7iEQM
K6NOw5zk8oCEiY6j/GEH+pNuH2NbWSJLDg8SQfiOZF4RQkLrGlJQFcLg/cyeu/7UtEmvD1K36914
Q8HtSRaQzsZInPNzxhtm2GjKf4KV/rhgcyqarDJmhxSPHuXrTc9hZmLoIKf0qPE22eteRYGL3+hB
8gTn7FztyP7hvf4j+oe7K2pZSYDbrjCO/3pEskdLJSGJ9Teog7TGEGIpoFIS/gQq/ckLNcfuQB5S
yNkln+fbZiSOWq5Ntyj1rk81GCjQQeUgyqyjDUkhGVN3I/+cDaIv9aa5uTewndwWmNbRyBZ2X5BK
hZWNp6WuXmJCL6wUHOtY7ejVLSq2fPDTzhXFTSFhurlObi71rpoFU3efkywCQKJ67c0deqSrVurA
iDbX9bsW7VNG7yB2eANhAwMdHfjk7a/vMWHE379ktCcArKomyyqKlm/3WJDqbCgnSpwZwMTVxgNj
iFVP9Jq7ggZjQ7MLd3Y94iKX2BDMQ8mj0Dudjzi+/LSQSXOd8XVZMTGiAN2C747TsPHtMQwLVUbm
SKUbnRIJmoRz3hqQ+4Lr/nxHMml3KF64N/gTqfb0cSYMVPXOmG3rCNc2i7NfnxZUBlAR//oe/YYy
/9VpfVvdk0mb8ibltBQ/Dro7+ILPnZ959Nkzk8JuQ0JyG5BmmmTUsJ/TE+FAr/in1Qc4bFef9cHR
d7oIau1RBgvbHmfWpbmU7mrnp2/mTxYMvhM4anw5Ml+r9G30MWDcfqlGPfYYXY/AYXhzMkm04uk+
F1BHvPBgIUZSstBizFaPn/EN+9ZDVT6LLlaGceUk4cDeXBEU9Ne3EUvGP3m+nBFgOTwTTlL/VmdO
XbSo4AckXuU2n2YMRJeUmz52s6WRu7i9RrVlzrG36Bps4tSmZIOCZVHusnYJWzYVgwH3YMlvXpGQ
1stYo4yrl9rNxoJG6+4IBGoVO8Y9KneUUMeEPrIAJWEMWyqT15sFPII08CFL3RZdw+gIhg2FwayX
HQWMY6ClctU35QQwlZLT8JrH3g20Ttwon6bp97mHfkK/eJMQ9InLX8TMqv1o77EQnrCPygH3MDNe
T2G5Np96TuSOvzL4eI5Es1MiRZff4GzjlljvoNbAAQgowTffgdUG6KE5EhTrcl9DhEutxQ73HviQ
xIeIAVSD5PwMlKEQNuDgNuMv0JlukQMM+kq/HYs8qK74KKxy/XjWHBVaEmp3NqaLo/wC1iq2hcll
K5pVR36Gm6Fgo13GKCUSgttlncDNKHxQvppekLo38RGrFKAsH4vEL6Hc2JiflBj49qFpRb5JZrRq
KQcpVMCeLoC69EGAcKYF8HYrrGSJSVUXCiEtG7rS1ya1pUtYS9aQ2Isj0Srn1OZ3apIPcITrybs2
g00fshUdSorp0la9qtqiOAZBRMrR5nZ6JfDQwrePBvQG+im4lBkPkyuvxSDiByyASG8OSqZG7Z6x
rPG0B9bnmrU3fKoCjEjvS76FfkmpUm0Bii4kPMSW5ggXm/ROt9rgbk/K5RXj1M5tzYBYXOnh7C7u
yp1y6peQLYKLN77BxH2WZiCXaQNBr6XX3SzFLpe6R2Lu5rpLnjVbwArzOXqQg6vD0K00lw2qT2TB
KXRpvGqaJ3OGnK05YVz3wWCzBnCXZ5K8c3XtsX7GE8lEf4YOAnGcq66WMZc3hpcj8RjHzCNbRfVk
J1FPCyQPL93h4sCP8q8UmgH+PSuRgx6LmBdJehXcuW/RfMHGcc3J3XGF5/6qXUaHfo2lmI4174rk
F7veCa+8y/2y/bhJ9jkY17pHyV9rIH/A2y0XmOx5w4qt6Y0OEu6QAmTxmIbR8/QreSdDo/lVHnVv
8aZmHsYPaWzdPOJGkSd7nWkLDxIRwuOMykmnAkGONbyQADTnWdh4fjWn+HCzmJfZAAENoPTg3u5z
t/KLE/R2RHPe5E1Ov/XzX/Q5Lt0Qo8jEWkf3PbKkEjU6aQcz2oNrrLhdZLa6Bak6vlcANQFWYhiM
QVgTNjwD+ucnHqITbxhFvw3bcncOmtd4RbfXudqGUW2YPpBTCv3cyx9kFulmVQTs3PCW3m/Pkn97
Eu4E1Rp3HSiEfTnJeKs5hQiCwwzXcPU1w9zWuyByx9jKMq3rOltqYfZ0Do1l/oQsbDMd2KDoa5zS
6dxrb00+WnXntm75ogNjWwJ2Q3a3NE4nfr0dbx53SnCMgxaCefqDH31SYO9VbzwOG1j96YGcpXwr
Ome38FHUaEt6vS3d0pEud9iP4T4zgDit1O/D9lHpVzUEGqAvAkZuPrfYv3qF1QTwuAigehA28Yv0
3K+W1QF30SXWWTeClJbp0vRlV3uv1uAeaBIsdPEfBRj15/7sq9jJbgxHDMZjve8eWLYC0bpvTiNN
X/JAg1gzTxktmlS7e5AeqlB/PAOwUmNfvLa0RPBn1aWusIUlEken/Iw3pI45pgeaOx4rIG78bhur
Cvs1XXTzcN1Dbrvd60+AmUCUVmdfNtdT+tg9fpJEtMSOjQqqCZDFWJpoT28j8EEw3XXMiTdYiHUh
o4hf8Vs92J+p0+3IJrIn0MlxI3L0trGNdeeZtXU+zXP6Zk0n7mB0c59v0nW3OZ9SN3Ho0r2znXjC
Ur1rXdP3kdk7nYd80r+6wmpaLe7hX85BRL0XH/HYilbXd8ZKF577sgjibe0wT+cpqzGcJ4S31nXz
OYBvrboViR2b5kHtLRzmxCeEORT+I8TMZ9nDu/EhOmkHhk4MPoOyWmr+zC0Yg+qgcFcDvizxsTwu
tojU+RkbUvWQ3ilhsaX+DEwcNNC52unNNVRLPs6iOUpXK7uPt0ZiKwfUtL0nLg069xG80CY5p3+K
52Aae0EM65PJntRsp7BdK3bFUxHfCQ+oPQxBvO6hO8QrsXbOD+ZS2wj2xAAjOof6BYMxEsvJ6+Lj
4H/ZOeqFdWnces1lXJbNpzDBwmK/S+7J9tgigSdByh0ujr4kccARlxcfPy3+ZnavOrdjQgShDWFp
D37JXOvIdziBviGa571G5MBqNmzrZaFZky28iO+NG9npLuZrU/ya15o6ez3uRs/wuSl3bLS80HZy
MKCFNw/tst31y+y+XWq8nA19FgRT++bHbgWl9aQjm2OZxaje1v19/yivlMFOQ1R3trFU1+PKdLun
8VC+DexT2ZZqMOs9gXGMgiDWga9L4Vr9OoexOx7SMSQM68Zc4C377CIioOLgIp0U+dHIKE5YsRDi
rRoNOobXlWuSUK4kPbwPv+3krhFOn6p3QcFizQCTz4dBxFSdPvcpEUdOqqH8dsaVsB96whUdilQx
UAZ3XtkBEvdQIed9o30rkOG4FV4rS9bRlKlAvAfMV0SnhI2JEUtNWJw9vOe0lbmdg9RYpvs+OEkg
eKVhG8fIiz6Gfecp9VJi3sH+wkLKHOBBM9lkb/YYbYHC/N4ulrfwQiXW2dkWIKRLHOwQJ6fdMpWc
3J5/r53ZvQx/tc5vkV5jc1xuh3Wxv26VdxWuDCfQOD3CFIE4TEyybe19nFhk7Rmh5O/1lCOdnWwB
/vN1ReaePB+txezxHChP7dXFT6VZZoyomctJoVGTsMMcBThb6zDD8IUa9SaScxssfaKIuYt25RZH
6JUhWQUffE6ZiDxllS+TwPCa4+Wy6shnxqvaOV/ulMjK9+e9/JmCNdgx5zEssxAO327+f72PR0/s
VQF4N9/6VnYv/Y4kK/yMl609rXBKDCuv2FNrEhr0uD0Dt8MRccvXmNO3NGCVTeU9Irm38amzYrvw
RDfd8zV79bZ3WYNZQIm2XNV2u21fGZ1W1itPxcOCkNDELIQkcM9odocktrJC9HjMs5Cfn535D+Kn
GaBBErQnmvxZDWvDll9iyTLuZX98yIIqsq4pyVIWKiLt6bzPAj3E8sO/uQvRl97VEMUOc5QOn3+H
geg8hhG2Z+1Oku2+wo4jkF8NejRetLV5SiknXCYrN9WTTDIt7CTaLvx+O78Ct238ITK6QdnXWGgb
mSYiln0gIO8O03uKZVf+5MVQw2ov83GpIyI6tLnvEoTh/rLXIJjZ8olxhMGWhx5RADe1ri6V82v6
zq3yCXZ7rNwsyBi3WFUwrcqXSPVhIpv79DHbaK75nIX9ob468qmmtJunKjP+TUNM4uD9s/HEu8sk
xES3yXxqbCxlxS3WPMEjpC3ZXrZzkYtPmVV5/abbZ4fhTVt1kX+lEotxUrcFBq46EWPLGFEr5x89
GYNH/gBDNHN5JhnQGimWrOYeK01uArnfblJzFGUtPRaOtF4w9V9L6/413texB2hLvq9p2A3xa/B5
+c2wAWBms2n1frXXP5PLUsU65UTOWAE2+WaItom1LSP0A/Ohy6l6vOJFc3bGU3tA7+skjMtLelJz
iSHcY3JaBJSrFz850LYCiywlv3/O/H4T78gcTILaBs52a7CJPQd26HycMxmq28QVyPl0Ce2kPe7d
aJsLfsEs67YpnXo9+dGm0C11Gb2sSltyYCpD5Xq9Qvtmy2WZ0DfDXtgRsYWl5edk+s0SICXZotbB
Vek+2RFC4g/rS4hqc5c6mbXws/mBv57vh2XuYKvsXHzAsKBkRiQfMz/mNThzVZ0dmuF05CHOqOi0
0t5yp75rbh692WZ0eb+5x4/tIXOTIIcd2AWlXYbJgeHsr6vhlK+Cw2junjnecnCE3c1mCA/5dkO8
b/rc3klvsXcanO6J+aPynu+nNbS0dS67BjMxeI/352LTLds789fNJXLSix7NEFn3E7b9q8JRVvLD
dOxw5mnuz/on9PeF6gwfi/hRf2gwizIswvzKE5S2XekbXu9fR5s8hRs1LV/09aU8c03tloWxs9Pn
4jk7cG6LT/21WwqSJYdgTmRq3tVh7xe7ymNOaKz6LR832Htyd+5tpedtctUEKbs13Vf3+FxicFvZ
Nd2EHC46Strn2wv/6epX6avgFeabMc2/h0Wz+pD4rPHfQtvCNswSYFoMZhd+yydx3sGbsEH+R1/i
BcdSzmVr9whANbxp3Zv2ec8/qqXoDvgr7yL02Au7eJaCMpzhE5cTg7+Nx+ixR/Adsia6N3aEdksA
Oj+jrMdX5odUzrzX4y/W5HbD4iYEHPnZeMQXJGG6qwXXU37UAjJynCbMH/l6XA2Yzloso7f2F+yV
z5LPtfAYMHQ7XvfygPJtYzBrhjiFdRgYJ7cb6uOrxHONKuBWfA+LdjuJrrqYS5AxDlG51IbbVa7d
MGb/YSb4J1Ad2BcjQRi7ACj6d9RbXiDOUm+wbLN1EWBA5d+WEFvdPGx+zWpXbnCAIJk1g3QFHnbv
8l+29YYtPP8JyvkjasipQCqGYSuLMyj8FZk1kjwRkbFD+P077REjfRR8QA3LiXEvcvON+sOQ4zdV
4DcQjkMqsM3kGd0S5lP6HdkuqgtdPyeIhntv8a7YtKOUXenrzFVqToXPzIFihmp4qdJRGw95OB5T
97xBgUrVJgfFiWRlD3v0V+kzv1Pcy7HwxdwiKMOdHCJ96aadNoiC6L5kzDW6mlc45Sayk+WFl8u+
bVBevrR2/FF4pY8VxZ20+ZynsULQPTYQk/YX3oh8pT8nh8u2cNrTj/j7H4e08z3/rxvw7Z535O2m
C9ToHmkV/lyhjquUoijfE1xu/8znFP/8Gf/X8b6BdbikpYKEbZ6XLVswEIVGQ6EBF+EZkLTwP5lj
/XTEb/CvGvUkyLccEWFEuYQl5SwovwfvvImXwjz8O/wE/M8ZAN8RZ24qSkNZAvnn9n59q24Xdbhl
51tC047sFVJVQrunUcR1+9L/iasIq/5PjmYiD5NFBnY4eXw9Wt9KTQynMvHSz4m+wMU1U2xCNukn
0PYwIppx4dD3QuLSrSLMw8vVovHcMLSddgUAxn21HF9Fms37geAwNsu78XNaxx/5R7fsjvUp3WGr
mW2SzRD/9MX/ceKHUxYmoRjPwXgWvnNddZFAslzl2dBXH4T/Q93V7bYJQ+FXifoEG6m09KKR8lOp
+2m0rlO0WxesCclASnAl9ja93EUvpj0CL7bPGAcMxHSxW4nLEHN8fuxzOIbvnHyJEs44C0fqu/uM
AjJr78cO9Yw/vVvjg3H1uvG/8LSvBRapmFgDhYGOPWGW33KKduIUlRCyvSqtiwSTBeXfIcWr/JcP
OE5gQsvZPgbAmdctJsqJvuc7KqeWY8TvOQlQg0q2xvBlT5DGn2WPEIDYm7dXgnVZ7+VJXbwOaUqA
YclLafOKyw2J6OXZirCA7JvIXiBl4YVqRi7PNDYb7wdMdL+FAAwL2oqUUIqHPYntYUsbnyuGkUYY
IXSGXW5LeEsYowD4MAB4uK/PcP5BvEaznWGTpJmYQeKE4oCmiqbQzwXgQHAk6pJYI6dpf0PSsPiT
KEKKNqKsunQ67RvyMyCM6uAmcI6uoA7Wzar4mwbJvaZ79FiZAbhtz3rHqqAMpLoDtpcJK54fScua
QOrMEGFtF80iY8UTPIvfMqgH+JcL8hH5lcS6E5A1AVwYFF9/8ojkGusVdQe8bwnfAYWndCwWekUc
zxm2el+RB06z4klRalBHJLWljk69jyFJqaLUoO7A0VzzkGmbSKrFc+AABloMlyHwdPdyy8M4KJ57
1ovnxAOU7acmKuh2lS9wkLamvaFZn+4dRKgVjwPgStHwTA9PlXUdeLKtsQOCpXFXZE/i3jXvOdhR
i7QdtSu1ONhPyyQnfp8rcBFSjdVuLVW+wP3JAw97FuTUwVIv8c7t5xip9qkD/37H/T4Pef7efpOa
StpY6vwLmcBJorZuj9KRGFj7lwb+fELioAlBV8TraFIizo0C9WUVcy39uBL362nS4IBDovUVGz7O
ekgMj1AZTA+JSom1nOJo7YDhL2fTM52mUzaHp8ZsioSYRlgOE6gM95hUBp5lBmoY0BUKbtEkVNuh
jkcw+GSTYLovH41YIhqYxGqFkfHIhVBhkqsTZcYjGaKUSbJOgBuNZJW/kvikHofYjVIjEA2fqF8M
WGwRFb/T0CflQc4dP+TkUjo/QSyLEZAaZj/i8Kf4TF3u5zfy+fWER42m4rsUZsdITKUkb8Ti0KJa
JSyJ7uunTaV0HmfiBBZVquMXKP5g5DeSSpQYLI9qTJ6gfcbzurtlSHI8PIkhPqMknf8DAAD//w==
</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image" Target="../media/image1.png"/><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1358153</xdr:colOff>
      <xdr:row>48</xdr:row>
      <xdr:rowOff>62752</xdr:rowOff>
    </xdr:from>
    <xdr:to>
      <xdr:col>7</xdr:col>
      <xdr:colOff>282388</xdr:colOff>
      <xdr:row>63</xdr:row>
      <xdr:rowOff>71717</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6A24CE40-7FCA-4D08-8F7D-9A94C6E9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6303" y="9702052"/>
              <a:ext cx="4420160"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1251921</xdr:colOff>
      <xdr:row>64</xdr:row>
      <xdr:rowOff>152400</xdr:rowOff>
    </xdr:from>
    <xdr:to>
      <xdr:col>7</xdr:col>
      <xdr:colOff>304800</xdr:colOff>
      <xdr:row>83</xdr:row>
      <xdr:rowOff>30480</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A8CD012F-0C19-45E2-8058-11223424B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00071" y="12906375"/>
              <a:ext cx="4548804"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48</xdr:row>
      <xdr:rowOff>62752</xdr:rowOff>
    </xdr:from>
    <xdr:to>
      <xdr:col>4</xdr:col>
      <xdr:colOff>1342757</xdr:colOff>
      <xdr:row>63</xdr:row>
      <xdr:rowOff>71717</xdr:rowOff>
    </xdr:to>
    <mc:AlternateContent xmlns:mc="http://schemas.openxmlformats.org/markup-compatibility/2006">
      <mc:Choice xmlns:cx6="http://schemas.microsoft.com/office/drawing/2016/5/12/chartex" Requires="cx6">
        <xdr:graphicFrame macro="">
          <xdr:nvGraphicFramePr>
            <xdr:cNvPr id="4" name="Gráfico 3">
              <a:extLst>
                <a:ext uri="{FF2B5EF4-FFF2-40B4-BE49-F238E27FC236}">
                  <a16:creationId xmlns:a16="http://schemas.microsoft.com/office/drawing/2014/main" id="{BA0E4976-96C8-437C-BD9F-F526DB98F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9702052"/>
              <a:ext cx="5590907"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64</xdr:row>
      <xdr:rowOff>152400</xdr:rowOff>
    </xdr:from>
    <xdr:to>
      <xdr:col>4</xdr:col>
      <xdr:colOff>1299883</xdr:colOff>
      <xdr:row>83</xdr:row>
      <xdr:rowOff>30480</xdr:rowOff>
    </xdr:to>
    <mc:AlternateContent xmlns:mc="http://schemas.openxmlformats.org/markup-compatibility/2006">
      <mc:Choice xmlns:cx6="http://schemas.microsoft.com/office/drawing/2016/5/12/chartex" Requires="cx6">
        <xdr:graphicFrame macro="">
          <xdr:nvGraphicFramePr>
            <xdr:cNvPr id="5" name="Gráfico 4">
              <a:extLst>
                <a:ext uri="{FF2B5EF4-FFF2-40B4-BE49-F238E27FC236}">
                  <a16:creationId xmlns:a16="http://schemas.microsoft.com/office/drawing/2014/main" id="{60D8B0BB-4BB3-41AA-A635-A6F9AC5870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906375"/>
              <a:ext cx="5548033"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2</xdr:col>
      <xdr:colOff>481855</xdr:colOff>
      <xdr:row>22</xdr:row>
      <xdr:rowOff>103711</xdr:rowOff>
    </xdr:from>
    <xdr:to>
      <xdr:col>6</xdr:col>
      <xdr:colOff>1165413</xdr:colOff>
      <xdr:row>43</xdr:row>
      <xdr:rowOff>5997</xdr:rowOff>
    </xdr:to>
    <xdr:pic>
      <xdr:nvPicPr>
        <xdr:cNvPr id="6" name="Picture 1">
          <a:extLst>
            <a:ext uri="{FF2B5EF4-FFF2-40B4-BE49-F238E27FC236}">
              <a16:creationId xmlns:a16="http://schemas.microsoft.com/office/drawing/2014/main" id="{D45D27AE-B40B-4DFA-842A-49C0DDFDE421}"/>
            </a:ext>
          </a:extLst>
        </xdr:cNvPr>
        <xdr:cNvPicPr>
          <a:picLocks noChangeAspect="1"/>
        </xdr:cNvPicPr>
      </xdr:nvPicPr>
      <xdr:blipFill>
        <a:blip xmlns:r="http://schemas.openxmlformats.org/officeDocument/2006/relationships" r:embed="rId5"/>
        <a:stretch>
          <a:fillRect/>
        </a:stretch>
      </xdr:blipFill>
      <xdr:spPr>
        <a:xfrm>
          <a:off x="2005855" y="4675711"/>
          <a:ext cx="6857999" cy="4014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914399</xdr:colOff>
      <xdr:row>2</xdr:row>
      <xdr:rowOff>57149</xdr:rowOff>
    </xdr:from>
    <xdr:to>
      <xdr:col>13</xdr:col>
      <xdr:colOff>492565</xdr:colOff>
      <xdr:row>6</xdr:row>
      <xdr:rowOff>19049</xdr:rowOff>
    </xdr:to>
    <xdr:pic>
      <xdr:nvPicPr>
        <xdr:cNvPr id="2" name="Imagen 1">
          <a:extLst>
            <a:ext uri="{FF2B5EF4-FFF2-40B4-BE49-F238E27FC236}">
              <a16:creationId xmlns:a16="http://schemas.microsoft.com/office/drawing/2014/main" id="{3D8F34B4-C7D1-2CF8-296B-D696AC703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4" y="447674"/>
          <a:ext cx="7617266" cy="733425"/>
        </a:xfrm>
        <a:prstGeom prst="rect">
          <a:avLst/>
        </a:prstGeom>
        <a:noFill/>
      </xdr:spPr>
    </xdr:pic>
    <xdr:clientData/>
  </xdr:twoCellAnchor>
  <xdr:twoCellAnchor editAs="oneCell">
    <xdr:from>
      <xdr:col>2</xdr:col>
      <xdr:colOff>560294</xdr:colOff>
      <xdr:row>34</xdr:row>
      <xdr:rowOff>56029</xdr:rowOff>
    </xdr:from>
    <xdr:to>
      <xdr:col>7</xdr:col>
      <xdr:colOff>705488</xdr:colOff>
      <xdr:row>59</xdr:row>
      <xdr:rowOff>190062</xdr:rowOff>
    </xdr:to>
    <xdr:pic>
      <xdr:nvPicPr>
        <xdr:cNvPr id="3" name="Imagen 2">
          <a:extLst>
            <a:ext uri="{FF2B5EF4-FFF2-40B4-BE49-F238E27FC236}">
              <a16:creationId xmlns:a16="http://schemas.microsoft.com/office/drawing/2014/main" id="{FB1E7055-FB6B-7115-8EF0-CC7DF7AE840F}"/>
            </a:ext>
          </a:extLst>
        </xdr:cNvPr>
        <xdr:cNvPicPr>
          <a:picLocks noChangeAspect="1"/>
        </xdr:cNvPicPr>
      </xdr:nvPicPr>
      <xdr:blipFill>
        <a:blip xmlns:r="http://schemas.openxmlformats.org/officeDocument/2006/relationships" r:embed="rId2"/>
        <a:stretch>
          <a:fillRect/>
        </a:stretch>
      </xdr:blipFill>
      <xdr:spPr>
        <a:xfrm>
          <a:off x="2084294" y="6757147"/>
          <a:ext cx="8583223" cy="4896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545929</xdr:colOff>
      <xdr:row>113</xdr:row>
      <xdr:rowOff>77407</xdr:rowOff>
    </xdr:to>
    <xdr:pic>
      <xdr:nvPicPr>
        <xdr:cNvPr id="2" name="Imagen 1">
          <a:extLst>
            <a:ext uri="{FF2B5EF4-FFF2-40B4-BE49-F238E27FC236}">
              <a16:creationId xmlns:a16="http://schemas.microsoft.com/office/drawing/2014/main" id="{E22B5589-3120-4DF2-A417-108B6511E719}"/>
            </a:ext>
          </a:extLst>
        </xdr:cNvPr>
        <xdr:cNvPicPr>
          <a:picLocks noChangeAspect="1"/>
        </xdr:cNvPicPr>
      </xdr:nvPicPr>
      <xdr:blipFill>
        <a:blip xmlns:r="http://schemas.openxmlformats.org/officeDocument/2006/relationships" r:embed="rId1"/>
        <a:stretch>
          <a:fillRect/>
        </a:stretch>
      </xdr:blipFill>
      <xdr:spPr>
        <a:xfrm>
          <a:off x="5295900" y="12954000"/>
          <a:ext cx="15596257" cy="8649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546757</xdr:colOff>
      <xdr:row>113</xdr:row>
      <xdr:rowOff>77407</xdr:rowOff>
    </xdr:to>
    <xdr:pic>
      <xdr:nvPicPr>
        <xdr:cNvPr id="2" name="Imagen 1">
          <a:extLst>
            <a:ext uri="{FF2B5EF4-FFF2-40B4-BE49-F238E27FC236}">
              <a16:creationId xmlns:a16="http://schemas.microsoft.com/office/drawing/2014/main" id="{7DCCCA6D-395E-40F0-B449-30F499596F00}"/>
            </a:ext>
          </a:extLst>
        </xdr:cNvPr>
        <xdr:cNvPicPr>
          <a:picLocks noChangeAspect="1"/>
        </xdr:cNvPicPr>
      </xdr:nvPicPr>
      <xdr:blipFill>
        <a:blip xmlns:r="http://schemas.openxmlformats.org/officeDocument/2006/relationships" r:embed="rId1"/>
        <a:stretch>
          <a:fillRect/>
        </a:stretch>
      </xdr:blipFill>
      <xdr:spPr>
        <a:xfrm>
          <a:off x="5295900" y="12954000"/>
          <a:ext cx="15594601" cy="8649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23</xdr:col>
      <xdr:colOff>232018</xdr:colOff>
      <xdr:row>113</xdr:row>
      <xdr:rowOff>77407</xdr:rowOff>
    </xdr:to>
    <xdr:pic>
      <xdr:nvPicPr>
        <xdr:cNvPr id="5" name="Imagen 4">
          <a:extLst>
            <a:ext uri="{FF2B5EF4-FFF2-40B4-BE49-F238E27FC236}">
              <a16:creationId xmlns:a16="http://schemas.microsoft.com/office/drawing/2014/main" id="{109EBC49-73F0-F3C7-3D0F-7C24A5901655}"/>
            </a:ext>
          </a:extLst>
        </xdr:cNvPr>
        <xdr:cNvPicPr>
          <a:picLocks noChangeAspect="1"/>
        </xdr:cNvPicPr>
      </xdr:nvPicPr>
      <xdr:blipFill>
        <a:blip xmlns:r="http://schemas.openxmlformats.org/officeDocument/2006/relationships" r:embed="rId1"/>
        <a:stretch>
          <a:fillRect/>
        </a:stretch>
      </xdr:blipFill>
      <xdr:spPr>
        <a:xfrm>
          <a:off x="5162550" y="12954000"/>
          <a:ext cx="15594601" cy="86499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LIAN CAICEDO" id="{8B4C904F-D39B-41A2-976E-9CF6D3CCE00C}" userId="JULIAN CAICEDO"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606CCEC-CD5E-4C43-9C29-F94441C86EE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c7e7183a8049fcd4476666d530c02af4&amp;qlt=95" TargetMode="External"/><Relationship Id="rId2" Type="http://schemas.openxmlformats.org/officeDocument/2006/relationships/hyperlink" Target="https://www.bing.com/images/search?form=xlimg&amp;q=bol%c3%advar+department+colombia" TargetMode="External"/><Relationship Id="rId1" Type="http://schemas.openxmlformats.org/officeDocument/2006/relationships/hyperlink" Target="https://www.bing.com/th?id=AMMS_0e8011aa83ff1393ab0287f9fd067d1c&amp;qlt=95" TargetMode="External"/><Relationship Id="rId6" Type="http://schemas.openxmlformats.org/officeDocument/2006/relationships/hyperlink" Target="https://www.bing.com/images/search?form=xlimg&amp;q=putumayo+department+colombia" TargetMode="External"/><Relationship Id="rId5" Type="http://schemas.openxmlformats.org/officeDocument/2006/relationships/hyperlink" Target="https://www.bing.com/th?id=AMMS_bd5df3a48eceaba2bf9c4ff931b54459&amp;qlt=95" TargetMode="External"/><Relationship Id="rId4" Type="http://schemas.openxmlformats.org/officeDocument/2006/relationships/hyperlink" Target="https://www.bing.com/images/search?form=xlimg&amp;q=casanare+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2">
  <a r="1">
    <v t="s">Marcela Amaya (Governor)</v>
  </a>
  <a r="1">
    <v t="s">UTC−05:00</v>
  </a>
  <a r="1">
    <v t="s">Didier Alberto Tavera Amado (Governor)</v>
  </a>
  <a r="1">
    <v t="s">Ricardo Alvarado Bestene (Governor)</v>
  </a>
  <a r="1">
    <v t="s">Vicente blel (Governor)</v>
  </a>
  <a r="1">
    <v t="r">39</v>
  </a>
  <a r="1">
    <v t="s">Carlos Andrés Amaya (Governor)</v>
  </a>
  <a r="1">
    <v t="s">Salomon Andres Sanabria (Governor)</v>
  </a>
  <a r="1">
    <v t="s">Oneida Rayeth Pinto Perez (Governor)</v>
  </a>
  <a r="1">
    <v t="s">Luis Enrique Dussan López (Governor)</v>
  </a>
  <a r="1">
    <v t="s">William Villamizar Laguado (Governor)</v>
  </a>
  <a r="1">
    <v t="s">Sorrel Parisa Aroca Rodriguez (Governor)</v>
  </a>
</arrayData>
</file>

<file path=xl/richData/rdrichvalue.xml><?xml version="1.0" encoding="utf-8"?>
<rvData xmlns="http://schemas.microsoft.com/office/spreadsheetml/2017/richdata" count="96">
  <rv s="0">
    <v>536870912</v>
    <v>Meta Department</v>
    <v>30c3c263-a281-f2d2-6787-511d37d41ddf</v>
    <v>en-US</v>
    <v>Map</v>
  </rv>
  <rv s="1">
    <fb>85635</fb>
    <v>11</v>
  </rv>
  <rv s="0">
    <v>536870912</v>
    <v>Villavicencio</v>
    <v>061f744c-689b-fc4e-336d-58ff74f02bb7</v>
    <v>en-US</v>
    <v>Map</v>
  </rv>
  <rv s="0">
    <v>536870912</v>
    <v>Colombia</v>
    <v>c396e3d8-2a85-d230-f691-7850536d840e</v>
    <v>en-US</v>
    <v>Map</v>
  </rv>
  <rv s="1">
    <fb>179624</fb>
    <v>11</v>
  </rv>
  <rv s="2">
    <v>0</v>
  </rv>
  <rv s="3">
    <v>https://www.bing.com/search?q=meta+department+colombia&amp;form=skydnc</v>
    <v>Learn more on Bing</v>
  </rv>
  <rv s="1">
    <fb>1039722</fb>
    <v>11</v>
  </rv>
  <rv s="2">
    <v>1</v>
  </rv>
  <rv s="4">
    <v>#VALUE!</v>
    <v>en-US</v>
    <v>30c3c263-a281-f2d2-6787-511d37d41ddf</v>
    <v>536870912</v>
    <v>1</v>
    <v>3</v>
    <v>4</v>
    <v>Meta Department</v>
    <v>7</v>
    <v>8</v>
    <v>Map</v>
    <v>9</v>
    <v>10</v>
    <v>CO-MET</v>
    <v>1</v>
    <v>2</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4</v>
    <v>2</v>
    <v>5</v>
    <v>6</v>
    <v>Meta Department</v>
    <v>7</v>
    <v>8</v>
    <v>Meta Department</v>
    <v>mdp/vdpid/10106924</v>
  </rv>
  <rv s="0">
    <v>536870912</v>
    <v>Santander Department</v>
    <v>98fbfaa3-063d-4261-a806-2b84a0339e05</v>
    <v>en-US</v>
    <v>Map</v>
  </rv>
  <rv s="1">
    <fb>30537</fb>
    <v>11</v>
  </rv>
  <rv s="0">
    <v>536870912</v>
    <v>Bucaramanga</v>
    <v>b2b7d5d4-6e24-8927-87fe-0c327b2b2c86</v>
    <v>en-US</v>
    <v>Map</v>
  </rv>
  <rv s="1">
    <fb>495179</fb>
    <v>11</v>
  </rv>
  <rv s="2">
    <v>2</v>
  </rv>
  <rv s="3">
    <v>https://www.bing.com/search?q=santander+department+colombia&amp;form=skydnc</v>
    <v>Learn more on Bing</v>
  </rv>
  <rv s="1">
    <fb>2184837</fb>
    <v>11</v>
  </rv>
  <rv s="4">
    <v>#VALUE!</v>
    <v>en-US</v>
    <v>98fbfaa3-063d-4261-a806-2b84a0339e05</v>
    <v>536870912</v>
    <v>1</v>
    <v>14</v>
    <v>4</v>
    <v>Santander Department</v>
    <v>7</v>
    <v>8</v>
    <v>Map</v>
    <v>9</v>
    <v>10</v>
    <v>CO-SAN</v>
    <v>11</v>
    <v>12</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13</v>
    <v>12</v>
    <v>14</v>
    <v>15</v>
    <v>Santander Department</v>
    <v>16</v>
    <v>8</v>
    <v>Santander Department</v>
    <v>mdp/vdpid/10106936</v>
  </rv>
  <rv s="0">
    <v>536870912</v>
    <v>Arauca Department</v>
    <v>39038b52-0399-9385-24de-5d0c69b46eba</v>
    <v>en-US</v>
    <v>Map</v>
  </rv>
  <rv s="1">
    <fb>23818</fb>
    <v>11</v>
  </rv>
  <rv s="0">
    <v>536870912</v>
    <v>Arauca</v>
    <v>64f5d309-32e5-4ff7-24bc-d973ce26e70a</v>
    <v>en-US</v>
    <v>Map</v>
  </rv>
  <rv s="1">
    <fb>35636</fb>
    <v>11</v>
  </rv>
  <rv s="2">
    <v>3</v>
  </rv>
  <rv s="3">
    <v>https://www.bing.com/search?q=arauca+department+colombia&amp;form=skydnc</v>
    <v>Learn more on Bing</v>
  </rv>
  <rv s="1">
    <fb>262174</fb>
    <v>11</v>
  </rv>
  <rv s="4">
    <v>#VALUE!</v>
    <v>en-US</v>
    <v>39038b52-0399-9385-24de-5d0c69b46eba</v>
    <v>536870912</v>
    <v>1</v>
    <v>17</v>
    <v>4</v>
    <v>Arauca Department</v>
    <v>7</v>
    <v>8</v>
    <v>Map</v>
    <v>9</v>
    <v>10</v>
    <v>CO-ARA</v>
    <v>19</v>
    <v>20</v>
    <v>3</v>
    <v>Arauca is a department of Eastern Colombia located in the extreme north of the Orinoco Basin of Colombia, bordering Venezuela. The southern boundary of Arauca is formed by the Casanare and Meta Rivers, separating Arauca from the departments of Casanare and Vichada. To the west, Arauca borders the department of Boyacá. The Caño Limón oil fields located within Arauca account for almost a third of the Colombian oil output. Its capital is the town of Arauca.</v>
    <v>21</v>
    <v>20</v>
    <v>22</v>
    <v>23</v>
    <v>Arauca Department</v>
    <v>24</v>
    <v>8</v>
    <v>Arauca Department</v>
    <v>mdp/vdpid/10106929</v>
  </rv>
  <rv s="0">
    <v>536870912</v>
    <v>Bolívar Department</v>
    <v>38fa99f2-3e47-af72-2f25-81f620fe1128</v>
    <v>en-US</v>
    <v>Map</v>
  </rv>
  <rv s="1">
    <fb>25978</fb>
    <v>11</v>
  </rv>
  <rv s="0">
    <v>536870912</v>
    <v>Cartagena</v>
    <v>722cd66d-65f4-7a40-33a0-17719bf6238a</v>
    <v>en-US</v>
    <v>Map</v>
  </rv>
  <rv s="1">
    <fb>391055</fb>
    <v>11</v>
  </rv>
  <rv s="5">
    <v>0</v>
    <v>9</v>
    <v>25</v>
    <v>0</v>
    <v>Image of Bolívar Department</v>
  </rv>
  <rv s="2">
    <v>4</v>
  </rv>
  <rv s="3">
    <v>https://www.bing.com/search?q=bol%c3%advar+department+colombia&amp;form=skydnc</v>
    <v>Learn more on Bing</v>
  </rv>
  <rv s="1">
    <fb>2070110</fb>
    <v>11</v>
  </rv>
  <rv s="6">
    <v>#VALUE!</v>
    <v>en-US</v>
    <v>38fa99f2-3e47-af72-2f25-81f620fe1128</v>
    <v>536870912</v>
    <v>1</v>
    <v>22</v>
    <v>23</v>
    <v>Bolívar Department</v>
    <v>7</v>
    <v>24</v>
    <v>Map</v>
    <v>9</v>
    <v>10</v>
    <v>CO-BOL</v>
    <v>27</v>
    <v>28</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29</v>
    <v>30</v>
    <v>28</v>
    <v>31</v>
    <v>32</v>
    <v>Bolívar Department</v>
    <v>33</v>
    <v>8</v>
    <v>Bolívar Department</v>
    <v>mdp/vdpid/9421486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5</v>
  </rv>
  <rv s="3">
    <v>https://www.bing.com/search?q=antioquia+department&amp;form=skydnc</v>
    <v>Learn more on Bing</v>
  </rv>
  <rv s="1">
    <fb>6407102</fb>
    <v>11</v>
  </rv>
  <rv s="4">
    <v>#VALUE!</v>
    <v>en-US</v>
    <v>d3614470-a93c-5d64-a636-9da2dff33c3d</v>
    <v>536870912</v>
    <v>1</v>
    <v>28</v>
    <v>4</v>
    <v>Antioquia Department</v>
    <v>7</v>
    <v>8</v>
    <v>Map</v>
    <v>9</v>
    <v>10</v>
    <v>CO-ANT</v>
    <v>36</v>
    <v>37</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38</v>
    <v>37</v>
    <v>40</v>
    <v>41</v>
    <v>Antioquia Department</v>
    <v>42</v>
    <v>8</v>
    <v>Antioquia Department</v>
    <v>mdp/vdpid/10106933</v>
  </rv>
  <rv s="0">
    <v>536870912</v>
    <v>Boyacá Department</v>
    <v>951b3076-f33d-486b-9b35-d6d83aad8b98</v>
    <v>en-US</v>
    <v>Map</v>
  </rv>
  <rv s="1">
    <fb>23189</fb>
    <v>11</v>
  </rv>
  <rv s="0">
    <v>536870912</v>
    <v>Tunja</v>
    <v>27d685ee-2724-70fe-3ed2-724fbc283d31</v>
    <v>en-US</v>
    <v>Map</v>
  </rv>
  <rv s="1">
    <fb>336296</fb>
    <v>11</v>
  </rv>
  <rv s="2">
    <v>6</v>
  </rv>
  <rv s="3">
    <v>https://www.bing.com/search?q=boyac%c3%a1+department&amp;form=skydnc</v>
    <v>Learn more on Bing</v>
  </rv>
  <rv s="1">
    <fb>1217376</fb>
    <v>11</v>
  </rv>
  <rv s="4">
    <v>#VALUE!</v>
    <v>en-US</v>
    <v>951b3076-f33d-486b-9b35-d6d83aad8b98</v>
    <v>536870912</v>
    <v>1</v>
    <v>31</v>
    <v>4</v>
    <v>Boyacá Department</v>
    <v>7</v>
    <v>8</v>
    <v>Map</v>
    <v>9</v>
    <v>10</v>
    <v>CO-BOY</v>
    <v>45</v>
    <v>46</v>
    <v>3</v>
    <v>Boyacá is one of the thirty-two departments of Colombia, and the remnant of Boyacá State, one of the original nine states of the "United States of Colombia". Boyacá is centrally located within Colombia, almost entirely within the mountains of the Eastern Cordillera to the border with Venezuela, although the western end of the department extends to the Magdalena River at the town of Puerto Boyacá. Boyacá borders to the north with the Department of Santander, to the northeast with the Bolivarian Republic of Venezuela and Norte de Santander, to the east with the departments of Arauca and Casanare. To the south, Boyacá borders the department of Cundinamarca and to the west with the Department of Antioquia covering a total area of 23,189 square kilometres. The capital of Boyacá is the city of Tunja.</v>
    <v>47</v>
    <v>46</v>
    <v>48</v>
    <v>49</v>
    <v>Boyacá Department</v>
    <v>50</v>
    <v>8</v>
    <v>Boyacá Department</v>
    <v>mdp/vdpid/10106930</v>
  </rv>
  <rv s="0">
    <v>536870912</v>
    <v>Casanare Department</v>
    <v>e7b3ed4f-03e8-7516-f976-b525e8a0b565</v>
    <v>en-US</v>
    <v>Map</v>
  </rv>
  <rv s="1">
    <fb>44640</fb>
    <v>11</v>
  </rv>
  <rv s="0">
    <v>536870912</v>
    <v>Yopal</v>
    <v>b5d1013d-669c-c464-2466-3c8409cb17e0</v>
    <v>en-US</v>
    <v>Map</v>
  </rv>
  <rv s="1">
    <fb>73701</fb>
    <v>11</v>
  </rv>
  <rv s="5">
    <v>1</v>
    <v>9</v>
    <v>37</v>
    <v>0</v>
    <v>Image of Casanare Department</v>
  </rv>
  <rv s="2">
    <v>7</v>
  </rv>
  <rv s="3">
    <v>https://www.bing.com/search?q=casanare+department+colombia&amp;form=skydnc</v>
    <v>Learn more on Bing</v>
  </rv>
  <rv s="1">
    <fb>420504</fb>
    <v>11</v>
  </rv>
  <rv s="6">
    <v>#VALUE!</v>
    <v>en-US</v>
    <v>e7b3ed4f-03e8-7516-f976-b525e8a0b565</v>
    <v>536870912</v>
    <v>1</v>
    <v>34</v>
    <v>23</v>
    <v>Casanare Department</v>
    <v>35</v>
    <v>36</v>
    <v>Map</v>
    <v>9</v>
    <v>10</v>
    <v>CO-CAS</v>
    <v>53</v>
    <v>54</v>
    <v>3</v>
    <v>Casanare Department is a department in the central eastern region of Colombia. Its capital is Yopal, which is also the episcopal seat of the Roman Catholic Diocese of Yopal.</v>
    <v>55</v>
    <v>56</v>
    <v>54</v>
    <v>57</v>
    <v>58</v>
    <v>Casanare Department</v>
    <v>59</v>
    <v>8</v>
    <v>Casanare Department</v>
    <v>mdp/vdpid/10106928</v>
  </rv>
  <rv s="0">
    <v>536870912</v>
    <v>La Guajira Department</v>
    <v>5dadb66e-c4f1-8556-c08f-671a606edf84</v>
    <v>en-US</v>
    <v>Map</v>
  </rv>
  <rv s="1">
    <fb>20848</fb>
    <v>11</v>
  </rv>
  <rv s="0">
    <v>536870912</v>
    <v>Riohacha</v>
    <v>f49d0eea-63a6-74bd-7610-26e440494dda</v>
    <v>en-US</v>
    <v>Map</v>
  </rv>
  <rv s="1">
    <fb>123078</fb>
    <v>11</v>
  </rv>
  <rv s="0">
    <v>536870912</v>
    <v>Uribia</v>
    <v>079ebe16-eeaa-f321-420d-7a8c4b2a599d</v>
    <v>en-US</v>
    <v>Map</v>
  </rv>
  <rv s="2">
    <v>8</v>
  </rv>
  <rv s="3">
    <v>https://www.bing.com/search?q=la+guajira+department+colombia&amp;form=skydnc</v>
    <v>Learn more on Bing</v>
  </rv>
  <rv s="1">
    <fb>880560</fb>
    <v>11</v>
  </rv>
  <rv s="4">
    <v>#VALUE!</v>
    <v>en-US</v>
    <v>5dadb66e-c4f1-8556-c08f-671a606edf84</v>
    <v>536870912</v>
    <v>1</v>
    <v>40</v>
    <v>4</v>
    <v>La Guajira Department</v>
    <v>7</v>
    <v>8</v>
    <v>Map</v>
    <v>9</v>
    <v>10</v>
    <v>CO-LAG</v>
    <v>62</v>
    <v>63</v>
    <v>3</v>
    <v>La Guajira is a department of Colombia. It occupies most of the Guajira Peninsula in the northeast region of the country, on the Caribbean Sea and bordering Venezuela, at the northernmost tip of South America. The capital city of the department is Riohacha.</v>
    <v>64</v>
    <v>65</v>
    <v>66</v>
    <v>67</v>
    <v>La Guajira Department</v>
    <v>68</v>
    <v>8</v>
    <v>La Guajira Department</v>
    <v>mdp/vdpid/10106951</v>
  </rv>
  <rv s="0">
    <v>536870912</v>
    <v>Huila Department</v>
    <v>2752ef70-1772-e264-2348-e4146224c108</v>
    <v>en-US</v>
    <v>Map</v>
  </rv>
  <rv s="1">
    <fb>19890</fb>
    <v>45</v>
  </rv>
  <rv s="0">
    <v>536870912</v>
    <v>Neiva</v>
    <v>1ba988f0-6907-b536-88ad-b89bb1269fc5</v>
    <v>en-US</v>
    <v>Map</v>
  </rv>
  <rv s="1">
    <fb>253348</fb>
    <v>45</v>
  </rv>
  <rv s="2">
    <v>9</v>
  </rv>
  <rv s="3">
    <v>https://www.bing.com/search?q=huila+department+colombia&amp;form=skydnc</v>
    <v>Learn more on Bing</v>
  </rv>
  <rv s="1">
    <fb>1200386</fb>
    <v>45</v>
  </rv>
  <rv s="4">
    <v>#VALUE!</v>
    <v>en-US</v>
    <v>2752ef70-1772-e264-2348-e4146224c108</v>
    <v>536870912</v>
    <v>1</v>
    <v>43</v>
    <v>4</v>
    <v>Huila Department</v>
    <v>35</v>
    <v>44</v>
    <v>Map</v>
    <v>9</v>
    <v>10</v>
    <v>CO-HUI</v>
    <v>71</v>
    <v>72</v>
    <v>3</v>
    <v>Huila is one of the departments of Colombia. It is located in the southwest of the country, and its capital is Neiva.</v>
    <v>73</v>
    <v>72</v>
    <v>74</v>
    <v>75</v>
    <v>Huila Department</v>
    <v>76</v>
    <v>8</v>
    <v>Huila Department</v>
    <v>mdp/vdpid/10106920</v>
  </rv>
  <rv s="0">
    <v>536870912</v>
    <v>Norte de Santander Department</v>
    <v>d44c8def-e6be-c3f1-ab4e-e27af99a2e0b</v>
    <v>en-US</v>
    <v>Map</v>
  </rv>
  <rv s="1">
    <fb>21658</fb>
    <v>45</v>
  </rv>
  <rv s="0">
    <v>536870912</v>
    <v>Cúcuta</v>
    <v>5a90774d-aeea-6f03-17a8-2126ffdffef3</v>
    <v>en-US</v>
    <v>Map</v>
  </rv>
  <rv s="1">
    <fb>295605</fb>
    <v>45</v>
  </rv>
  <rv s="2">
    <v>10</v>
  </rv>
  <rv s="3">
    <v>https://www.bing.com/search?q=norte+de+santander+department+colombia&amp;form=skydnc</v>
    <v>Learn more on Bing</v>
  </rv>
  <rv s="1">
    <fb>1491689</fb>
    <v>45</v>
  </rv>
  <rv s="4">
    <v>#VALUE!</v>
    <v>en-US</v>
    <v>d44c8def-e6be-c3f1-ab4e-e27af99a2e0b</v>
    <v>536870912</v>
    <v>1</v>
    <v>50</v>
    <v>4</v>
    <v>Norte de Santander Department</v>
    <v>35</v>
    <v>44</v>
    <v>Map</v>
    <v>9</v>
    <v>10</v>
    <v>CO-NSA</v>
    <v>79</v>
    <v>80</v>
    <v>3</v>
    <v>North Santander is a department of Northeastern Colombia. It is in the north of the country, bordering Venezuela. Its capital is Cúcuta, one of the country's major cities.</v>
    <v>81</v>
    <v>80</v>
    <v>82</v>
    <v>83</v>
    <v>Norte de Santander Department</v>
    <v>84</v>
    <v>8</v>
    <v>Norte de Santander Department</v>
    <v>mdp/vdpid/9406503</v>
  </rv>
  <rv s="0">
    <v>536870912</v>
    <v>Putumayo Department</v>
    <v>45f7bd51-6a99-6e2e-3095-604393add4b0</v>
    <v>en-US</v>
    <v>Map</v>
  </rv>
  <rv s="1">
    <fb>24885</fb>
    <v>45</v>
  </rv>
  <rv s="0">
    <v>536870912</v>
    <v>Mocoa</v>
    <v>fb0d0b7c-d2b3-307d-2e00-ace8205ad474</v>
    <v>en-US</v>
    <v>Map</v>
  </rv>
  <rv s="1">
    <fb>69570</fb>
    <v>45</v>
  </rv>
  <rv s="7">
    <v>2</v>
    <v>9</v>
    <v>55</v>
    <v>6</v>
    <v>0</v>
    <v>Image of Putumayo Department</v>
  </rv>
  <rv s="0">
    <v>536870912</v>
    <v>Orito</v>
    <v>0b32c096-7333-77fb-af4e-abf896aec920</v>
    <v>en-US</v>
    <v>Map</v>
  </rv>
  <rv s="2">
    <v>11</v>
  </rv>
  <rv s="3">
    <v>https://www.bing.com/search?q=putumayo+department+colombia&amp;form=skydnc</v>
    <v>Learn more on Bing</v>
  </rv>
  <rv s="1">
    <fb>348182</fb>
    <v>45</v>
  </rv>
  <rv s="6">
    <v>#VALUE!</v>
    <v>en-US</v>
    <v>45f7bd51-6a99-6e2e-3095-604393add4b0</v>
    <v>536870912</v>
    <v>1</v>
    <v>54</v>
    <v>23</v>
    <v>Putumayo Department</v>
    <v>7</v>
    <v>24</v>
    <v>Map</v>
    <v>9</v>
    <v>10</v>
    <v>CO-PUT</v>
    <v>87</v>
    <v>88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89</v>
    <v>90</v>
    <v>91</v>
    <v>92</v>
    <v>93</v>
    <v>Putumayo Department</v>
    <v>94</v>
    <v>8</v>
    <v>Putumayo Department</v>
    <v>mdp/vdpid/10106916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6">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
      <v>12</v>
      <v>13</v>
      <v>12</v>
      <v>13</v>
      <v>12</v>
      <v>12</v>
      <v>12</v>
      <v>2</v>
      <v>13</v>
      <v>12</v>
    </spb>
    <spb s="0">
      <v xml:space="preserve">Wikipedia	</v>
      <v xml:space="preserve">CC-BY-SA	</v>
      <v xml:space="preserve">http://en.wikipedia.org/wiki/Arauca_Department	</v>
      <v xml:space="preserve">http://creativecommons.org/licenses/by-sa/3.0/	</v>
    </spb>
    <spb s="0">
      <v xml:space="preserve">Wikipedia	dane.gov.co	</v>
      <v xml:space="preserve">CC-BY-SA		</v>
      <v xml:space="preserve">http://en.wikipedia.org/wiki/Arauca_Department	http://www.dane.gov.co/censo/files/cuadros%20censo%202005.xls#Cuadro4.9	</v>
      <v xml:space="preserve">http://creativecommons.org/licenses/by-sa/3.0/		</v>
    </spb>
    <spb s="1">
      <v>15</v>
      <v>16</v>
      <v>15</v>
      <v>16</v>
      <v>15</v>
      <v>15</v>
      <v>15</v>
      <v>2</v>
      <v>16</v>
      <v>15</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
      <v>18</v>
      <v>19</v>
      <v>20</v>
      <v>19</v>
      <v>20</v>
      <v>20</v>
      <v>21</v>
      <v>2</v>
      <v>19</v>
      <v>21</v>
    </spb>
    <spb s="2">
      <v>1</v>
      <v>Name</v>
      <v>LearnMoreOnLink</v>
    </spb>
    <spb s="10">
      <v>1</v>
      <v>4</v>
      <v>2</v>
    </spb>
    <spb s="0">
      <v xml:space="preserve">Wikipedia	</v>
      <v xml:space="preserve">CC BY 2.0	</v>
      <v xml:space="preserve">http://es.wikipedia.org/wiki/Bolívar_(Colombia)	</v>
      <v xml:space="preserve">https://creativecommons.org/licenses/by/2.0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
      <v>26</v>
      <v>27</v>
      <v>26</v>
      <v>27</v>
      <v>26</v>
      <v>26</v>
      <v>26</v>
      <v>2</v>
      <v>27</v>
      <v>26</v>
    </spb>
    <spb s="0">
      <v xml:space="preserve">Wikipedia	</v>
      <v xml:space="preserve">CC-BY-SA	</v>
      <v xml:space="preserve">http://en.wikipedia.org/wiki/Boyacá_Department	</v>
      <v xml:space="preserve">http://creativecommons.org/licenses/by-sa/3.0/	</v>
    </spb>
    <spb s="0">
      <v xml:space="preserve">Wikipedia	dane.gov.co	</v>
      <v xml:space="preserve">CC-BY-SA		</v>
      <v xml:space="preserve">http://en.wikipedia.org/wiki/Boyacá_Department	http://www.dane.gov.co/censo/files/cuadros%20censo%202005.xls#Cuadro4.9	</v>
      <v xml:space="preserve">http://creativecommons.org/licenses/by-sa/3.0/		</v>
    </spb>
    <spb s="1">
      <v>29</v>
      <v>30</v>
      <v>29</v>
      <v>30</v>
      <v>29</v>
      <v>29</v>
      <v>29</v>
      <v>2</v>
      <v>30</v>
      <v>29</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
      <v>32</v>
      <v>33</v>
      <v>32</v>
      <v>33</v>
      <v>32</v>
      <v>32</v>
      <v>32</v>
      <v>2</v>
      <v>33</v>
      <v>32</v>
    </spb>
    <spb s="11">
      <v>5</v>
      <v>5</v>
      <v>5</v>
    </spb>
    <spb s="12">
      <v>1</v>
      <v>4</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13">
      <v>38</v>
      <v>39</v>
      <v>38</v>
      <v>39</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
      <v>41</v>
      <v>42</v>
      <v>41</v>
      <v>42</v>
      <v>41</v>
      <v>41</v>
      <v>41</v>
      <v>2</v>
      <v>42</v>
      <v>41</v>
    </spb>
    <spb s="14">
      <v>1</v>
    </spb>
    <spb s="9">
      <v>5</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
      <v>46</v>
      <v>47</v>
      <v>46</v>
      <v>47</v>
      <v>46</v>
      <v>46</v>
      <v>48</v>
      <v>2</v>
      <v>49</v>
      <v>48</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3">
      <v>51</v>
      <v>52</v>
      <v>53</v>
      <v>52</v>
      <v>53</v>
      <v>53</v>
      <v>2</v>
      <v>52</v>
      <v>53</v>
    </spb>
    <spb s="0">
      <v xml:space="preserve">Wikipedia	</v>
      <v xml:space="preserve">CC BY-SA 3.0	</v>
      <v xml:space="preserve">http://ko.wikipedia.org/wiki/푸투마요주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Largest city"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Name" t="i"/>
    <k n="Image" t="i"/>
    <k n="Description" t="i"/>
  </s>
  <s>
    <k n="UniqueName" t="spb"/>
    <k n="VDPID/VSID" t="spb"/>
    <k n="LearnMoreOnLink" t="spb"/>
  </s>
  <s>
    <k n="Name" t="i"/>
    <k n="Image" t="i"/>
  </s>
  <s>
    <k n="Area" t="spb"/>
    <k n="Name" t="spb"/>
    <k n="Population" t="spb"/>
    <k n="UniqueName" t="spb"/>
    <k n="Description" t="spb"/>
    <k n="Abbreviation" t="spb"/>
    <k n="Housing units" t="spb"/>
    <k n="Country/region" t="spb"/>
    <k n="Capital/Major City"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IsHeroField" t="b"/>
    <rPr n="NumberFormat" t="s"/>
  </richProperties>
  <richStyles>
    <rSty>
      <rpv i="0">1</rpv>
    </rSty>
    <rSty>
      <rpv i="1">1</rpv>
    </rSty>
    <rSty dxfid="0"/>
    <rSty>
      <rpv i="2">1</rpv>
    </rSty>
    <rSty dxfid="0">
      <rpv i="3">#,##0</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138E86-E026-4314-8A64-DBAE113B1FF1}" name="Akacias_" displayName="Akacias_" ref="A1:B14" tableType="queryTable" totalsRowShown="0">
  <autoFilter ref="A1:B14" xr:uid="{72138E86-E026-4314-8A64-DBAE113B1FF1}"/>
  <tableColumns count="2">
    <tableColumn id="1" xr3:uid="{D6783835-F803-4062-9AAE-FDB4D242F7A0}" uniqueName="1" name="Column1" queryTableFieldId="1"/>
    <tableColumn id="2" xr3:uid="{D45F7CAE-B685-429A-A18D-D59E536071E4}" uniqueName="2"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2-08-11T05:06:44.42" personId="{8B4C904F-D39B-41A2-976E-9CF6D3CCE00C}" id="{B5DC5291-6A6D-48C7-A6C7-D48CFE382A60}">
    <text>BP is Beam Pump, PCP is Progressive Cavity Pump, ESP is Electrical Submersible Pump</text>
  </threadedComment>
  <threadedComment ref="Q3" dT="2022-08-11T05:08:53.00" personId="{8B4C904F-D39B-41A2-976E-9CF6D3CCE00C}" id="{554B21F3-EFB7-49C5-962B-7A8B26EF7170}">
    <text>WI is Water Injection; GI is Gas Injection</text>
  </threadedComment>
  <threadedComment ref="R3" dT="2022-08-11T05:10:01.24" personId="{8B4C904F-D39B-41A2-976E-9CF6D3CCE00C}" id="{8A7D8302-9A73-4C71-B1C6-4B3DCE14D226}">
    <text>SI is Steam Injection; AI is Air Injection; CHI is Chemical Inyection (includes Polymer and/or surfractant injection); nnI is Nanofluids Inections; NI is Nitrogen Injection; SAG is surfractang alternative gas</text>
  </threadedComment>
  <threadedComment ref="Q43" dT="2022-08-10T01:54:57.66" personId="{8B4C904F-D39B-41A2-976E-9CF6D3CCE00C}" id="{EC31951F-36DB-4BB9-889B-66C815AE699D}">
    <text>Using ANH (https://www.anh.gov.co/documents/4172/Cuencas_Sedimentarias_de_Colombia_PDF.pdf)</text>
  </threadedComment>
  <threadedComment ref="Q66" dT="2022-08-10T01:54:02.42" personId="{8B4C904F-D39B-41A2-976E-9CF6D3CCE00C}" id="{0366A16D-EEAC-403F-96A9-4310780EA050}">
    <text>Using Upstream Characterization UPME (2021)</text>
  </threadedComment>
  <threadedComment ref="T72" dT="2022-08-08T22:10:25.19" personId="{8B4C904F-D39B-41A2-976E-9CF6D3CCE00C}" id="{4262ED9D-7D4D-4979-A886-69ABD815975C}">
    <text>ANH use to report de fiscalized gas that includes:  Gas lift + Reinjected gas + Gas to plant + transformed gas + gas to gaseoduct.
In 2018 the fiscalized gas production was 2253 Mscf/d, but the commercialized gas production was 1050 Mscf/d.
in 2010 the commercialized gas was 1040 Mscf/d.</text>
  </threadedComment>
  <threadedComment ref="T72" dT="2022-08-08T22:12:13.01" personId="{8B4C904F-D39B-41A2-976E-9CF6D3CCE00C}" id="{278CA538-86F0-4BE7-AC98-3FBEBFDAE74A}" parentId="{4262ED9D-7D4D-4979-A886-69ABD815975C}">
    <text>https://www.valoraanalitik.com/2019/01/16/colombia-cerro-el-2018-con-record-en-produccion-de-gas-y-petroleo/</text>
  </threadedComment>
  <threadedComment ref="R76" dT="2022-08-10T02:26:10.91" personId="{8B4C904F-D39B-41A2-976E-9CF6D3CCE00C}" id="{D776B7B1-62B5-4346-9580-94152522D5BD}">
    <text>Data from ANH report: Reserves 2018</text>
  </threadedComment>
  <threadedComment ref="T77" dT="2022-08-10T02:18:04.53" personId="{8B4C904F-D39B-41A2-976E-9CF6D3CCE00C}" id="{BA761599-396A-49D5-AA6D-4BC19FBDF2BD}">
    <text>Chichimene + Apiay + 10 oilfields</text>
  </threadedComment>
  <threadedComment ref="R78" dT="2022-08-10T02:11:03.45" personId="{8B4C904F-D39B-41A2-976E-9CF6D3CCE00C}" id="{E320C1C6-DE32-49A6-870A-0918B7BE0E85}">
    <text>Infantas + la Cira + Lisama + LLanito + Yarigui-Cantagallo</text>
  </threadedComment>
  <threadedComment ref="T78" dT="2022-08-10T02:16:29.46" personId="{8B4C904F-D39B-41A2-976E-9CF6D3CCE00C}" id="{21204627-F6DC-4143-9567-33068CB8C7FA}">
    <text>Cira + Infantas + Yarigui-Cantagallo +12 oilfields</text>
  </threadedComment>
  <threadedComment ref="R79" dT="2022-08-10T02:04:44.28" personId="{8B4C904F-D39B-41A2-976E-9CF6D3CCE00C}" id="{9873AE17-3FF6-4804-B27E-E3E701DD8B0C}">
    <text>Caño limon + 24 campos</text>
  </threadedComment>
  <threadedComment ref="T79" dT="2022-08-10T02:14:05.47" personId="{8B4C904F-D39B-41A2-976E-9CF6D3CCE00C}" id="{56DB3520-C5F7-4FA4-B4D9-82B6B2808C68}">
    <text>Andina + Capachos</text>
  </threadedComment>
  <threadedComment ref="R80" dT="2022-08-10T02:07:49.33" personId="{8B4C904F-D39B-41A2-976E-9CF6D3CCE00C}" id="{91993813-061C-47E7-A3AB-2463BC6DB191}">
    <text>Boquete + cicuco (Yarigui-Cantagallo is not considered as part of Bolivar Department but Santander)</text>
  </threadedComment>
  <threadedComment ref="R81" dT="2022-08-10T02:03:42.76" personId="{8B4C904F-D39B-41A2-976E-9CF6D3CCE00C}" id="{10EC9C8E-F434-45E3-B814-D8578688DD09}">
    <text>Casabe + Nare + Peñas Blancas + Teca-Corcona</text>
  </threadedComment>
  <threadedComment ref="T81" dT="2022-08-10T02:13:35.79" personId="{8B4C904F-D39B-41A2-976E-9CF6D3CCE00C}" id="{2E6F47D5-070C-44D3-BAB1-67ADAE18466B}">
    <text>Casabe + Peñas Blancas</text>
  </threadedComment>
  <threadedComment ref="R82" dT="2022-08-10T02:09:10.23" personId="{8B4C904F-D39B-41A2-976E-9CF6D3CCE00C}" id="{0023FFC6-039A-46E8-8E63-6F287132D253}">
    <text>Gibraltar + Girasol + Moriche + Velasquez + 8 oilfields</text>
  </threadedComment>
  <threadedComment ref="T82" dT="2022-08-10T02:17:12.43" personId="{8B4C904F-D39B-41A2-976E-9CF6D3CCE00C}" id="{70A75F81-4CAB-4384-A689-206C8CFA0516}">
    <text>Gibraltar + 5 gasfields</text>
  </threadedComment>
  <threadedComment ref="T83" dT="2022-08-10T02:14:57.33" personId="{8B4C904F-D39B-41A2-976E-9CF6D3CCE00C}" id="{99DC78EC-4683-44A1-AD26-041BE706B124}">
    <text>Cupiagua + Cusiana + Pauto + 9 gasfields</text>
  </threadedComment>
  <threadedComment ref="T84" dT="2022-08-10T02:15:35.17" personId="{8B4C904F-D39B-41A2-976E-9CF6D3CCE00C}" id="{CD64E6C6-5474-4A71-9BAB-A199E58F34DC}">
    <text>Ballena + Chuchupa</text>
  </threadedComment>
  <threadedComment ref="R87" dT="2022-08-10T02:20:44.65" personId="{8B4C904F-D39B-41A2-976E-9CF6D3CCE00C}" id="{D2921E57-2D44-4B35-989E-5AA00252E3C8}">
    <text>https://nuevoportal.ecopetrol.com.co/wps/portal/ecopetrol-web/nuestra-empresa/sala-de-prensa/boletines-de-prensa/boletines-2019/boletines-2018/Grupo%20Ecopetrol%20incremento%20sus%20reservas%20probadas%20de%20hidrocarburos%20al%20cierre%20de%202018</text>
  </threadedComment>
  <threadedComment ref="T87" dT="2022-08-10T02:24:15.91" personId="{8B4C904F-D39B-41A2-976E-9CF6D3CCE00C}" id="{1371A6D2-3AC0-4404-BBF4-3F45CF4B722B}">
    <text>1 Equivalent oil barrel is about 5800 scf</text>
  </threadedComment>
  <threadedComment ref="R97" dT="2022-08-11T14:45:12.33" personId="{8B4C904F-D39B-41A2-976E-9CF6D3CCE00C}" id="{7AF6FB8E-74D6-4C88-BA41-503CE35E7727}">
    <text>https://nuevoportal.ecopetrol.com.co/wps/portal/ecopetrol-web/nuestra-empresa/sala-de-prensa/boletines-de-prensa/boletines-2019/boletines-2018/Grupo%20Ecopetrol%20incremento%20sus%20reservas%20probadas%20de%20hidrocarburos%20al%20cierre%20de%202018</text>
  </threadedComment>
  <threadedComment ref="Q104" dT="2022-08-11T15:22:25.65" personId="{8B4C904F-D39B-41A2-976E-9CF6D3CCE00C}" id="{4D46370C-7FFD-4489-9A9B-2DC1439F982E}">
    <text>Boletin Estadistico UPME 2016-2020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FR@%20Primary=%2013%25%20(CASA%20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207-A31D-4333-AF3C-69874402C6D2}">
  <sheetPr>
    <pageSetUpPr autoPageBreaks="0"/>
  </sheetPr>
  <dimension ref="A2:AH27"/>
  <sheetViews>
    <sheetView zoomScaleNormal="100" workbookViewId="0">
      <selection activeCell="L24" sqref="L24:L25"/>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24.140625" style="1" customWidth="1"/>
    <col min="6" max="6" width="12.28515625" style="1" customWidth="1"/>
    <col min="7" max="7" width="16.42578125" style="1" customWidth="1"/>
    <col min="8" max="8" width="17" style="1" customWidth="1"/>
    <col min="9" max="9" width="16.140625" style="1" customWidth="1"/>
    <col min="10" max="10" width="28.7109375" style="1" customWidth="1"/>
    <col min="11" max="12" width="43.140625" style="1" customWidth="1"/>
    <col min="13" max="13" width="34" style="1" customWidth="1"/>
    <col min="14" max="14" width="11.42578125" style="1"/>
    <col min="15" max="15" width="34.85546875" style="1" customWidth="1"/>
    <col min="16" max="16" width="18.5703125" style="1" customWidth="1"/>
    <col min="17" max="17" width="27.5703125" style="1" customWidth="1"/>
    <col min="18" max="18" width="46.85546875" style="1" customWidth="1"/>
    <col min="19" max="19" width="40.28515625" style="1" customWidth="1"/>
    <col min="20" max="20" width="22.28515625" style="1" customWidth="1"/>
    <col min="21" max="21" width="34.85546875" style="1" customWidth="1"/>
    <col min="22" max="22" width="32.28515625" style="1" customWidth="1"/>
    <col min="23" max="23" width="27.85546875" style="1" customWidth="1"/>
    <col min="24" max="24" width="33.140625" style="1" customWidth="1"/>
    <col min="25" max="25" width="28.28515625" style="1" customWidth="1"/>
    <col min="26" max="26" width="89.85546875" style="1" customWidth="1"/>
    <col min="27" max="28" width="11.42578125" style="1"/>
    <col min="29" max="29" width="6.7109375" style="1" customWidth="1"/>
    <col min="30" max="34" width="11.42578125" style="1"/>
  </cols>
  <sheetData>
    <row r="2" spans="2:29" s="1" customFormat="1" x14ac:dyDescent="0.25">
      <c r="B2" s="1" t="s">
        <v>0</v>
      </c>
    </row>
    <row r="3" spans="2:29" s="1" customFormat="1" x14ac:dyDescent="0.25">
      <c r="M3" s="1" t="s">
        <v>1</v>
      </c>
    </row>
    <row r="4" spans="2:29" s="1" customFormat="1" ht="25.15" customHeight="1" x14ac:dyDescent="0.25">
      <c r="B4" s="2" t="s">
        <v>251</v>
      </c>
      <c r="C4" s="3" t="s">
        <v>3</v>
      </c>
      <c r="D4" s="3" t="s">
        <v>4</v>
      </c>
      <c r="E4" s="3" t="s">
        <v>6</v>
      </c>
      <c r="F4" s="3" t="s">
        <v>7</v>
      </c>
      <c r="G4" s="3" t="s">
        <v>8</v>
      </c>
      <c r="H4" s="3" t="s">
        <v>9</v>
      </c>
      <c r="I4" s="3" t="s">
        <v>252</v>
      </c>
      <c r="J4" s="3" t="s">
        <v>11</v>
      </c>
      <c r="K4" s="3" t="s">
        <v>253</v>
      </c>
      <c r="L4" s="3" t="s">
        <v>254</v>
      </c>
      <c r="M4" s="3" t="s">
        <v>13</v>
      </c>
      <c r="N4" s="3" t="s">
        <v>5</v>
      </c>
      <c r="O4" s="3" t="s">
        <v>14</v>
      </c>
      <c r="P4" s="3" t="s">
        <v>15</v>
      </c>
      <c r="Q4" s="3" t="s">
        <v>16</v>
      </c>
      <c r="R4" s="3" t="s">
        <v>17</v>
      </c>
      <c r="S4" s="3" t="s">
        <v>18</v>
      </c>
      <c r="T4" s="3" t="s">
        <v>19</v>
      </c>
      <c r="U4" s="3" t="s">
        <v>20</v>
      </c>
      <c r="V4" s="3" t="s">
        <v>21</v>
      </c>
      <c r="W4" s="3" t="s">
        <v>22</v>
      </c>
      <c r="X4" s="3" t="s">
        <v>23</v>
      </c>
      <c r="Y4" s="4" t="s">
        <v>24</v>
      </c>
      <c r="Z4" s="5" t="s">
        <v>25</v>
      </c>
    </row>
    <row r="5" spans="2:29" s="1" customFormat="1" ht="25.5" x14ac:dyDescent="0.25">
      <c r="B5" s="6">
        <v>1</v>
      </c>
      <c r="C5" s="7" t="s">
        <v>166</v>
      </c>
      <c r="D5" s="7" t="s">
        <v>255</v>
      </c>
      <c r="E5" s="7" t="s">
        <v>256</v>
      </c>
      <c r="F5" s="7" t="s">
        <v>30</v>
      </c>
      <c r="G5" s="8">
        <v>11342</v>
      </c>
      <c r="H5" s="7">
        <v>152.77000000000001</v>
      </c>
      <c r="I5" s="69">
        <v>754.35</v>
      </c>
      <c r="J5" s="7" t="s">
        <v>257</v>
      </c>
      <c r="K5" s="7">
        <v>0.68</v>
      </c>
      <c r="L5" s="7" t="s">
        <v>258</v>
      </c>
      <c r="M5" s="7" t="s">
        <v>259</v>
      </c>
      <c r="N5" s="7" t="s">
        <v>28</v>
      </c>
      <c r="O5" s="7" t="s">
        <v>260</v>
      </c>
      <c r="P5" s="7">
        <v>0.05</v>
      </c>
      <c r="Q5" s="7" t="s">
        <v>261</v>
      </c>
      <c r="R5" s="7" t="s">
        <v>262</v>
      </c>
      <c r="S5" s="7" t="s">
        <v>263</v>
      </c>
      <c r="T5" s="7" t="s">
        <v>264</v>
      </c>
      <c r="U5" s="7"/>
      <c r="V5" s="7">
        <v>0</v>
      </c>
      <c r="W5" s="7" t="s">
        <v>265</v>
      </c>
      <c r="X5" s="7" t="s">
        <v>266</v>
      </c>
      <c r="Y5" s="11" t="s">
        <v>267</v>
      </c>
      <c r="Z5" s="12" t="s">
        <v>268</v>
      </c>
    </row>
    <row r="6" spans="2:29" s="1" customFormat="1" ht="25.5" x14ac:dyDescent="0.25">
      <c r="B6" s="6">
        <v>3</v>
      </c>
      <c r="C6" s="7" t="s">
        <v>166</v>
      </c>
      <c r="D6" s="7" t="s">
        <v>269</v>
      </c>
      <c r="E6" s="7" t="s">
        <v>270</v>
      </c>
      <c r="F6" s="7" t="s">
        <v>30</v>
      </c>
      <c r="G6" s="8">
        <v>4514</v>
      </c>
      <c r="H6" s="7">
        <v>182.15</v>
      </c>
      <c r="I6" s="69">
        <v>306.27</v>
      </c>
      <c r="J6" s="7">
        <v>52</v>
      </c>
      <c r="K6" s="7">
        <v>0.68</v>
      </c>
      <c r="L6" s="14" t="s">
        <v>258</v>
      </c>
      <c r="M6" s="7" t="s">
        <v>271</v>
      </c>
      <c r="N6" s="7" t="s">
        <v>28</v>
      </c>
      <c r="O6" s="7" t="s">
        <v>260</v>
      </c>
      <c r="P6" s="7">
        <v>0.05</v>
      </c>
      <c r="Q6" s="7" t="s">
        <v>261</v>
      </c>
      <c r="R6" s="7" t="s">
        <v>272</v>
      </c>
      <c r="S6" s="7" t="s">
        <v>273</v>
      </c>
      <c r="T6" s="7" t="s">
        <v>264</v>
      </c>
      <c r="U6" s="7"/>
      <c r="V6" s="7"/>
      <c r="W6" s="7"/>
      <c r="X6" s="7" t="s">
        <v>274</v>
      </c>
      <c r="Y6" s="11" t="s">
        <v>275</v>
      </c>
      <c r="Z6" s="12"/>
    </row>
    <row r="7" spans="2:29" s="1" customFormat="1" ht="38.25" x14ac:dyDescent="0.25">
      <c r="B7" s="6">
        <v>2</v>
      </c>
      <c r="C7" s="7" t="s">
        <v>166</v>
      </c>
      <c r="D7" s="7" t="s">
        <v>276</v>
      </c>
      <c r="E7" s="7" t="s">
        <v>277</v>
      </c>
      <c r="F7" s="7" t="s">
        <v>278</v>
      </c>
      <c r="G7" s="8">
        <v>31197</v>
      </c>
      <c r="H7" s="7">
        <v>218.46</v>
      </c>
      <c r="I7" s="69">
        <v>459.81099999999998</v>
      </c>
      <c r="J7" s="7">
        <v>46</v>
      </c>
      <c r="K7" s="7">
        <v>0.72</v>
      </c>
      <c r="L7" s="7" t="s">
        <v>279</v>
      </c>
      <c r="M7" s="7" t="s">
        <v>280</v>
      </c>
      <c r="N7" s="7" t="s">
        <v>281</v>
      </c>
      <c r="O7" s="7" t="s">
        <v>260</v>
      </c>
      <c r="P7" s="7" t="s">
        <v>282</v>
      </c>
      <c r="Q7" s="10" t="s">
        <v>283</v>
      </c>
      <c r="R7" s="7" t="s">
        <v>284</v>
      </c>
      <c r="S7" s="7" t="s">
        <v>285</v>
      </c>
      <c r="T7" s="7" t="s">
        <v>286</v>
      </c>
      <c r="U7" s="7"/>
      <c r="V7" s="7"/>
      <c r="W7" s="7" t="s">
        <v>287</v>
      </c>
      <c r="X7" s="7"/>
      <c r="Y7" s="11" t="s">
        <v>288</v>
      </c>
      <c r="Z7" s="12" t="s">
        <v>289</v>
      </c>
    </row>
    <row r="8" spans="2:29" s="1" customFormat="1" ht="25.5" x14ac:dyDescent="0.25">
      <c r="B8" s="6">
        <v>5</v>
      </c>
      <c r="C8" s="7" t="s">
        <v>166</v>
      </c>
      <c r="D8" s="7" t="s">
        <v>276</v>
      </c>
      <c r="E8" s="7" t="s">
        <v>290</v>
      </c>
      <c r="F8" s="7" t="s">
        <v>278</v>
      </c>
      <c r="G8" s="8">
        <v>8374</v>
      </c>
      <c r="H8" s="7" t="s">
        <v>31</v>
      </c>
      <c r="I8" s="69">
        <v>153.01</v>
      </c>
      <c r="J8" s="7" t="s">
        <v>291</v>
      </c>
      <c r="K8" s="7">
        <v>0.74</v>
      </c>
      <c r="L8" s="7" t="s">
        <v>292</v>
      </c>
      <c r="M8" s="7" t="s">
        <v>280</v>
      </c>
      <c r="N8" s="7" t="s">
        <v>28</v>
      </c>
      <c r="O8" s="7" t="s">
        <v>260</v>
      </c>
      <c r="P8" s="7" t="s">
        <v>282</v>
      </c>
      <c r="Q8" s="7" t="s">
        <v>283</v>
      </c>
      <c r="R8" s="7" t="s">
        <v>293</v>
      </c>
      <c r="S8" s="7" t="s">
        <v>294</v>
      </c>
      <c r="T8" s="7" t="s">
        <v>286</v>
      </c>
      <c r="U8" s="7"/>
      <c r="V8" s="15" t="s">
        <v>295</v>
      </c>
      <c r="W8" s="7" t="s">
        <v>296</v>
      </c>
      <c r="X8" s="7" t="s">
        <v>297</v>
      </c>
      <c r="Y8" s="11" t="s">
        <v>275</v>
      </c>
      <c r="Z8" s="12" t="s">
        <v>298</v>
      </c>
    </row>
    <row r="9" spans="2:29" s="1" customFormat="1" ht="25.5" x14ac:dyDescent="0.25">
      <c r="B9" s="6">
        <v>4</v>
      </c>
      <c r="C9" s="7" t="s">
        <v>299</v>
      </c>
      <c r="D9" s="7" t="s">
        <v>300</v>
      </c>
      <c r="E9" s="7" t="s">
        <v>301</v>
      </c>
      <c r="F9" s="7" t="s">
        <v>302</v>
      </c>
      <c r="G9" s="8">
        <v>0</v>
      </c>
      <c r="H9" s="7">
        <v>207.5</v>
      </c>
      <c r="I9" s="69">
        <v>214.703</v>
      </c>
      <c r="J9" s="7" t="s">
        <v>31</v>
      </c>
      <c r="K9" s="7">
        <v>0.56000000000000005</v>
      </c>
      <c r="L9" s="7" t="s">
        <v>303</v>
      </c>
      <c r="M9" s="7" t="s">
        <v>304</v>
      </c>
      <c r="N9" s="7" t="s">
        <v>299</v>
      </c>
      <c r="O9" s="7" t="s">
        <v>305</v>
      </c>
      <c r="P9" s="7" t="s">
        <v>306</v>
      </c>
      <c r="Q9" s="7" t="s">
        <v>307</v>
      </c>
      <c r="R9" s="7" t="s">
        <v>308</v>
      </c>
      <c r="S9" s="13" t="s">
        <v>309</v>
      </c>
      <c r="T9" s="7"/>
      <c r="U9" s="7"/>
      <c r="V9" s="7" t="s">
        <v>310</v>
      </c>
      <c r="W9" s="7"/>
      <c r="X9" s="7"/>
      <c r="Y9" s="11"/>
      <c r="Z9" s="12"/>
    </row>
    <row r="10" spans="2:29" s="1" customFormat="1" x14ac:dyDescent="0.25">
      <c r="B10" s="6">
        <v>6</v>
      </c>
      <c r="C10" s="7" t="s">
        <v>299</v>
      </c>
      <c r="D10" s="7" t="s">
        <v>300</v>
      </c>
      <c r="E10" s="7" t="s">
        <v>311</v>
      </c>
      <c r="F10" s="7" t="s">
        <v>302</v>
      </c>
      <c r="G10" s="8">
        <v>0</v>
      </c>
      <c r="H10" s="7">
        <v>30.6</v>
      </c>
      <c r="I10" s="69">
        <v>31.34</v>
      </c>
      <c r="J10" s="7"/>
      <c r="K10" s="7"/>
      <c r="L10" s="7"/>
      <c r="M10" s="7"/>
      <c r="N10" s="7" t="s">
        <v>299</v>
      </c>
      <c r="O10" s="7"/>
      <c r="P10" s="7"/>
      <c r="Q10" s="7"/>
      <c r="R10" s="7" t="s">
        <v>312</v>
      </c>
      <c r="S10" s="7" t="s">
        <v>313</v>
      </c>
      <c r="T10" s="7"/>
      <c r="U10" s="7"/>
      <c r="V10" s="7"/>
      <c r="W10" s="7"/>
      <c r="X10" s="7"/>
      <c r="Y10" s="11"/>
      <c r="Z10" s="12"/>
    </row>
    <row r="11" spans="2:29" s="1" customFormat="1" ht="51" x14ac:dyDescent="0.25">
      <c r="B11" s="70">
        <v>6</v>
      </c>
      <c r="C11" s="71" t="s">
        <v>314</v>
      </c>
      <c r="D11" s="71"/>
      <c r="E11" s="71" t="s">
        <v>315</v>
      </c>
      <c r="F11" s="71" t="s">
        <v>316</v>
      </c>
      <c r="G11" s="72">
        <v>1</v>
      </c>
      <c r="H11" s="71"/>
      <c r="I11" s="73">
        <v>53.6</v>
      </c>
      <c r="J11" s="7"/>
      <c r="K11" s="7"/>
      <c r="L11" s="7"/>
      <c r="M11" s="7"/>
      <c r="N11" s="7"/>
      <c r="O11" s="7"/>
      <c r="P11" s="7"/>
      <c r="Q11" s="7"/>
      <c r="R11" s="7"/>
      <c r="S11" s="7"/>
      <c r="T11" s="7"/>
      <c r="U11" s="7"/>
      <c r="V11" s="7"/>
      <c r="W11" s="7"/>
      <c r="X11" s="7"/>
      <c r="Y11" s="11"/>
      <c r="Z11" s="12"/>
    </row>
    <row r="12" spans="2:29" s="1" customFormat="1" ht="25.5" x14ac:dyDescent="0.25">
      <c r="B12" s="70">
        <v>7</v>
      </c>
      <c r="C12" s="71" t="s">
        <v>317</v>
      </c>
      <c r="D12" s="71"/>
      <c r="E12" s="71" t="s">
        <v>318</v>
      </c>
      <c r="F12" s="71" t="s">
        <v>30</v>
      </c>
      <c r="G12" s="72">
        <v>0</v>
      </c>
      <c r="H12" s="71"/>
      <c r="I12" s="73">
        <v>39.1</v>
      </c>
      <c r="J12" s="7"/>
      <c r="K12" s="7"/>
      <c r="L12" s="7"/>
      <c r="M12" s="7"/>
      <c r="N12" s="7"/>
      <c r="O12" s="7"/>
      <c r="P12" s="7"/>
      <c r="Q12" s="7"/>
      <c r="R12" s="7"/>
      <c r="S12" s="7"/>
      <c r="T12" s="7"/>
      <c r="U12" s="7"/>
      <c r="V12" s="7"/>
      <c r="W12" s="7"/>
      <c r="X12" s="7"/>
      <c r="Y12" s="11"/>
      <c r="Z12" s="12"/>
    </row>
    <row r="13" spans="2:29" s="1" customFormat="1" ht="11.45" customHeight="1" x14ac:dyDescent="0.25">
      <c r="B13" s="27"/>
      <c r="C13" s="28"/>
      <c r="D13" s="28"/>
      <c r="E13" s="28"/>
      <c r="F13" s="28"/>
      <c r="G13" s="28"/>
      <c r="H13" s="30"/>
      <c r="I13" s="30"/>
      <c r="J13" s="29" t="s">
        <v>319</v>
      </c>
      <c r="K13" s="29" t="s">
        <v>319</v>
      </c>
      <c r="L13" s="29" t="s">
        <v>319</v>
      </c>
      <c r="M13" s="29" t="s">
        <v>320</v>
      </c>
      <c r="N13" s="29"/>
      <c r="O13" s="29" t="s">
        <v>320</v>
      </c>
      <c r="P13" s="29" t="s">
        <v>320</v>
      </c>
      <c r="Q13" s="29" t="s">
        <v>320</v>
      </c>
      <c r="R13" s="29" t="s">
        <v>321</v>
      </c>
      <c r="S13" s="29" t="s">
        <v>320</v>
      </c>
      <c r="T13" s="29" t="s">
        <v>320</v>
      </c>
      <c r="U13" s="29"/>
      <c r="V13" s="29" t="s">
        <v>321</v>
      </c>
      <c r="W13" s="29" t="s">
        <v>321</v>
      </c>
      <c r="X13" s="29"/>
      <c r="Y13" s="31" t="s">
        <v>322</v>
      </c>
      <c r="Z13" s="32"/>
    </row>
    <row r="14" spans="2:29" s="1" customFormat="1" ht="10.15" customHeight="1" x14ac:dyDescent="0.25">
      <c r="B14" s="33"/>
      <c r="H14" s="35"/>
      <c r="I14" s="35"/>
      <c r="J14" s="34" t="s">
        <v>323</v>
      </c>
      <c r="K14" s="34" t="s">
        <v>324</v>
      </c>
      <c r="L14" s="34" t="s">
        <v>324</v>
      </c>
      <c r="M14" s="34" t="s">
        <v>323</v>
      </c>
      <c r="N14" s="34"/>
      <c r="O14" s="34" t="s">
        <v>323</v>
      </c>
      <c r="P14" s="34" t="s">
        <v>325</v>
      </c>
      <c r="Q14" s="34" t="s">
        <v>323</v>
      </c>
      <c r="R14" s="34"/>
      <c r="S14" s="34" t="s">
        <v>326</v>
      </c>
      <c r="T14" s="34" t="s">
        <v>327</v>
      </c>
      <c r="U14" s="34"/>
      <c r="V14" s="34" t="s">
        <v>328</v>
      </c>
      <c r="W14" s="34" t="s">
        <v>329</v>
      </c>
      <c r="X14" s="34" t="s">
        <v>330</v>
      </c>
      <c r="Y14" s="36"/>
      <c r="Z14" s="32"/>
      <c r="AB14" s="35"/>
      <c r="AC14" s="35"/>
    </row>
    <row r="15" spans="2:29" s="1" customFormat="1" ht="10.15" customHeight="1" x14ac:dyDescent="0.25">
      <c r="B15" s="33"/>
      <c r="H15" s="35"/>
      <c r="I15" s="35"/>
      <c r="J15" s="34"/>
      <c r="K15" s="34" t="s">
        <v>331</v>
      </c>
      <c r="L15" s="34" t="s">
        <v>332</v>
      </c>
      <c r="M15" s="34" t="s">
        <v>331</v>
      </c>
      <c r="N15" s="34" t="s">
        <v>331</v>
      </c>
      <c r="O15" s="34" t="s">
        <v>331</v>
      </c>
      <c r="P15" s="34" t="s">
        <v>331</v>
      </c>
      <c r="Q15" s="34" t="s">
        <v>333</v>
      </c>
      <c r="R15" s="34" t="s">
        <v>331</v>
      </c>
      <c r="S15" s="34" t="s">
        <v>334</v>
      </c>
      <c r="T15" s="34"/>
      <c r="U15" s="34"/>
      <c r="V15" s="34" t="s">
        <v>333</v>
      </c>
      <c r="W15" s="34"/>
      <c r="X15" s="34"/>
      <c r="Y15" s="36"/>
      <c r="Z15" s="32"/>
      <c r="AA15" s="35"/>
      <c r="AB15" s="35"/>
      <c r="AC15" s="35"/>
    </row>
    <row r="16" spans="2:29" s="1" customFormat="1" ht="10.15" customHeight="1" x14ac:dyDescent="0.25">
      <c r="B16" s="33"/>
      <c r="H16" s="35"/>
      <c r="I16" s="35"/>
      <c r="J16" s="34" t="s">
        <v>335</v>
      </c>
      <c r="K16" s="34" t="s">
        <v>324</v>
      </c>
      <c r="L16" s="34" t="s">
        <v>324</v>
      </c>
      <c r="M16" s="34" t="s">
        <v>323</v>
      </c>
      <c r="N16" s="34"/>
      <c r="O16" s="34" t="s">
        <v>323</v>
      </c>
      <c r="P16" s="34"/>
      <c r="Q16" s="34"/>
      <c r="R16" s="34" t="s">
        <v>336</v>
      </c>
      <c r="S16" s="34"/>
      <c r="T16" s="34" t="s">
        <v>327</v>
      </c>
      <c r="U16" s="34"/>
      <c r="V16" s="34"/>
      <c r="W16" s="34"/>
      <c r="X16" s="34" t="s">
        <v>337</v>
      </c>
      <c r="Y16" s="36" t="s">
        <v>338</v>
      </c>
      <c r="Z16" s="32"/>
      <c r="AA16" s="35"/>
      <c r="AB16" s="35"/>
      <c r="AC16" s="35"/>
    </row>
    <row r="17" spans="2:29" s="1" customFormat="1" ht="10.15" customHeight="1" x14ac:dyDescent="0.25">
      <c r="B17" s="33"/>
      <c r="H17" s="35"/>
      <c r="I17" s="35"/>
      <c r="J17" s="34" t="s">
        <v>319</v>
      </c>
      <c r="K17" s="34" t="s">
        <v>319</v>
      </c>
      <c r="L17" s="34" t="s">
        <v>319</v>
      </c>
      <c r="M17" s="34" t="s">
        <v>320</v>
      </c>
      <c r="N17" s="34"/>
      <c r="O17" s="34" t="s">
        <v>320</v>
      </c>
      <c r="P17" s="34" t="s">
        <v>320</v>
      </c>
      <c r="Q17" s="34" t="s">
        <v>320</v>
      </c>
      <c r="R17" s="34"/>
      <c r="S17" s="34"/>
      <c r="T17" s="34" t="s">
        <v>320</v>
      </c>
      <c r="U17" s="34"/>
      <c r="V17" s="34" t="s">
        <v>339</v>
      </c>
      <c r="W17" s="34" t="s">
        <v>339</v>
      </c>
      <c r="X17" s="34" t="s">
        <v>340</v>
      </c>
      <c r="Y17" s="36"/>
      <c r="Z17" s="32"/>
      <c r="AA17" s="35"/>
      <c r="AB17" s="35"/>
      <c r="AC17" s="35"/>
    </row>
    <row r="18" spans="2:29" s="1" customFormat="1" ht="10.15" customHeight="1" x14ac:dyDescent="0.25">
      <c r="B18" s="33"/>
      <c r="H18" s="35"/>
      <c r="I18" s="35"/>
      <c r="J18" s="34"/>
      <c r="K18" s="34"/>
      <c r="L18" s="34"/>
      <c r="M18" s="34"/>
      <c r="N18" s="34"/>
      <c r="O18" s="34"/>
      <c r="P18" s="34"/>
      <c r="Q18" s="34"/>
      <c r="R18" s="34"/>
      <c r="S18" s="34"/>
      <c r="T18" s="34"/>
      <c r="U18" s="34"/>
      <c r="V18" s="34"/>
      <c r="W18" s="34"/>
      <c r="X18" s="34"/>
      <c r="Y18" s="36"/>
      <c r="Z18" s="32"/>
      <c r="AA18" s="35"/>
      <c r="AB18" s="35"/>
      <c r="AC18" s="35"/>
    </row>
    <row r="19" spans="2:29" s="1" customFormat="1" ht="10.15" customHeight="1" x14ac:dyDescent="0.25">
      <c r="B19" s="33"/>
      <c r="H19" s="35"/>
      <c r="I19" s="35"/>
      <c r="J19" s="34"/>
      <c r="K19" s="34"/>
      <c r="L19" s="34"/>
      <c r="M19" s="34"/>
      <c r="N19" s="34"/>
      <c r="O19" s="34"/>
      <c r="P19" s="34"/>
      <c r="Q19" s="34"/>
      <c r="R19" s="34"/>
      <c r="S19" s="34"/>
      <c r="T19" s="34"/>
      <c r="U19" s="34"/>
      <c r="V19" s="34"/>
      <c r="W19" s="34"/>
      <c r="X19" s="34"/>
      <c r="Y19" s="36"/>
      <c r="Z19" s="32"/>
      <c r="AA19" s="35"/>
      <c r="AB19" s="35"/>
      <c r="AC19" s="35"/>
    </row>
    <row r="20" spans="2:29" s="1" customFormat="1" ht="10.15" customHeight="1" x14ac:dyDescent="0.25">
      <c r="B20" s="33"/>
      <c r="H20" s="35"/>
      <c r="I20" s="35"/>
      <c r="J20" s="34"/>
      <c r="K20" s="34" t="s">
        <v>324</v>
      </c>
      <c r="L20" s="34" t="s">
        <v>324</v>
      </c>
      <c r="M20" s="34"/>
      <c r="N20" s="34"/>
      <c r="O20" s="34"/>
      <c r="P20" s="34"/>
      <c r="Q20" s="34"/>
      <c r="R20" s="34" t="s">
        <v>333</v>
      </c>
      <c r="S20" s="34" t="s">
        <v>333</v>
      </c>
      <c r="T20" s="34"/>
      <c r="U20" s="34"/>
      <c r="V20" s="34"/>
      <c r="W20" s="34"/>
      <c r="X20" s="34"/>
      <c r="Y20" s="36"/>
      <c r="Z20" s="32"/>
      <c r="AA20" s="35"/>
      <c r="AB20" s="35"/>
      <c r="AC20" s="35"/>
    </row>
    <row r="21" spans="2:29" s="1" customFormat="1" ht="10.15" customHeight="1" x14ac:dyDescent="0.25">
      <c r="B21" s="33"/>
      <c r="H21" s="35"/>
      <c r="I21" s="35"/>
      <c r="J21" s="34"/>
      <c r="K21" s="34"/>
      <c r="L21" s="34"/>
      <c r="M21" s="34"/>
      <c r="N21" s="34"/>
      <c r="O21" s="34"/>
      <c r="P21" s="34"/>
      <c r="Q21" s="34"/>
      <c r="R21" s="34"/>
      <c r="S21" s="34"/>
      <c r="T21" s="34"/>
      <c r="U21" s="34"/>
      <c r="V21" s="34"/>
      <c r="W21" s="34"/>
      <c r="X21" s="34"/>
      <c r="Y21" s="36"/>
      <c r="Z21" s="32"/>
      <c r="AA21" s="35"/>
      <c r="AB21" s="35"/>
      <c r="AC21" s="35"/>
    </row>
    <row r="22" spans="2:29" s="1" customFormat="1" ht="10.15" customHeight="1" x14ac:dyDescent="0.25">
      <c r="B22" s="39"/>
      <c r="C22" s="40"/>
      <c r="D22" s="40"/>
      <c r="E22" s="40"/>
      <c r="F22" s="40"/>
      <c r="G22" s="40"/>
      <c r="H22" s="41"/>
      <c r="I22" s="41"/>
      <c r="J22" s="41"/>
      <c r="K22" s="41"/>
      <c r="L22" s="41"/>
      <c r="M22" s="41"/>
      <c r="N22" s="41"/>
      <c r="O22" s="41"/>
      <c r="P22" s="41"/>
      <c r="Q22" s="41"/>
      <c r="R22" s="41"/>
      <c r="S22" s="41"/>
      <c r="T22" s="41"/>
      <c r="U22" s="41"/>
      <c r="V22" s="41"/>
      <c r="W22" s="41"/>
      <c r="X22" s="41"/>
      <c r="Y22" s="42"/>
      <c r="Z22" s="35"/>
      <c r="AA22" s="35"/>
      <c r="AB22" s="35"/>
      <c r="AC22" s="35"/>
    </row>
    <row r="23" spans="2:29" s="1" customFormat="1" ht="17.45" customHeight="1" x14ac:dyDescent="0.25">
      <c r="B23" s="43" t="s">
        <v>244</v>
      </c>
      <c r="C23" s="44"/>
      <c r="D23" s="44"/>
      <c r="E23" s="44"/>
      <c r="F23" s="44"/>
      <c r="G23" s="46"/>
      <c r="H23" s="257" t="s">
        <v>22</v>
      </c>
      <c r="I23" s="258"/>
      <c r="J23" s="258"/>
      <c r="K23" s="258"/>
      <c r="L23" s="259"/>
      <c r="N23" s="48"/>
      <c r="O23" s="48"/>
      <c r="P23" s="49"/>
      <c r="Q23" s="49"/>
      <c r="R23" s="49"/>
      <c r="S23" s="49"/>
      <c r="T23" s="49"/>
      <c r="U23" s="49"/>
      <c r="V23" s="49"/>
      <c r="W23" s="49"/>
      <c r="X23" s="49"/>
      <c r="Y23" s="35"/>
      <c r="Z23" s="35"/>
      <c r="AA23" s="35"/>
      <c r="AB23" s="35"/>
      <c r="AC23" s="35"/>
    </row>
    <row r="24" spans="2:29" s="1" customFormat="1" x14ac:dyDescent="0.25">
      <c r="B24" s="50" t="s">
        <v>245</v>
      </c>
      <c r="C24" s="51">
        <f>+SUM(G5:G10)</f>
        <v>55427</v>
      </c>
      <c r="D24" s="50" t="s">
        <v>246</v>
      </c>
      <c r="E24" s="55"/>
      <c r="F24" s="55"/>
      <c r="G24" s="56">
        <v>6.4063310875864407E-2</v>
      </c>
      <c r="H24" s="50" t="s">
        <v>247</v>
      </c>
      <c r="I24" s="57"/>
      <c r="J24" s="58">
        <f>+SUM(I5:I10)</f>
        <v>1919.4839999999997</v>
      </c>
      <c r="K24" s="50" t="s">
        <v>246</v>
      </c>
      <c r="L24" s="59">
        <v>0.81917906434844945</v>
      </c>
      <c r="N24" s="60"/>
      <c r="O24" s="60"/>
      <c r="P24" s="60"/>
      <c r="Q24" s="60"/>
      <c r="R24" s="61"/>
      <c r="S24" s="60"/>
      <c r="T24" s="60"/>
      <c r="V24" s="61"/>
      <c r="W24" s="61"/>
      <c r="X24" s="61"/>
    </row>
    <row r="25" spans="2:29" s="1" customFormat="1" x14ac:dyDescent="0.25">
      <c r="B25" s="62" t="s">
        <v>245</v>
      </c>
      <c r="C25" s="74">
        <f>+G5+G6+G12</f>
        <v>15856</v>
      </c>
      <c r="D25" s="62" t="s">
        <v>248</v>
      </c>
      <c r="E25" s="64"/>
      <c r="F25" s="64"/>
      <c r="G25" s="65">
        <v>3.3777925478091005E-2</v>
      </c>
      <c r="H25" s="62" t="s">
        <v>249</v>
      </c>
      <c r="I25" s="66"/>
      <c r="J25" s="67">
        <f>+I5+I6+I12</f>
        <v>1099.7199999999998</v>
      </c>
      <c r="K25" s="62" t="s">
        <v>248</v>
      </c>
      <c r="L25" s="68">
        <v>0.9155178155178153</v>
      </c>
      <c r="N25" s="60"/>
      <c r="O25" s="60"/>
      <c r="P25" s="60"/>
      <c r="Q25" s="60"/>
      <c r="R25" s="61"/>
      <c r="V25" s="61"/>
      <c r="W25" s="61"/>
      <c r="X25" s="61"/>
    </row>
    <row r="26" spans="2:29" s="1" customFormat="1" x14ac:dyDescent="0.25">
      <c r="B26" s="1" t="s">
        <v>250</v>
      </c>
    </row>
    <row r="27" spans="2:29" s="1" customFormat="1" x14ac:dyDescent="0.25"/>
  </sheetData>
  <mergeCells count="1">
    <mergeCell ref="H23:L23"/>
  </mergeCells>
  <conditionalFormatting sqref="J5:Z12">
    <cfRule type="containsBlanks" dxfId="45" priority="1">
      <formula>LEN(TRIM(J5))=0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34C3-21DA-4236-BA92-E2A3AE38A22E}">
  <sheetPr>
    <pageSetUpPr autoPageBreaks="0"/>
  </sheetPr>
  <dimension ref="A2:AG31"/>
  <sheetViews>
    <sheetView zoomScale="55" zoomScaleNormal="55" workbookViewId="0">
      <selection activeCell="K29" sqref="K29:K30"/>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11.42578125" style="1"/>
    <col min="6" max="6" width="24.140625" style="1" customWidth="1"/>
    <col min="7" max="7" width="12.28515625" style="1" customWidth="1"/>
    <col min="8" max="8" width="16.5703125" style="1" customWidth="1"/>
    <col min="9" max="9" width="11.42578125" style="1"/>
    <col min="10" max="10" width="15.5703125" style="1" customWidth="1"/>
    <col min="11" max="11" width="28.7109375" style="1" customWidth="1"/>
    <col min="12" max="12" width="43.140625" style="1" customWidth="1"/>
    <col min="13" max="13" width="34" style="1" customWidth="1"/>
    <col min="14" max="14" width="34.85546875" style="1" customWidth="1"/>
    <col min="15" max="15" width="18.5703125" style="1" customWidth="1"/>
    <col min="16" max="16" width="27.5703125" style="1" customWidth="1"/>
    <col min="17" max="17" width="25.85546875" style="1" customWidth="1"/>
    <col min="18" max="18" width="40.28515625" style="1" customWidth="1"/>
    <col min="19" max="19" width="22.28515625" style="1" customWidth="1"/>
    <col min="20" max="20" width="34.85546875" style="1" customWidth="1"/>
    <col min="21" max="21" width="32.28515625" style="1" customWidth="1"/>
    <col min="22" max="22" width="27.85546875" style="1" customWidth="1"/>
    <col min="23" max="23" width="33.140625" style="1" customWidth="1"/>
    <col min="24" max="24" width="28.28515625" style="1" customWidth="1"/>
    <col min="25" max="25" width="89.85546875" style="1" customWidth="1"/>
    <col min="26" max="27" width="11.42578125" style="1"/>
    <col min="28" max="28" width="6.7109375" style="1" customWidth="1"/>
    <col min="29" max="33" width="11.42578125" style="1"/>
  </cols>
  <sheetData>
    <row r="2" spans="2:25" s="1" customFormat="1" x14ac:dyDescent="0.25">
      <c r="B2" s="1" t="s">
        <v>0</v>
      </c>
    </row>
    <row r="3" spans="2:25" s="1" customFormat="1" x14ac:dyDescent="0.25">
      <c r="M3" s="1" t="s">
        <v>1</v>
      </c>
    </row>
    <row r="4" spans="2:25" s="1" customFormat="1" ht="25.15" customHeight="1" x14ac:dyDescent="0.25">
      <c r="B4" s="2" t="s">
        <v>2</v>
      </c>
      <c r="C4" s="3" t="s">
        <v>3</v>
      </c>
      <c r="D4" s="3" t="s">
        <v>4</v>
      </c>
      <c r="E4" s="3" t="s">
        <v>5</v>
      </c>
      <c r="F4" s="3" t="s">
        <v>6</v>
      </c>
      <c r="G4" s="3" t="s">
        <v>7</v>
      </c>
      <c r="H4" s="3" t="s">
        <v>8</v>
      </c>
      <c r="I4" s="3" t="s">
        <v>9</v>
      </c>
      <c r="J4" s="3" t="s">
        <v>10</v>
      </c>
      <c r="K4" s="3" t="s">
        <v>11</v>
      </c>
      <c r="L4" s="3" t="s">
        <v>12</v>
      </c>
      <c r="M4" s="3" t="s">
        <v>13</v>
      </c>
      <c r="N4" s="3" t="s">
        <v>14</v>
      </c>
      <c r="O4" s="3" t="s">
        <v>15</v>
      </c>
      <c r="P4" s="3" t="s">
        <v>16</v>
      </c>
      <c r="Q4" s="3" t="s">
        <v>17</v>
      </c>
      <c r="R4" s="3" t="s">
        <v>18</v>
      </c>
      <c r="S4" s="3" t="s">
        <v>19</v>
      </c>
      <c r="T4" s="3" t="s">
        <v>20</v>
      </c>
      <c r="U4" s="3" t="s">
        <v>21</v>
      </c>
      <c r="V4" s="3" t="s">
        <v>22</v>
      </c>
      <c r="W4" s="3" t="s">
        <v>23</v>
      </c>
      <c r="X4" s="4" t="s">
        <v>24</v>
      </c>
      <c r="Y4" s="5" t="s">
        <v>25</v>
      </c>
    </row>
    <row r="5" spans="2:25" s="1" customFormat="1" ht="25.5" x14ac:dyDescent="0.25">
      <c r="B5" s="6">
        <v>1</v>
      </c>
      <c r="C5" s="7" t="s">
        <v>26</v>
      </c>
      <c r="D5" s="7" t="s">
        <v>27</v>
      </c>
      <c r="E5" s="7" t="s">
        <v>28</v>
      </c>
      <c r="F5" s="7" t="s">
        <v>29</v>
      </c>
      <c r="G5" s="7" t="s">
        <v>30</v>
      </c>
      <c r="H5" s="8">
        <v>119468</v>
      </c>
      <c r="I5" s="7" t="s">
        <v>31</v>
      </c>
      <c r="J5" s="9">
        <v>0</v>
      </c>
      <c r="K5" s="7" t="s">
        <v>32</v>
      </c>
      <c r="L5" s="7" t="s">
        <v>33</v>
      </c>
      <c r="M5" s="7" t="s">
        <v>34</v>
      </c>
      <c r="N5" s="7" t="s">
        <v>35</v>
      </c>
      <c r="O5" s="7" t="s">
        <v>36</v>
      </c>
      <c r="P5" s="10" t="s">
        <v>37</v>
      </c>
      <c r="Q5" s="7" t="s">
        <v>38</v>
      </c>
      <c r="R5" s="7" t="s">
        <v>39</v>
      </c>
      <c r="S5" s="7" t="s">
        <v>40</v>
      </c>
      <c r="T5" s="7" t="s">
        <v>41</v>
      </c>
      <c r="U5" s="7" t="s">
        <v>42</v>
      </c>
      <c r="V5" s="7" t="s">
        <v>43</v>
      </c>
      <c r="W5" s="7" t="s">
        <v>31</v>
      </c>
      <c r="X5" s="11" t="s">
        <v>31</v>
      </c>
      <c r="Y5" s="12" t="s">
        <v>44</v>
      </c>
    </row>
    <row r="6" spans="2:25" s="1" customFormat="1" ht="25.5" x14ac:dyDescent="0.25">
      <c r="B6" s="6">
        <v>2</v>
      </c>
      <c r="C6" s="7" t="s">
        <v>26</v>
      </c>
      <c r="D6" s="7" t="s">
        <v>45</v>
      </c>
      <c r="E6" s="7" t="s">
        <v>28</v>
      </c>
      <c r="F6" s="7" t="s">
        <v>46</v>
      </c>
      <c r="G6" s="7" t="s">
        <v>30</v>
      </c>
      <c r="H6" s="8">
        <f>70863+311+42175+463</f>
        <v>113812</v>
      </c>
      <c r="I6" s="7" t="s">
        <v>31</v>
      </c>
      <c r="J6" s="9">
        <v>0</v>
      </c>
      <c r="K6" s="7">
        <v>13.7</v>
      </c>
      <c r="L6" s="7" t="s">
        <v>47</v>
      </c>
      <c r="M6" s="7" t="s">
        <v>48</v>
      </c>
      <c r="N6" s="7" t="s">
        <v>49</v>
      </c>
      <c r="O6" s="7" t="s">
        <v>50</v>
      </c>
      <c r="P6" s="7" t="s">
        <v>51</v>
      </c>
      <c r="Q6" s="7" t="s">
        <v>52</v>
      </c>
      <c r="R6" s="7" t="s">
        <v>53</v>
      </c>
      <c r="S6" s="7" t="s">
        <v>54</v>
      </c>
      <c r="T6" s="7" t="s">
        <v>55</v>
      </c>
      <c r="U6" s="7" t="s">
        <v>56</v>
      </c>
      <c r="V6" s="7" t="s">
        <v>31</v>
      </c>
      <c r="W6" s="7" t="s">
        <v>57</v>
      </c>
      <c r="X6" s="11" t="s">
        <v>58</v>
      </c>
      <c r="Y6" s="12" t="s">
        <v>59</v>
      </c>
    </row>
    <row r="7" spans="2:25" s="1" customFormat="1" ht="38.25" x14ac:dyDescent="0.25">
      <c r="B7" s="6">
        <v>3</v>
      </c>
      <c r="C7" s="7" t="s">
        <v>26</v>
      </c>
      <c r="D7" s="7" t="s">
        <v>60</v>
      </c>
      <c r="E7" s="7" t="s">
        <v>28</v>
      </c>
      <c r="F7" s="7" t="s">
        <v>61</v>
      </c>
      <c r="G7" s="7" t="s">
        <v>30</v>
      </c>
      <c r="H7" s="8">
        <f>48029+1218+17954+419</f>
        <v>67620</v>
      </c>
      <c r="I7" s="7">
        <v>0</v>
      </c>
      <c r="J7" s="9">
        <v>8</v>
      </c>
      <c r="K7" s="7" t="s">
        <v>62</v>
      </c>
      <c r="L7" s="7" t="s">
        <v>63</v>
      </c>
      <c r="M7" s="7" t="s">
        <v>64</v>
      </c>
      <c r="N7" s="7" t="s">
        <v>65</v>
      </c>
      <c r="O7" s="7" t="s">
        <v>66</v>
      </c>
      <c r="P7" s="7" t="s">
        <v>67</v>
      </c>
      <c r="Q7" s="7" t="s">
        <v>68</v>
      </c>
      <c r="R7" s="13" t="s">
        <v>69</v>
      </c>
      <c r="S7" s="7" t="s">
        <v>70</v>
      </c>
      <c r="T7" s="7" t="s">
        <v>71</v>
      </c>
      <c r="U7" s="7" t="s">
        <v>72</v>
      </c>
      <c r="V7" s="7" t="s">
        <v>73</v>
      </c>
      <c r="W7" s="7" t="s">
        <v>74</v>
      </c>
      <c r="X7" s="11" t="s">
        <v>75</v>
      </c>
      <c r="Y7" s="12" t="s">
        <v>76</v>
      </c>
    </row>
    <row r="8" spans="2:25" s="1" customFormat="1" ht="38.25" x14ac:dyDescent="0.25">
      <c r="B8" s="6">
        <v>4</v>
      </c>
      <c r="C8" s="7" t="s">
        <v>77</v>
      </c>
      <c r="D8" s="7" t="s">
        <v>78</v>
      </c>
      <c r="E8" s="7" t="s">
        <v>79</v>
      </c>
      <c r="F8" s="7" t="s">
        <v>80</v>
      </c>
      <c r="G8" s="7" t="s">
        <v>30</v>
      </c>
      <c r="H8" s="8">
        <f>31772+13429</f>
        <v>45201</v>
      </c>
      <c r="I8" s="7">
        <v>3.6509999999999998</v>
      </c>
      <c r="J8" s="9">
        <v>6.44</v>
      </c>
      <c r="K8" s="7" t="s">
        <v>81</v>
      </c>
      <c r="L8" s="7" t="s">
        <v>82</v>
      </c>
      <c r="M8" s="7" t="s">
        <v>83</v>
      </c>
      <c r="N8" s="7" t="s">
        <v>84</v>
      </c>
      <c r="O8" s="7" t="s">
        <v>85</v>
      </c>
      <c r="P8" s="7" t="s">
        <v>86</v>
      </c>
      <c r="Q8" s="7" t="s">
        <v>87</v>
      </c>
      <c r="R8" s="7" t="s">
        <v>88</v>
      </c>
      <c r="S8" s="7"/>
      <c r="T8" s="7" t="s">
        <v>89</v>
      </c>
      <c r="U8" s="7" t="s">
        <v>90</v>
      </c>
      <c r="V8" s="7" t="s">
        <v>91</v>
      </c>
      <c r="W8" s="7" t="s">
        <v>92</v>
      </c>
      <c r="X8" s="11" t="s">
        <v>31</v>
      </c>
      <c r="Y8" s="12" t="s">
        <v>93</v>
      </c>
    </row>
    <row r="9" spans="2:25" s="1" customFormat="1" ht="25.5" x14ac:dyDescent="0.25">
      <c r="B9" s="6">
        <v>5</v>
      </c>
      <c r="C9" s="7" t="s">
        <v>26</v>
      </c>
      <c r="D9" s="7" t="s">
        <v>27</v>
      </c>
      <c r="E9" s="7" t="s">
        <v>28</v>
      </c>
      <c r="F9" s="7" t="s">
        <v>94</v>
      </c>
      <c r="G9" s="7" t="s">
        <v>95</v>
      </c>
      <c r="H9" s="8">
        <v>43882</v>
      </c>
      <c r="I9" s="7"/>
      <c r="J9" s="9">
        <v>0</v>
      </c>
      <c r="K9" s="7" t="s">
        <v>96</v>
      </c>
      <c r="L9" s="14" t="s">
        <v>97</v>
      </c>
      <c r="M9" s="7" t="s">
        <v>98</v>
      </c>
      <c r="N9" s="7" t="s">
        <v>35</v>
      </c>
      <c r="O9" s="7" t="s">
        <v>99</v>
      </c>
      <c r="P9" s="7" t="s">
        <v>100</v>
      </c>
      <c r="Q9" s="7" t="s">
        <v>101</v>
      </c>
      <c r="R9" s="7" t="s">
        <v>102</v>
      </c>
      <c r="S9" s="7" t="s">
        <v>40</v>
      </c>
      <c r="T9" s="7" t="s">
        <v>103</v>
      </c>
      <c r="U9" s="7" t="s">
        <v>104</v>
      </c>
      <c r="V9" s="7" t="s">
        <v>105</v>
      </c>
      <c r="W9" s="7" t="s">
        <v>31</v>
      </c>
      <c r="X9" s="11" t="s">
        <v>106</v>
      </c>
      <c r="Y9" s="12" t="s">
        <v>107</v>
      </c>
    </row>
    <row r="10" spans="2:25" s="1" customFormat="1" ht="38.25" x14ac:dyDescent="0.25">
      <c r="B10" s="6">
        <v>7</v>
      </c>
      <c r="C10" s="7" t="s">
        <v>108</v>
      </c>
      <c r="D10" s="7" t="s">
        <v>108</v>
      </c>
      <c r="E10" s="7" t="s">
        <v>109</v>
      </c>
      <c r="F10" s="7" t="s">
        <v>110</v>
      </c>
      <c r="G10" s="7" t="s">
        <v>111</v>
      </c>
      <c r="H10" s="8">
        <f>21083+52</f>
        <v>21135</v>
      </c>
      <c r="I10" s="7">
        <v>0</v>
      </c>
      <c r="J10" s="9">
        <v>1.21</v>
      </c>
      <c r="K10" s="7">
        <v>29</v>
      </c>
      <c r="L10" s="7">
        <v>4</v>
      </c>
      <c r="M10" s="7" t="s">
        <v>112</v>
      </c>
      <c r="N10" s="7" t="s">
        <v>113</v>
      </c>
      <c r="O10" s="7">
        <v>24</v>
      </c>
      <c r="P10" s="7" t="s">
        <v>114</v>
      </c>
      <c r="Q10" s="7" t="s">
        <v>115</v>
      </c>
      <c r="R10" s="7" t="s">
        <v>116</v>
      </c>
      <c r="S10" s="7" t="s">
        <v>117</v>
      </c>
      <c r="T10" s="7" t="s">
        <v>118</v>
      </c>
      <c r="U10" s="15" t="s">
        <v>119</v>
      </c>
      <c r="V10" s="7" t="s">
        <v>120</v>
      </c>
      <c r="W10" s="7" t="s">
        <v>121</v>
      </c>
      <c r="X10" s="11" t="s">
        <v>31</v>
      </c>
      <c r="Y10" s="12" t="s">
        <v>122</v>
      </c>
    </row>
    <row r="11" spans="2:25" s="1" customFormat="1" ht="38.25" x14ac:dyDescent="0.25">
      <c r="B11" s="6">
        <v>9</v>
      </c>
      <c r="C11" s="7" t="s">
        <v>123</v>
      </c>
      <c r="D11" s="7" t="s">
        <v>124</v>
      </c>
      <c r="E11" s="7" t="s">
        <v>79</v>
      </c>
      <c r="F11" s="7" t="s">
        <v>125</v>
      </c>
      <c r="G11" s="7" t="s">
        <v>30</v>
      </c>
      <c r="H11" s="8">
        <f>10126+4661</f>
        <v>14787</v>
      </c>
      <c r="I11" s="7">
        <v>1.68</v>
      </c>
      <c r="J11" s="9">
        <v>4.13</v>
      </c>
      <c r="K11" s="7">
        <v>21</v>
      </c>
      <c r="L11" s="7" t="s">
        <v>126</v>
      </c>
      <c r="M11" s="7" t="s">
        <v>127</v>
      </c>
      <c r="N11" s="7" t="s">
        <v>128</v>
      </c>
      <c r="O11" s="7" t="s">
        <v>129</v>
      </c>
      <c r="P11" s="7" t="s">
        <v>130</v>
      </c>
      <c r="Q11" s="7" t="s">
        <v>131</v>
      </c>
      <c r="R11" s="7" t="s">
        <v>132</v>
      </c>
      <c r="S11" s="7" t="s">
        <v>133</v>
      </c>
      <c r="T11" s="7" t="s">
        <v>55</v>
      </c>
      <c r="U11" s="7" t="s">
        <v>134</v>
      </c>
      <c r="V11" s="7"/>
      <c r="W11" s="7" t="s">
        <v>135</v>
      </c>
      <c r="X11" s="11" t="s">
        <v>136</v>
      </c>
      <c r="Y11" s="12" t="s">
        <v>137</v>
      </c>
    </row>
    <row r="12" spans="2:25" s="1" customFormat="1" ht="51" x14ac:dyDescent="0.25">
      <c r="B12" s="6">
        <v>10</v>
      </c>
      <c r="C12" s="7" t="s">
        <v>138</v>
      </c>
      <c r="D12" s="7" t="s">
        <v>139</v>
      </c>
      <c r="E12" s="7" t="s">
        <v>79</v>
      </c>
      <c r="F12" s="14" t="s">
        <v>140</v>
      </c>
      <c r="G12" s="7" t="s">
        <v>30</v>
      </c>
      <c r="H12" s="8">
        <f>10799+2063</f>
        <v>12862</v>
      </c>
      <c r="I12" s="7">
        <v>0</v>
      </c>
      <c r="J12" s="9">
        <v>1.48</v>
      </c>
      <c r="K12" s="7">
        <v>21</v>
      </c>
      <c r="L12" s="7">
        <v>39</v>
      </c>
      <c r="M12" s="7" t="s">
        <v>141</v>
      </c>
      <c r="N12" s="7" t="s">
        <v>142</v>
      </c>
      <c r="O12" s="7">
        <v>0.2</v>
      </c>
      <c r="P12" s="7" t="s">
        <v>143</v>
      </c>
      <c r="Q12" s="7" t="s">
        <v>144</v>
      </c>
      <c r="R12" s="16" t="s">
        <v>145</v>
      </c>
      <c r="S12" s="7" t="s">
        <v>146</v>
      </c>
      <c r="T12" s="7" t="s">
        <v>147</v>
      </c>
      <c r="U12" s="7" t="s">
        <v>148</v>
      </c>
      <c r="V12" s="7"/>
      <c r="W12" s="7" t="s">
        <v>149</v>
      </c>
      <c r="X12" s="11" t="s">
        <v>136</v>
      </c>
      <c r="Y12" s="12" t="s">
        <v>150</v>
      </c>
    </row>
    <row r="13" spans="2:25" s="1" customFormat="1" ht="38.25" x14ac:dyDescent="0.25">
      <c r="B13" s="17">
        <v>11</v>
      </c>
      <c r="C13" s="18" t="s">
        <v>151</v>
      </c>
      <c r="D13" s="18" t="s">
        <v>152</v>
      </c>
      <c r="E13" s="18" t="s">
        <v>79</v>
      </c>
      <c r="F13" s="18" t="s">
        <v>153</v>
      </c>
      <c r="G13" s="18" t="s">
        <v>154</v>
      </c>
      <c r="H13" s="19">
        <v>11114</v>
      </c>
      <c r="I13" s="18">
        <v>0</v>
      </c>
      <c r="J13" s="20">
        <v>0.9</v>
      </c>
      <c r="K13" s="18">
        <v>13</v>
      </c>
      <c r="L13" s="18" t="s">
        <v>155</v>
      </c>
      <c r="M13" s="18" t="s">
        <v>156</v>
      </c>
      <c r="N13" s="18" t="s">
        <v>157</v>
      </c>
      <c r="O13" s="18" t="s">
        <v>158</v>
      </c>
      <c r="P13" s="18" t="s">
        <v>159</v>
      </c>
      <c r="Q13" s="18" t="s">
        <v>160</v>
      </c>
      <c r="R13" s="18" t="s">
        <v>161</v>
      </c>
      <c r="S13" s="18" t="s">
        <v>162</v>
      </c>
      <c r="T13" s="18" t="s">
        <v>163</v>
      </c>
      <c r="U13" s="18" t="s">
        <v>31</v>
      </c>
      <c r="V13" s="18" t="s">
        <v>31</v>
      </c>
      <c r="W13" s="18" t="s">
        <v>31</v>
      </c>
      <c r="X13" s="21" t="s">
        <v>164</v>
      </c>
      <c r="Y13" s="22" t="s">
        <v>165</v>
      </c>
    </row>
    <row r="14" spans="2:25" s="1" customFormat="1" ht="25.5" x14ac:dyDescent="0.25">
      <c r="B14" s="23">
        <v>6</v>
      </c>
      <c r="C14" s="24" t="s">
        <v>166</v>
      </c>
      <c r="D14" s="24"/>
      <c r="E14" s="24" t="s">
        <v>28</v>
      </c>
      <c r="F14" s="24" t="s">
        <v>167</v>
      </c>
      <c r="G14" s="24" t="s">
        <v>168</v>
      </c>
      <c r="H14" s="25">
        <f>20741+20082</f>
        <v>40823</v>
      </c>
      <c r="I14" s="24">
        <v>0</v>
      </c>
      <c r="J14" s="24">
        <v>0</v>
      </c>
      <c r="K14" s="24" t="s">
        <v>169</v>
      </c>
      <c r="L14" s="24"/>
      <c r="M14" s="24" t="s">
        <v>170</v>
      </c>
      <c r="N14" s="24"/>
      <c r="O14" s="24"/>
      <c r="P14" s="24"/>
      <c r="Q14" s="24"/>
      <c r="R14" s="24"/>
      <c r="S14" s="24"/>
      <c r="T14" s="24"/>
      <c r="U14" s="24"/>
      <c r="V14" s="24"/>
      <c r="W14" s="24"/>
      <c r="X14" s="26"/>
      <c r="Y14" s="12" t="s">
        <v>31</v>
      </c>
    </row>
    <row r="15" spans="2:25" s="1" customFormat="1" x14ac:dyDescent="0.25">
      <c r="B15" s="23">
        <v>8</v>
      </c>
      <c r="C15" s="24" t="s">
        <v>171</v>
      </c>
      <c r="D15" s="24"/>
      <c r="E15" s="24" t="s">
        <v>79</v>
      </c>
      <c r="F15" s="24" t="s">
        <v>172</v>
      </c>
      <c r="G15" s="24" t="s">
        <v>173</v>
      </c>
      <c r="H15" s="25">
        <f>18735+4</f>
        <v>18739</v>
      </c>
      <c r="I15" s="24">
        <v>0</v>
      </c>
      <c r="J15" s="24">
        <v>4.4800000000000004</v>
      </c>
      <c r="K15" s="24">
        <v>16.600000000000001</v>
      </c>
      <c r="L15" s="24" t="s">
        <v>174</v>
      </c>
      <c r="M15" s="24" t="s">
        <v>175</v>
      </c>
      <c r="N15" s="24" t="s">
        <v>176</v>
      </c>
      <c r="O15" s="24" t="s">
        <v>177</v>
      </c>
      <c r="P15" s="24" t="s">
        <v>178</v>
      </c>
      <c r="Q15" s="24"/>
      <c r="R15" s="24"/>
      <c r="S15" s="24"/>
      <c r="T15" s="24" t="s">
        <v>55</v>
      </c>
      <c r="U15" s="24"/>
      <c r="V15" s="24"/>
      <c r="W15" s="24" t="s">
        <v>179</v>
      </c>
      <c r="X15" s="26" t="s">
        <v>31</v>
      </c>
      <c r="Y15" s="12" t="s">
        <v>180</v>
      </c>
    </row>
    <row r="16" spans="2:25" s="1" customFormat="1" ht="11.45" customHeight="1" x14ac:dyDescent="0.25">
      <c r="B16" s="27" t="s">
        <v>181</v>
      </c>
      <c r="C16" s="28"/>
      <c r="D16" s="28"/>
      <c r="E16" s="29"/>
      <c r="F16" s="28"/>
      <c r="G16" s="28"/>
      <c r="H16" s="28"/>
      <c r="I16" s="30"/>
      <c r="J16" s="30"/>
      <c r="K16" s="29" t="s">
        <v>182</v>
      </c>
      <c r="L16" s="29" t="s">
        <v>182</v>
      </c>
      <c r="M16" s="29" t="s">
        <v>183</v>
      </c>
      <c r="N16" s="29" t="s">
        <v>182</v>
      </c>
      <c r="O16" s="29" t="s">
        <v>184</v>
      </c>
      <c r="P16" s="29" t="s">
        <v>184</v>
      </c>
      <c r="Q16" s="29" t="s">
        <v>182</v>
      </c>
      <c r="R16" s="29" t="s">
        <v>182</v>
      </c>
      <c r="S16" s="29" t="s">
        <v>182</v>
      </c>
      <c r="T16" s="29" t="s">
        <v>185</v>
      </c>
      <c r="U16" s="29" t="s">
        <v>184</v>
      </c>
      <c r="V16" s="29" t="s">
        <v>186</v>
      </c>
      <c r="W16" s="29"/>
      <c r="X16" s="31"/>
      <c r="Y16" s="32"/>
    </row>
    <row r="17" spans="2:28" s="1" customFormat="1" ht="10.15" customHeight="1" x14ac:dyDescent="0.25">
      <c r="B17" s="33" t="s">
        <v>187</v>
      </c>
      <c r="E17" s="34"/>
      <c r="I17" s="35"/>
      <c r="J17" s="35"/>
      <c r="K17" s="34" t="s">
        <v>188</v>
      </c>
      <c r="L17" s="34" t="s">
        <v>189</v>
      </c>
      <c r="M17" s="34" t="s">
        <v>188</v>
      </c>
      <c r="N17" s="34" t="s">
        <v>188</v>
      </c>
      <c r="O17" s="34" t="s">
        <v>188</v>
      </c>
      <c r="P17" s="34" t="s">
        <v>190</v>
      </c>
      <c r="Q17" s="34" t="s">
        <v>188</v>
      </c>
      <c r="R17" s="34" t="s">
        <v>188</v>
      </c>
      <c r="S17" s="34" t="s">
        <v>188</v>
      </c>
      <c r="T17" s="34" t="s">
        <v>191</v>
      </c>
      <c r="U17" s="34" t="s">
        <v>188</v>
      </c>
      <c r="V17" s="34"/>
      <c r="W17" s="34" t="s">
        <v>192</v>
      </c>
      <c r="X17" s="36" t="s">
        <v>31</v>
      </c>
      <c r="Y17" s="32"/>
      <c r="AA17" s="35"/>
      <c r="AB17" s="35"/>
    </row>
    <row r="18" spans="2:28" s="1" customFormat="1" ht="10.15" customHeight="1" x14ac:dyDescent="0.25">
      <c r="B18" s="33" t="s">
        <v>193</v>
      </c>
      <c r="E18" s="34"/>
      <c r="I18" s="35"/>
      <c r="J18" s="35"/>
      <c r="K18" s="34" t="s">
        <v>194</v>
      </c>
      <c r="L18" s="34" t="s">
        <v>195</v>
      </c>
      <c r="M18" s="34" t="s">
        <v>194</v>
      </c>
      <c r="N18" s="34" t="s">
        <v>194</v>
      </c>
      <c r="O18" s="34" t="s">
        <v>196</v>
      </c>
      <c r="P18" s="34" t="s">
        <v>196</v>
      </c>
      <c r="Q18" s="34" t="s">
        <v>197</v>
      </c>
      <c r="R18" s="34" t="s">
        <v>197</v>
      </c>
      <c r="S18" s="34" t="s">
        <v>198</v>
      </c>
      <c r="T18" s="34" t="s">
        <v>199</v>
      </c>
      <c r="U18" s="34" t="s">
        <v>197</v>
      </c>
      <c r="V18" s="34" t="s">
        <v>197</v>
      </c>
      <c r="W18" s="34" t="s">
        <v>200</v>
      </c>
      <c r="X18" s="36" t="s">
        <v>201</v>
      </c>
      <c r="Y18" s="32"/>
      <c r="Z18" s="35"/>
      <c r="AA18" s="35"/>
      <c r="AB18" s="35"/>
    </row>
    <row r="19" spans="2:28" s="1" customFormat="1" ht="10.15" customHeight="1" x14ac:dyDescent="0.25">
      <c r="B19" s="33" t="s">
        <v>202</v>
      </c>
      <c r="E19" s="34"/>
      <c r="I19" s="35"/>
      <c r="J19" s="35"/>
      <c r="K19" s="34" t="s">
        <v>203</v>
      </c>
      <c r="L19" s="34" t="s">
        <v>203</v>
      </c>
      <c r="M19" s="34" t="s">
        <v>204</v>
      </c>
      <c r="N19" s="34" t="s">
        <v>203</v>
      </c>
      <c r="O19" s="34" t="s">
        <v>203</v>
      </c>
      <c r="P19" s="34" t="s">
        <v>203</v>
      </c>
      <c r="Q19" s="34" t="s">
        <v>205</v>
      </c>
      <c r="R19" s="34" t="s">
        <v>206</v>
      </c>
      <c r="S19" s="34"/>
      <c r="T19" s="34" t="s">
        <v>204</v>
      </c>
      <c r="U19" s="34" t="s">
        <v>207</v>
      </c>
      <c r="V19" s="34" t="s">
        <v>203</v>
      </c>
      <c r="W19" s="34" t="s">
        <v>208</v>
      </c>
      <c r="X19" s="36"/>
      <c r="Y19" s="32"/>
      <c r="Z19" s="35"/>
      <c r="AA19" s="35"/>
      <c r="AB19" s="35"/>
    </row>
    <row r="20" spans="2:28" s="1" customFormat="1" ht="10.15" customHeight="1" x14ac:dyDescent="0.25">
      <c r="B20" s="33" t="s">
        <v>209</v>
      </c>
      <c r="E20" s="34"/>
      <c r="I20" s="35"/>
      <c r="J20" s="35"/>
      <c r="K20" s="34" t="s">
        <v>210</v>
      </c>
      <c r="L20" s="34" t="s">
        <v>211</v>
      </c>
      <c r="M20" s="34" t="s">
        <v>211</v>
      </c>
      <c r="N20" s="34" t="s">
        <v>210</v>
      </c>
      <c r="O20" s="34" t="s">
        <v>210</v>
      </c>
      <c r="P20" s="34" t="s">
        <v>210</v>
      </c>
      <c r="Q20" s="34" t="s">
        <v>210</v>
      </c>
      <c r="R20" s="34" t="s">
        <v>212</v>
      </c>
      <c r="S20" s="34" t="s">
        <v>211</v>
      </c>
      <c r="T20" s="34" t="s">
        <v>213</v>
      </c>
      <c r="U20" s="34" t="s">
        <v>214</v>
      </c>
      <c r="V20" s="34" t="s">
        <v>215</v>
      </c>
      <c r="W20" s="34" t="s">
        <v>31</v>
      </c>
      <c r="X20" s="36" t="s">
        <v>215</v>
      </c>
      <c r="Y20" s="32"/>
      <c r="Z20" s="35"/>
      <c r="AA20" s="35"/>
      <c r="AB20" s="35"/>
    </row>
    <row r="21" spans="2:28" s="1" customFormat="1" ht="10.15" customHeight="1" x14ac:dyDescent="0.25">
      <c r="B21" s="33" t="s">
        <v>216</v>
      </c>
      <c r="E21" s="34" t="s">
        <v>217</v>
      </c>
      <c r="I21" s="35"/>
      <c r="J21" s="35"/>
      <c r="K21" s="34" t="s">
        <v>217</v>
      </c>
      <c r="L21" s="34" t="s">
        <v>217</v>
      </c>
      <c r="M21" s="34" t="s">
        <v>217</v>
      </c>
      <c r="N21" s="34" t="s">
        <v>218</v>
      </c>
      <c r="O21" s="34" t="s">
        <v>217</v>
      </c>
      <c r="P21" s="34" t="s">
        <v>217</v>
      </c>
      <c r="Q21" s="34" t="s">
        <v>217</v>
      </c>
      <c r="R21" s="34" t="s">
        <v>217</v>
      </c>
      <c r="S21" s="34" t="s">
        <v>217</v>
      </c>
      <c r="T21" s="34" t="s">
        <v>218</v>
      </c>
      <c r="U21" s="34" t="s">
        <v>219</v>
      </c>
      <c r="V21" s="34" t="s">
        <v>217</v>
      </c>
      <c r="W21" s="34" t="s">
        <v>220</v>
      </c>
      <c r="X21" s="36"/>
      <c r="Y21" s="32"/>
      <c r="Z21" s="35"/>
      <c r="AA21" s="35"/>
      <c r="AB21" s="35"/>
    </row>
    <row r="22" spans="2:28" s="1" customFormat="1" ht="10.15" customHeight="1" x14ac:dyDescent="0.25">
      <c r="B22" s="33" t="s">
        <v>221</v>
      </c>
      <c r="E22" s="34"/>
      <c r="I22" s="35"/>
      <c r="J22" s="35"/>
      <c r="K22" s="34">
        <v>7</v>
      </c>
      <c r="L22" s="34"/>
      <c r="M22" s="34" t="s">
        <v>222</v>
      </c>
      <c r="N22" s="34"/>
      <c r="O22" s="34"/>
      <c r="P22" s="34"/>
      <c r="Q22" s="34"/>
      <c r="R22" s="34"/>
      <c r="S22" s="34"/>
      <c r="T22" s="34"/>
      <c r="U22" s="34"/>
      <c r="V22" s="34"/>
      <c r="W22" s="34"/>
      <c r="X22" s="36"/>
      <c r="Y22" s="32"/>
      <c r="Z22" s="35"/>
      <c r="AA22" s="35"/>
      <c r="AB22" s="35"/>
    </row>
    <row r="23" spans="2:28" s="1" customFormat="1" ht="10.15" customHeight="1" x14ac:dyDescent="0.25">
      <c r="B23" s="33"/>
      <c r="E23" s="34"/>
      <c r="I23" s="35"/>
      <c r="J23" s="35"/>
      <c r="K23" s="34" t="s">
        <v>223</v>
      </c>
      <c r="L23" s="34" t="s">
        <v>224</v>
      </c>
      <c r="M23" s="34" t="s">
        <v>225</v>
      </c>
      <c r="N23" s="34" t="s">
        <v>226</v>
      </c>
      <c r="O23" s="34" t="s">
        <v>226</v>
      </c>
      <c r="P23" s="34" t="s">
        <v>226</v>
      </c>
      <c r="Q23" s="34"/>
      <c r="R23" s="34"/>
      <c r="S23" s="34"/>
      <c r="T23" s="34" t="s">
        <v>225</v>
      </c>
      <c r="U23" s="34"/>
      <c r="V23" s="34" t="s">
        <v>225</v>
      </c>
      <c r="W23" s="34" t="s">
        <v>224</v>
      </c>
      <c r="X23" s="36"/>
      <c r="Y23" s="32"/>
      <c r="Z23" s="35"/>
      <c r="AA23" s="35"/>
      <c r="AB23" s="35"/>
    </row>
    <row r="24" spans="2:28" s="1" customFormat="1" ht="10.15" customHeight="1" x14ac:dyDescent="0.25">
      <c r="B24" s="33" t="s">
        <v>227</v>
      </c>
      <c r="E24" s="34"/>
      <c r="I24" s="35"/>
      <c r="J24" s="35"/>
      <c r="K24" s="34" t="s">
        <v>228</v>
      </c>
      <c r="L24" s="34" t="s">
        <v>228</v>
      </c>
      <c r="M24" s="34" t="s">
        <v>229</v>
      </c>
      <c r="N24" s="34" t="s">
        <v>229</v>
      </c>
      <c r="O24" s="34" t="s">
        <v>228</v>
      </c>
      <c r="P24" s="34" t="s">
        <v>228</v>
      </c>
      <c r="Q24" s="34" t="s">
        <v>230</v>
      </c>
      <c r="R24" s="34" t="s">
        <v>231</v>
      </c>
      <c r="S24" s="34" t="s">
        <v>232</v>
      </c>
      <c r="T24" s="34" t="s">
        <v>231</v>
      </c>
      <c r="U24" s="34"/>
      <c r="V24" s="34"/>
      <c r="W24" s="34" t="s">
        <v>232</v>
      </c>
      <c r="X24" s="36" t="s">
        <v>233</v>
      </c>
      <c r="Y24" s="32"/>
      <c r="Z24" s="35"/>
      <c r="AA24" s="35"/>
      <c r="AB24" s="35"/>
    </row>
    <row r="25" spans="2:28" s="1" customFormat="1" ht="10.15" customHeight="1" x14ac:dyDescent="0.25">
      <c r="B25" s="33"/>
      <c r="E25" s="34"/>
      <c r="I25" s="35"/>
      <c r="J25" s="35"/>
      <c r="K25" s="34" t="s">
        <v>234</v>
      </c>
      <c r="L25" s="34" t="s">
        <v>234</v>
      </c>
      <c r="M25" s="37" t="s">
        <v>234</v>
      </c>
      <c r="N25" s="34" t="s">
        <v>235</v>
      </c>
      <c r="O25" s="34" t="s">
        <v>236</v>
      </c>
      <c r="P25" s="34" t="s">
        <v>234</v>
      </c>
      <c r="Q25" s="34" t="s">
        <v>237</v>
      </c>
      <c r="R25" s="34" t="s">
        <v>238</v>
      </c>
      <c r="S25" s="34" t="s">
        <v>235</v>
      </c>
      <c r="T25" s="34" t="s">
        <v>238</v>
      </c>
      <c r="U25" s="34" t="s">
        <v>239</v>
      </c>
      <c r="V25" s="34"/>
      <c r="W25" s="34" t="s">
        <v>240</v>
      </c>
      <c r="X25" s="36" t="s">
        <v>234</v>
      </c>
      <c r="Y25" s="32"/>
      <c r="Z25" s="35"/>
      <c r="AA25" s="35"/>
      <c r="AB25" s="35"/>
    </row>
    <row r="26" spans="2:28" s="1" customFormat="1" ht="10.15" customHeight="1" x14ac:dyDescent="0.25">
      <c r="B26" s="33"/>
      <c r="E26" s="37"/>
      <c r="I26" s="35"/>
      <c r="J26" s="35"/>
      <c r="K26" s="37" t="s">
        <v>241</v>
      </c>
      <c r="L26" s="37" t="s">
        <v>241</v>
      </c>
      <c r="M26" s="37" t="s">
        <v>241</v>
      </c>
      <c r="N26" s="37"/>
      <c r="O26" s="37" t="s">
        <v>241</v>
      </c>
      <c r="P26" s="37" t="s">
        <v>241</v>
      </c>
      <c r="Q26" s="37" t="s">
        <v>241</v>
      </c>
      <c r="R26" s="37" t="s">
        <v>241</v>
      </c>
      <c r="S26" s="37" t="s">
        <v>242</v>
      </c>
      <c r="T26" s="37" t="s">
        <v>243</v>
      </c>
      <c r="U26" s="37"/>
      <c r="V26" s="37"/>
      <c r="W26" s="37"/>
      <c r="X26" s="38" t="s">
        <v>241</v>
      </c>
      <c r="Y26" s="35"/>
      <c r="Z26" s="35"/>
      <c r="AA26" s="35"/>
      <c r="AB26" s="35"/>
    </row>
    <row r="27" spans="2:28" s="1" customFormat="1" ht="10.15" customHeight="1" x14ac:dyDescent="0.25">
      <c r="B27" s="39"/>
      <c r="C27" s="40"/>
      <c r="D27" s="40"/>
      <c r="E27" s="41"/>
      <c r="F27" s="40"/>
      <c r="G27" s="40"/>
      <c r="H27" s="40"/>
      <c r="I27" s="41"/>
      <c r="J27" s="41"/>
      <c r="K27" s="41"/>
      <c r="L27" s="41"/>
      <c r="M27" s="41"/>
      <c r="N27" s="41"/>
      <c r="O27" s="41"/>
      <c r="P27" s="41"/>
      <c r="Q27" s="41"/>
      <c r="R27" s="41"/>
      <c r="S27" s="41"/>
      <c r="T27" s="41"/>
      <c r="U27" s="41"/>
      <c r="V27" s="41"/>
      <c r="W27" s="41"/>
      <c r="X27" s="42"/>
      <c r="Y27" s="35"/>
      <c r="Z27" s="35"/>
      <c r="AA27" s="35"/>
      <c r="AB27" s="35"/>
    </row>
    <row r="28" spans="2:28" s="1" customFormat="1" ht="17.45" customHeight="1" x14ac:dyDescent="0.25">
      <c r="B28" s="43" t="s">
        <v>244</v>
      </c>
      <c r="C28" s="44"/>
      <c r="D28" s="260"/>
      <c r="E28" s="260"/>
      <c r="F28" s="45"/>
      <c r="G28" s="44"/>
      <c r="H28" s="46"/>
      <c r="I28" s="47"/>
      <c r="J28" s="258" t="s">
        <v>22</v>
      </c>
      <c r="K28" s="258"/>
      <c r="L28" s="258"/>
      <c r="M28" s="259"/>
      <c r="N28" s="48"/>
      <c r="O28" s="49"/>
      <c r="P28" s="49"/>
      <c r="Q28" s="49"/>
      <c r="R28" s="49"/>
      <c r="S28" s="49"/>
      <c r="T28" s="49"/>
      <c r="U28" s="49"/>
      <c r="V28" s="49"/>
      <c r="W28" s="49"/>
      <c r="X28" s="35"/>
      <c r="Y28" s="35"/>
      <c r="Z28" s="35"/>
      <c r="AA28" s="35"/>
      <c r="AB28" s="35"/>
    </row>
    <row r="29" spans="2:28" s="1" customFormat="1" x14ac:dyDescent="0.25">
      <c r="B29" s="50" t="s">
        <v>245</v>
      </c>
      <c r="C29" s="51">
        <f>+SUM(H5:H10)+H11+H12+H13</f>
        <v>449881</v>
      </c>
      <c r="D29" s="52" t="s">
        <v>246</v>
      </c>
      <c r="E29" s="53"/>
      <c r="F29" s="54"/>
      <c r="G29" s="55"/>
      <c r="H29" s="56">
        <v>0.51997882548477736</v>
      </c>
      <c r="I29" s="50" t="s">
        <v>247</v>
      </c>
      <c r="J29" s="57"/>
      <c r="K29" s="58">
        <v>22.16</v>
      </c>
      <c r="L29" s="50" t="s">
        <v>246</v>
      </c>
      <c r="M29" s="59">
        <v>9.4572333324797926E-3</v>
      </c>
      <c r="N29" s="60"/>
      <c r="O29" s="60"/>
      <c r="P29" s="60"/>
      <c r="Q29" s="61"/>
      <c r="R29" s="60"/>
      <c r="S29" s="60"/>
      <c r="U29" s="61"/>
      <c r="V29" s="61"/>
      <c r="W29" s="61"/>
    </row>
    <row r="30" spans="2:28" s="1" customFormat="1" x14ac:dyDescent="0.25">
      <c r="B30" s="62" t="s">
        <v>245</v>
      </c>
      <c r="C30" s="63">
        <f>+H5+H6+H7+H8+H11+H12</f>
        <v>373750</v>
      </c>
      <c r="D30" s="261" t="s">
        <v>248</v>
      </c>
      <c r="E30" s="262"/>
      <c r="F30" s="262"/>
      <c r="G30" s="64"/>
      <c r="H30" s="65">
        <v>0.79619700097354384</v>
      </c>
      <c r="I30" s="62" t="s">
        <v>249</v>
      </c>
      <c r="J30" s="66"/>
      <c r="K30" s="67">
        <v>9.48</v>
      </c>
      <c r="L30" s="62" t="s">
        <v>248</v>
      </c>
      <c r="M30" s="68">
        <v>7.8921078921078917E-3</v>
      </c>
      <c r="N30" s="60"/>
      <c r="O30" s="60"/>
      <c r="P30" s="60"/>
      <c r="Q30" s="61"/>
      <c r="U30" s="61"/>
      <c r="V30" s="61"/>
      <c r="W30" s="61"/>
    </row>
    <row r="31" spans="2:28" x14ac:dyDescent="0.25">
      <c r="B31" s="1" t="s">
        <v>250</v>
      </c>
    </row>
  </sheetData>
  <mergeCells count="3">
    <mergeCell ref="D28:E28"/>
    <mergeCell ref="J28:M28"/>
    <mergeCell ref="D30:F30"/>
  </mergeCells>
  <conditionalFormatting sqref="K5:Y15 E5:E15">
    <cfRule type="containsBlanks" dxfId="44" priority="1">
      <formula>LEN(TRIM(E5))=0</formula>
    </cfRule>
  </conditionalFormatting>
  <hyperlinks>
    <hyperlink ref="R12" r:id="rId1" display="FR@ Primary= 13% (CASA 7)" xr:uid="{CB0B97B2-A9D8-438B-A37E-7926A239D6C3}"/>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4CFF-27EF-43F9-B3E0-BD13E3172136}">
  <dimension ref="B1:X219"/>
  <sheetViews>
    <sheetView topLeftCell="F1" zoomScaleNormal="100" workbookViewId="0">
      <selection activeCell="M19" sqref="M19"/>
    </sheetView>
  </sheetViews>
  <sheetFormatPr baseColWidth="10" defaultColWidth="11.42578125" defaultRowHeight="15" x14ac:dyDescent="0.25"/>
  <cols>
    <col min="3" max="3" width="23.85546875" customWidth="1"/>
    <col min="4" max="4" width="17" customWidth="1"/>
    <col min="5" max="5" width="24.5703125" customWidth="1"/>
    <col min="6" max="6" width="27.28515625" customWidth="1"/>
    <col min="7" max="7" width="30.5703125" customWidth="1"/>
    <col min="8" max="8" width="10.28515625" customWidth="1"/>
    <col min="9" max="9" width="14.5703125" customWidth="1"/>
    <col min="10" max="10" width="10.7109375" customWidth="1"/>
    <col min="11" max="11" width="22.85546875" customWidth="1"/>
    <col min="12" max="12" width="23.42578125" customWidth="1"/>
    <col min="13" max="13" width="18.5703125" customWidth="1"/>
    <col min="14" max="14" width="18.7109375" customWidth="1"/>
    <col min="15" max="15" width="17.28515625" customWidth="1"/>
    <col min="16" max="16" width="22.140625" customWidth="1"/>
    <col min="17" max="17" width="25.7109375" customWidth="1"/>
    <col min="18" max="18" width="21.140625" customWidth="1"/>
    <col min="19" max="19" width="28.7109375" customWidth="1"/>
    <col min="20" max="20" width="23.42578125" customWidth="1"/>
    <col min="23" max="23" width="15.5703125" customWidth="1"/>
    <col min="24" max="24" width="14.7109375" customWidth="1"/>
    <col min="25" max="25" width="40" customWidth="1"/>
    <col min="26" max="26" width="47.85546875" customWidth="1"/>
  </cols>
  <sheetData>
    <row r="1" spans="2:24" s="1" customFormat="1" x14ac:dyDescent="0.25">
      <c r="E1" s="82" t="s">
        <v>366</v>
      </c>
      <c r="F1" s="83" t="s">
        <v>367</v>
      </c>
      <c r="G1" s="83" t="s">
        <v>368</v>
      </c>
      <c r="H1" s="83"/>
      <c r="I1" s="83"/>
      <c r="J1" s="83"/>
      <c r="P1" s="84"/>
      <c r="Q1" s="85"/>
      <c r="R1" s="84"/>
      <c r="S1" s="85"/>
    </row>
    <row r="2" spans="2:24" s="1" customFormat="1" x14ac:dyDescent="0.25">
      <c r="T2" s="86"/>
      <c r="V2" s="86"/>
      <c r="W2" s="86"/>
      <c r="X2" s="86"/>
    </row>
    <row r="3" spans="2:24" s="1" customFormat="1" ht="45" x14ac:dyDescent="0.25">
      <c r="H3" s="87" t="s">
        <v>244</v>
      </c>
      <c r="I3" s="87" t="s">
        <v>369</v>
      </c>
      <c r="J3" s="87" t="s">
        <v>22</v>
      </c>
      <c r="K3" s="75" t="s">
        <v>370</v>
      </c>
      <c r="L3" s="75" t="s">
        <v>371</v>
      </c>
      <c r="M3" s="5" t="s">
        <v>372</v>
      </c>
      <c r="N3" s="5" t="s">
        <v>11</v>
      </c>
      <c r="O3" s="5" t="s">
        <v>348</v>
      </c>
      <c r="P3" s="5" t="s">
        <v>349</v>
      </c>
      <c r="Q3" s="77" t="s">
        <v>350</v>
      </c>
      <c r="R3" s="77" t="s">
        <v>351</v>
      </c>
      <c r="S3" s="5" t="s">
        <v>373</v>
      </c>
      <c r="T3" s="5" t="s">
        <v>374</v>
      </c>
      <c r="U3" s="263"/>
      <c r="V3" s="263"/>
      <c r="W3" s="263"/>
      <c r="X3" s="86"/>
    </row>
    <row r="4" spans="2:24" s="1" customFormat="1" x14ac:dyDescent="0.25">
      <c r="C4" s="75" t="s">
        <v>341</v>
      </c>
      <c r="D4" s="75" t="s">
        <v>7</v>
      </c>
      <c r="E4" s="75" t="s">
        <v>4</v>
      </c>
      <c r="F4" s="75" t="s">
        <v>5</v>
      </c>
      <c r="G4" s="75" t="s">
        <v>6</v>
      </c>
      <c r="H4" s="87" t="s">
        <v>375</v>
      </c>
      <c r="I4" s="87" t="s">
        <v>376</v>
      </c>
      <c r="J4" s="87" t="s">
        <v>376</v>
      </c>
      <c r="K4" s="88">
        <v>4000</v>
      </c>
      <c r="L4" s="89">
        <f>+SUM(J5:J19)/100</f>
        <v>19.416439999999998</v>
      </c>
      <c r="P4" s="77"/>
      <c r="Q4" s="78"/>
      <c r="R4" s="78"/>
      <c r="S4" s="77">
        <v>6.2</v>
      </c>
      <c r="T4" s="77">
        <v>9.8000000000000007</v>
      </c>
      <c r="U4" s="90"/>
      <c r="V4" s="90"/>
      <c r="W4" s="90"/>
      <c r="X4" s="90"/>
    </row>
    <row r="5" spans="2:24" s="1" customFormat="1" x14ac:dyDescent="0.25">
      <c r="B5" s="91"/>
      <c r="C5" s="76" t="e" vm="1">
        <v>#VALUE!</v>
      </c>
      <c r="D5" s="18" t="s">
        <v>30</v>
      </c>
      <c r="E5" s="18" t="s">
        <v>27</v>
      </c>
      <c r="F5" s="18" t="s">
        <v>28</v>
      </c>
      <c r="G5" s="18" t="s">
        <v>29</v>
      </c>
      <c r="H5" s="92">
        <v>119468</v>
      </c>
      <c r="I5" s="92">
        <v>0</v>
      </c>
      <c r="J5" s="92">
        <v>0</v>
      </c>
      <c r="K5" s="81" t="str" cm="1">
        <f t="array" ref="K5:K13">IF(H5:H13&gt;K4,"Sí","No")</f>
        <v>Sí</v>
      </c>
      <c r="L5" s="81" t="str" cm="1">
        <f t="array" ref="L5:L13">+IF(J5:J13&gt;L4,"Sí","No")</f>
        <v>No</v>
      </c>
      <c r="M5" s="79" t="str">
        <f>+IF(AND(K5="Sí",L5="Sí"),"Oil and Gas",IF(K5="Sí","Oil",IF(L5="Sí","Gas")))</f>
        <v>Oil</v>
      </c>
      <c r="N5" s="79">
        <f>11.3+(14.4-11.3)/2</f>
        <v>12.850000000000001</v>
      </c>
      <c r="O5" s="79" t="str">
        <f t="shared" ref="O5:O18" si="0">+IF(M5="Gas","Doesn't Apply",IF(N5&lt;$M$30,$K$30,IF(N5&lt;$M$31,$K$31,IF(N5&lt;$M$32,$K$32,IF(N5&gt;$L$33,$K$33,"Doesn't Apply")))))</f>
        <v>Heavy Oil</v>
      </c>
      <c r="P5" s="79" t="s">
        <v>41</v>
      </c>
      <c r="Q5" s="80" t="s">
        <v>31</v>
      </c>
      <c r="R5" s="80" t="s">
        <v>31</v>
      </c>
      <c r="S5" s="93">
        <f t="shared" ref="S5:S19" si="1">+(H5*365*$S$4)/1000000</f>
        <v>270.35608400000001</v>
      </c>
      <c r="T5" s="93">
        <f t="shared" ref="T5:T19" si="2">+I5*$T$4*365/1000</f>
        <v>0</v>
      </c>
      <c r="U5" s="86"/>
      <c r="V5" s="86"/>
      <c r="W5" s="86"/>
      <c r="X5" s="86"/>
    </row>
    <row r="6" spans="2:24" s="1" customFormat="1" x14ac:dyDescent="0.25">
      <c r="B6" s="91"/>
      <c r="C6" s="76" t="e" vm="1">
        <v>#VALUE!</v>
      </c>
      <c r="D6" s="18" t="s">
        <v>30</v>
      </c>
      <c r="E6" s="18" t="s">
        <v>45</v>
      </c>
      <c r="F6" s="18" t="s">
        <v>28</v>
      </c>
      <c r="G6" s="18" t="s">
        <v>46</v>
      </c>
      <c r="H6" s="92">
        <v>113812</v>
      </c>
      <c r="I6" s="92">
        <v>0</v>
      </c>
      <c r="J6" s="92">
        <v>0</v>
      </c>
      <c r="K6" s="81" t="str">
        <v>Sí</v>
      </c>
      <c r="L6" s="81" t="str">
        <v>No</v>
      </c>
      <c r="M6" s="79" t="str">
        <f t="shared" ref="M6:M19" si="3">+IF(AND(K6="Sí",L6="Sí"),"Oil and Gas",IF(K6="Sí","Oil",IF(L6="Sí","Gas")))</f>
        <v>Oil</v>
      </c>
      <c r="N6" s="79">
        <v>13.7</v>
      </c>
      <c r="O6" s="79" t="str">
        <f t="shared" si="0"/>
        <v>Heavy Oil</v>
      </c>
      <c r="P6" s="79" t="s">
        <v>55</v>
      </c>
      <c r="Q6" s="80" t="s">
        <v>352</v>
      </c>
      <c r="R6" s="80" t="s">
        <v>353</v>
      </c>
      <c r="S6" s="93">
        <f t="shared" si="1"/>
        <v>257.556556</v>
      </c>
      <c r="T6" s="93">
        <f t="shared" si="2"/>
        <v>0</v>
      </c>
      <c r="U6" s="86"/>
      <c r="V6" s="86"/>
      <c r="W6" s="86"/>
      <c r="X6" s="86"/>
    </row>
    <row r="7" spans="2:24" s="1" customFormat="1" x14ac:dyDescent="0.25">
      <c r="B7" s="91"/>
      <c r="C7" s="76" t="e" vm="1">
        <v>#VALUE!</v>
      </c>
      <c r="D7" s="18" t="s">
        <v>30</v>
      </c>
      <c r="E7" s="18" t="s">
        <v>60</v>
      </c>
      <c r="F7" s="18" t="s">
        <v>28</v>
      </c>
      <c r="G7" s="18" t="s">
        <v>61</v>
      </c>
      <c r="H7" s="92">
        <v>67620</v>
      </c>
      <c r="I7" s="92">
        <v>0</v>
      </c>
      <c r="J7" s="92">
        <v>8</v>
      </c>
      <c r="K7" s="81" t="str">
        <v>Sí</v>
      </c>
      <c r="L7" s="81" t="str">
        <v>No</v>
      </c>
      <c r="M7" s="79" t="str">
        <f t="shared" si="3"/>
        <v>Oil</v>
      </c>
      <c r="N7" s="79">
        <f>7+(20-7)/2</f>
        <v>13.5</v>
      </c>
      <c r="O7" s="79" t="str">
        <f t="shared" si="0"/>
        <v>Heavy Oil</v>
      </c>
      <c r="P7" s="79" t="s">
        <v>55</v>
      </c>
      <c r="Q7" s="80" t="s">
        <v>352</v>
      </c>
      <c r="R7" s="80" t="s">
        <v>354</v>
      </c>
      <c r="S7" s="93">
        <f t="shared" si="1"/>
        <v>153.02405999999999</v>
      </c>
      <c r="T7" s="93">
        <f t="shared" si="2"/>
        <v>0</v>
      </c>
      <c r="U7" s="86"/>
      <c r="V7" s="86"/>
      <c r="W7" s="86"/>
      <c r="X7" s="86"/>
    </row>
    <row r="8" spans="2:24" s="1" customFormat="1" x14ac:dyDescent="0.25">
      <c r="B8" s="91"/>
      <c r="C8" s="76" t="e" vm="1">
        <v>#VALUE!</v>
      </c>
      <c r="D8" s="18" t="s">
        <v>95</v>
      </c>
      <c r="E8" s="18" t="s">
        <v>27</v>
      </c>
      <c r="F8" s="18" t="s">
        <v>28</v>
      </c>
      <c r="G8" s="18" t="s">
        <v>94</v>
      </c>
      <c r="H8" s="92">
        <v>43882</v>
      </c>
      <c r="I8" s="92">
        <v>0</v>
      </c>
      <c r="J8" s="92">
        <v>0</v>
      </c>
      <c r="K8" s="81" t="str">
        <v>Sí</v>
      </c>
      <c r="L8" s="81" t="str">
        <v>No</v>
      </c>
      <c r="M8" s="79" t="str">
        <f t="shared" si="3"/>
        <v>Oil</v>
      </c>
      <c r="N8" s="79">
        <f>13+(14-13)/2</f>
        <v>13.5</v>
      </c>
      <c r="O8" s="79" t="str">
        <f t="shared" si="0"/>
        <v>Heavy Oil</v>
      </c>
      <c r="P8" s="79" t="s">
        <v>355</v>
      </c>
      <c r="Q8" s="80" t="s">
        <v>31</v>
      </c>
      <c r="R8" s="80" t="s">
        <v>356</v>
      </c>
      <c r="S8" s="93">
        <f>+(H8*365*$S$4)/1000000</f>
        <v>99.304965999999993</v>
      </c>
      <c r="T8" s="93">
        <f>+I8*$T$4*365/1000</f>
        <v>0</v>
      </c>
      <c r="U8" s="86"/>
      <c r="V8" s="86"/>
      <c r="W8" s="86"/>
      <c r="X8" s="86"/>
    </row>
    <row r="9" spans="2:24" s="1" customFormat="1" x14ac:dyDescent="0.25">
      <c r="B9" s="91"/>
      <c r="C9" s="76" t="e" vm="2">
        <v>#VALUE!</v>
      </c>
      <c r="D9" s="18" t="s">
        <v>30</v>
      </c>
      <c r="E9" s="18" t="s">
        <v>78</v>
      </c>
      <c r="F9" s="18" t="s">
        <v>79</v>
      </c>
      <c r="G9" s="18" t="s">
        <v>80</v>
      </c>
      <c r="H9" s="92">
        <v>45201</v>
      </c>
      <c r="I9" s="92">
        <v>3.6509999999999998</v>
      </c>
      <c r="J9" s="92">
        <v>6.44</v>
      </c>
      <c r="K9" s="81" t="str">
        <v>Sí</v>
      </c>
      <c r="L9" s="81" t="str">
        <v>No</v>
      </c>
      <c r="M9" s="79" t="str">
        <f t="shared" si="3"/>
        <v>Oil</v>
      </c>
      <c r="N9" s="79">
        <f>20+(25-20)/2</f>
        <v>22.5</v>
      </c>
      <c r="O9" s="79" t="str">
        <f t="shared" si="0"/>
        <v>Medium Oil</v>
      </c>
      <c r="P9" s="79" t="s">
        <v>357</v>
      </c>
      <c r="Q9" s="80" t="s">
        <v>358</v>
      </c>
      <c r="R9" s="80" t="s">
        <v>31</v>
      </c>
      <c r="S9" s="93">
        <f t="shared" si="1"/>
        <v>102.289863</v>
      </c>
      <c r="T9" s="93">
        <f t="shared" si="2"/>
        <v>13.059627000000001</v>
      </c>
      <c r="U9" s="86"/>
      <c r="V9" s="86"/>
      <c r="W9" s="86"/>
      <c r="X9" s="86"/>
    </row>
    <row r="10" spans="2:24" s="1" customFormat="1" x14ac:dyDescent="0.25">
      <c r="B10" s="91"/>
      <c r="C10" s="76" t="e" vm="3">
        <v>#VALUE!</v>
      </c>
      <c r="D10" s="18" t="s">
        <v>111</v>
      </c>
      <c r="E10" s="18" t="s">
        <v>108</v>
      </c>
      <c r="F10" s="18" t="s">
        <v>28</v>
      </c>
      <c r="G10" s="18" t="s">
        <v>110</v>
      </c>
      <c r="H10" s="92">
        <v>21135</v>
      </c>
      <c r="I10" s="92">
        <v>0</v>
      </c>
      <c r="J10" s="92">
        <v>1.21</v>
      </c>
      <c r="K10" s="81" t="str">
        <v>Sí</v>
      </c>
      <c r="L10" s="81" t="str">
        <v>No</v>
      </c>
      <c r="M10" s="79" t="str">
        <f t="shared" si="3"/>
        <v>Oil</v>
      </c>
      <c r="N10" s="79">
        <v>29</v>
      </c>
      <c r="O10" s="79" t="str">
        <f t="shared" si="0"/>
        <v>Medium Oil</v>
      </c>
      <c r="P10" s="79" t="s">
        <v>55</v>
      </c>
      <c r="Q10" s="80" t="s">
        <v>352</v>
      </c>
      <c r="R10" s="80" t="s">
        <v>31</v>
      </c>
      <c r="S10" s="93">
        <f t="shared" si="1"/>
        <v>47.828505</v>
      </c>
      <c r="T10" s="93">
        <f t="shared" si="2"/>
        <v>0</v>
      </c>
      <c r="U10" s="86"/>
      <c r="V10" s="86"/>
      <c r="W10" s="86"/>
      <c r="X10" s="86"/>
    </row>
    <row r="11" spans="2:24" s="1" customFormat="1" x14ac:dyDescent="0.25">
      <c r="B11" s="91"/>
      <c r="C11" s="76" t="e" vm="4">
        <v>#VALUE!</v>
      </c>
      <c r="D11" s="18" t="s">
        <v>30</v>
      </c>
      <c r="E11" s="18" t="s">
        <v>124</v>
      </c>
      <c r="F11" s="18" t="s">
        <v>79</v>
      </c>
      <c r="G11" s="18" t="s">
        <v>125</v>
      </c>
      <c r="H11" s="92">
        <v>14787</v>
      </c>
      <c r="I11" s="92">
        <v>1.68</v>
      </c>
      <c r="J11" s="92">
        <v>4.13</v>
      </c>
      <c r="K11" s="81" t="str">
        <v>Sí</v>
      </c>
      <c r="L11" s="81" t="str">
        <v>No</v>
      </c>
      <c r="M11" s="79" t="str">
        <f t="shared" si="3"/>
        <v>Oil</v>
      </c>
      <c r="N11" s="79">
        <v>21</v>
      </c>
      <c r="O11" s="79" t="str">
        <f t="shared" si="0"/>
        <v>Heavy Oil</v>
      </c>
      <c r="P11" s="79" t="s">
        <v>55</v>
      </c>
      <c r="Q11" s="80" t="s">
        <v>352</v>
      </c>
      <c r="R11" s="80" t="s">
        <v>359</v>
      </c>
      <c r="S11" s="93">
        <f t="shared" si="1"/>
        <v>33.462980999999999</v>
      </c>
      <c r="T11" s="93">
        <f t="shared" si="2"/>
        <v>6.0093600000000009</v>
      </c>
    </row>
    <row r="12" spans="2:24" s="1" customFormat="1" x14ac:dyDescent="0.25">
      <c r="B12" s="91"/>
      <c r="C12" s="76" t="e" vm="5">
        <v>#VALUE!</v>
      </c>
      <c r="D12" s="18" t="s">
        <v>30</v>
      </c>
      <c r="E12" s="18" t="s">
        <v>139</v>
      </c>
      <c r="F12" s="18" t="s">
        <v>79</v>
      </c>
      <c r="G12" s="18" t="s">
        <v>140</v>
      </c>
      <c r="H12" s="92">
        <v>12862</v>
      </c>
      <c r="I12" s="92">
        <v>0</v>
      </c>
      <c r="J12" s="92">
        <v>1.48</v>
      </c>
      <c r="K12" s="81" t="str">
        <v>Sí</v>
      </c>
      <c r="L12" s="81" t="str">
        <v>No</v>
      </c>
      <c r="M12" s="79" t="str">
        <f t="shared" si="3"/>
        <v>Oil</v>
      </c>
      <c r="N12" s="79">
        <v>21</v>
      </c>
      <c r="O12" s="79" t="str">
        <f t="shared" si="0"/>
        <v>Heavy Oil</v>
      </c>
      <c r="P12" s="79" t="s">
        <v>360</v>
      </c>
      <c r="Q12" s="80" t="s">
        <v>352</v>
      </c>
      <c r="R12" s="80" t="s">
        <v>359</v>
      </c>
      <c r="S12" s="93">
        <f t="shared" si="1"/>
        <v>29.106705999999999</v>
      </c>
      <c r="T12" s="93">
        <f t="shared" si="2"/>
        <v>0</v>
      </c>
    </row>
    <row r="13" spans="2:24" s="1" customFormat="1" x14ac:dyDescent="0.25">
      <c r="B13" s="91"/>
      <c r="C13" s="76" t="e" vm="6">
        <v>#VALUE!</v>
      </c>
      <c r="D13" s="18" t="s">
        <v>154</v>
      </c>
      <c r="E13" s="18" t="s">
        <v>152</v>
      </c>
      <c r="F13" s="18" t="s">
        <v>79</v>
      </c>
      <c r="G13" s="18" t="s">
        <v>153</v>
      </c>
      <c r="H13" s="92">
        <v>11114</v>
      </c>
      <c r="I13" s="92">
        <v>0</v>
      </c>
      <c r="J13" s="92">
        <v>0.9</v>
      </c>
      <c r="K13" s="81" t="str">
        <v>Sí</v>
      </c>
      <c r="L13" s="81" t="str">
        <v>No</v>
      </c>
      <c r="M13" s="79" t="str">
        <f t="shared" si="3"/>
        <v>Oil</v>
      </c>
      <c r="N13" s="79">
        <v>13</v>
      </c>
      <c r="O13" s="79" t="str">
        <f t="shared" si="0"/>
        <v>Heavy Oil</v>
      </c>
      <c r="P13" s="79" t="s">
        <v>163</v>
      </c>
      <c r="Q13" s="80" t="s">
        <v>31</v>
      </c>
      <c r="R13" s="80" t="s">
        <v>361</v>
      </c>
      <c r="S13" s="93">
        <f t="shared" si="1"/>
        <v>25.150981999999999</v>
      </c>
      <c r="T13" s="93">
        <f t="shared" si="2"/>
        <v>0</v>
      </c>
    </row>
    <row r="14" spans="2:24" s="1" customFormat="1" x14ac:dyDescent="0.25">
      <c r="B14" s="91"/>
      <c r="C14" s="76" t="e" vm="7">
        <v>#VALUE!</v>
      </c>
      <c r="D14" s="18" t="s">
        <v>30</v>
      </c>
      <c r="E14" s="18" t="s">
        <v>255</v>
      </c>
      <c r="F14" s="18" t="s">
        <v>28</v>
      </c>
      <c r="G14" s="18" t="s">
        <v>256</v>
      </c>
      <c r="H14" s="92">
        <v>11342</v>
      </c>
      <c r="I14" s="92">
        <v>152.77000000000001</v>
      </c>
      <c r="J14" s="92">
        <v>754.35</v>
      </c>
      <c r="K14" s="81" t="str" cm="1">
        <f t="array" ref="K14:K19">IF(H14:H19&gt;K4,"Sí","No")</f>
        <v>Sí</v>
      </c>
      <c r="L14" s="81" t="str" cm="1">
        <f t="array" ref="L14:L19">+IF(J14:J19&gt;L4,"Sí","No")</f>
        <v>Sí</v>
      </c>
      <c r="M14" s="79" t="str">
        <f t="shared" si="3"/>
        <v>Oil and Gas</v>
      </c>
      <c r="N14" s="79">
        <v>48</v>
      </c>
      <c r="O14" s="79" t="str">
        <f t="shared" si="0"/>
        <v>Light Oil</v>
      </c>
      <c r="P14" s="79" t="s">
        <v>31</v>
      </c>
      <c r="Q14" s="80" t="s">
        <v>362</v>
      </c>
      <c r="R14" s="80" t="s">
        <v>363</v>
      </c>
      <c r="S14" s="93">
        <f t="shared" si="1"/>
        <v>25.666945999999999</v>
      </c>
      <c r="T14" s="93">
        <f t="shared" si="2"/>
        <v>546.45829000000003</v>
      </c>
    </row>
    <row r="15" spans="2:24" s="1" customFormat="1" x14ac:dyDescent="0.25">
      <c r="B15" s="91"/>
      <c r="C15" s="76" t="e" vm="7">
        <v>#VALUE!</v>
      </c>
      <c r="D15" s="18" t="s">
        <v>30</v>
      </c>
      <c r="E15" s="18" t="s">
        <v>269</v>
      </c>
      <c r="F15" s="18" t="s">
        <v>28</v>
      </c>
      <c r="G15" s="18" t="s">
        <v>270</v>
      </c>
      <c r="H15" s="92">
        <v>4514</v>
      </c>
      <c r="I15" s="92">
        <v>182.15</v>
      </c>
      <c r="J15" s="92">
        <v>306.27</v>
      </c>
      <c r="K15" s="81" t="str">
        <v>Sí</v>
      </c>
      <c r="L15" s="81" t="str">
        <v>Sí</v>
      </c>
      <c r="M15" s="79" t="str">
        <f>+IF(AND(K15="Sí",L15="Sí"),"Oil and Gas",IF(K15="Sí","Oil",IF(L15="Sí","Gas")))</f>
        <v>Oil and Gas</v>
      </c>
      <c r="N15" s="79">
        <v>52</v>
      </c>
      <c r="O15" s="79" t="str">
        <f t="shared" si="0"/>
        <v>Light Oil</v>
      </c>
      <c r="P15" s="79" t="s">
        <v>31</v>
      </c>
      <c r="Q15" s="80" t="s">
        <v>364</v>
      </c>
      <c r="R15" s="80" t="s">
        <v>275</v>
      </c>
      <c r="S15" s="93">
        <f t="shared" si="1"/>
        <v>10.215182</v>
      </c>
      <c r="T15" s="93">
        <f t="shared" si="2"/>
        <v>651.55055000000004</v>
      </c>
    </row>
    <row r="16" spans="2:24" s="1" customFormat="1" x14ac:dyDescent="0.25">
      <c r="B16" s="91"/>
      <c r="C16" s="76" t="e" vm="7">
        <v>#VALUE!</v>
      </c>
      <c r="D16" s="18" t="s">
        <v>278</v>
      </c>
      <c r="E16" s="18" t="s">
        <v>276</v>
      </c>
      <c r="F16" s="18" t="s">
        <v>28</v>
      </c>
      <c r="G16" s="18" t="s">
        <v>277</v>
      </c>
      <c r="H16" s="92">
        <v>31197</v>
      </c>
      <c r="I16" s="92">
        <v>218.46</v>
      </c>
      <c r="J16" s="92">
        <v>459.81099999999998</v>
      </c>
      <c r="K16" s="81" t="str">
        <v>Sí</v>
      </c>
      <c r="L16" s="81" t="str">
        <v>Sí</v>
      </c>
      <c r="M16" s="79" t="str">
        <f t="shared" si="3"/>
        <v>Oil and Gas</v>
      </c>
      <c r="N16" s="79">
        <v>46</v>
      </c>
      <c r="O16" s="79" t="str">
        <f t="shared" si="0"/>
        <v>Light Oil</v>
      </c>
      <c r="P16" s="79" t="s">
        <v>31</v>
      </c>
      <c r="Q16" s="80" t="s">
        <v>31</v>
      </c>
      <c r="R16" s="80" t="s">
        <v>365</v>
      </c>
      <c r="S16" s="93">
        <f t="shared" si="1"/>
        <v>70.598810999999998</v>
      </c>
      <c r="T16" s="93">
        <f t="shared" si="2"/>
        <v>781.43142000000012</v>
      </c>
    </row>
    <row r="17" spans="2:20" s="1" customFormat="1" x14ac:dyDescent="0.25">
      <c r="B17" s="91"/>
      <c r="C17" s="76" t="e" vm="7">
        <v>#VALUE!</v>
      </c>
      <c r="D17" s="18" t="s">
        <v>278</v>
      </c>
      <c r="E17" s="18" t="s">
        <v>276</v>
      </c>
      <c r="F17" s="18" t="s">
        <v>28</v>
      </c>
      <c r="G17" s="18" t="s">
        <v>290</v>
      </c>
      <c r="H17" s="92">
        <v>8374</v>
      </c>
      <c r="I17" s="92">
        <v>0</v>
      </c>
      <c r="J17" s="92">
        <v>153.01</v>
      </c>
      <c r="K17" s="81" t="str">
        <v>Sí</v>
      </c>
      <c r="L17" s="81" t="str">
        <v>Sí</v>
      </c>
      <c r="M17" s="79" t="str">
        <f t="shared" si="3"/>
        <v>Oil and Gas</v>
      </c>
      <c r="N17" s="79">
        <f>44+((47-44)/2)</f>
        <v>45.5</v>
      </c>
      <c r="O17" s="79" t="str">
        <f t="shared" si="0"/>
        <v>Light Oil</v>
      </c>
      <c r="P17" s="79" t="s">
        <v>31</v>
      </c>
      <c r="Q17" s="80" t="s">
        <v>362</v>
      </c>
      <c r="R17" s="80" t="s">
        <v>31</v>
      </c>
      <c r="S17" s="93">
        <f t="shared" si="1"/>
        <v>18.950361999999998</v>
      </c>
      <c r="T17" s="93">
        <f t="shared" si="2"/>
        <v>0</v>
      </c>
    </row>
    <row r="18" spans="2:20" s="1" customFormat="1" x14ac:dyDescent="0.25">
      <c r="B18" s="91"/>
      <c r="C18" s="76" t="e" vm="8">
        <v>#VALUE!</v>
      </c>
      <c r="D18" s="18" t="s">
        <v>302</v>
      </c>
      <c r="E18" s="18" t="s">
        <v>300</v>
      </c>
      <c r="F18" s="18" t="s">
        <v>299</v>
      </c>
      <c r="G18" s="18" t="s">
        <v>301</v>
      </c>
      <c r="H18" s="92">
        <v>0</v>
      </c>
      <c r="I18" s="92">
        <v>207.5</v>
      </c>
      <c r="J18" s="92">
        <v>214.703</v>
      </c>
      <c r="K18" s="81" t="str">
        <v>No</v>
      </c>
      <c r="L18" s="81" t="str">
        <v>Sí</v>
      </c>
      <c r="M18" s="79" t="str">
        <f>+IF(AND(K18="Sí",L18="Sí"),"Oil and Gas",IF(K18="Sí","Oil",IF(L18="Sí","Gas")))</f>
        <v>Gas</v>
      </c>
      <c r="N18" s="79" t="s">
        <v>31</v>
      </c>
      <c r="O18" s="79" t="str">
        <f t="shared" si="0"/>
        <v>Doesn't Apply</v>
      </c>
      <c r="P18" s="79" t="s">
        <v>31</v>
      </c>
      <c r="Q18" s="80" t="s">
        <v>31</v>
      </c>
      <c r="R18" s="80" t="s">
        <v>31</v>
      </c>
      <c r="S18" s="93">
        <f t="shared" si="1"/>
        <v>0</v>
      </c>
      <c r="T18" s="93">
        <f t="shared" si="2"/>
        <v>742.22750000000008</v>
      </c>
    </row>
    <row r="19" spans="2:20" s="1" customFormat="1" x14ac:dyDescent="0.25">
      <c r="B19" s="91"/>
      <c r="C19" s="76" t="e" vm="8">
        <v>#VALUE!</v>
      </c>
      <c r="D19" s="18" t="s">
        <v>302</v>
      </c>
      <c r="E19" s="18" t="s">
        <v>300</v>
      </c>
      <c r="F19" s="18" t="s">
        <v>299</v>
      </c>
      <c r="G19" s="18" t="s">
        <v>311</v>
      </c>
      <c r="H19" s="92">
        <v>0</v>
      </c>
      <c r="I19" s="92">
        <v>30.6</v>
      </c>
      <c r="J19" s="92">
        <v>31.34</v>
      </c>
      <c r="K19" s="81" t="str">
        <v>No</v>
      </c>
      <c r="L19" s="81" t="str">
        <v>Sí</v>
      </c>
      <c r="M19" s="79" t="str">
        <f t="shared" si="3"/>
        <v>Gas</v>
      </c>
      <c r="N19" s="79" t="s">
        <v>31</v>
      </c>
      <c r="O19" s="79" t="str">
        <f>+IF(M18="Gas","Doesn't Apply",IF(N19&lt;$M$30,$K$30,IF(N19&lt;$M$31,$K$31,IF(N19&lt;$M$32,$K$32,IF(N19&gt;$L$33,$K$33,"Doesn't Apply")))))</f>
        <v>Doesn't Apply</v>
      </c>
      <c r="P19" s="79" t="s">
        <v>31</v>
      </c>
      <c r="Q19" s="80" t="s">
        <v>31</v>
      </c>
      <c r="R19" s="80" t="s">
        <v>31</v>
      </c>
      <c r="S19" s="93">
        <f t="shared" si="1"/>
        <v>0</v>
      </c>
      <c r="T19" s="93">
        <f t="shared" si="2"/>
        <v>109.45620000000002</v>
      </c>
    </row>
    <row r="20" spans="2:20" s="1" customFormat="1" x14ac:dyDescent="0.25">
      <c r="H20" s="94"/>
      <c r="I20" s="94"/>
      <c r="R20" s="95"/>
    </row>
    <row r="21" spans="2:20" s="1" customFormat="1" x14ac:dyDescent="0.25">
      <c r="I21" s="94"/>
      <c r="P21" s="96"/>
    </row>
    <row r="22" spans="2:20" s="1" customFormat="1" x14ac:dyDescent="0.25">
      <c r="K22" s="78" t="s">
        <v>377</v>
      </c>
      <c r="L22" s="78">
        <f>+COUNTIF(M5:M19,"Oil")</f>
        <v>9</v>
      </c>
    </row>
    <row r="23" spans="2:20" s="1" customFormat="1" x14ac:dyDescent="0.25">
      <c r="K23" s="78" t="s">
        <v>378</v>
      </c>
      <c r="L23" s="78">
        <f>COUNTIF(M5:M19,"Gas")</f>
        <v>2</v>
      </c>
    </row>
    <row r="24" spans="2:20" s="1" customFormat="1" ht="15.75" thickBot="1" x14ac:dyDescent="0.3">
      <c r="K24" s="97" t="s">
        <v>379</v>
      </c>
      <c r="L24" s="97">
        <f>COUNTIF(M5:M19,"Oil and Gas")</f>
        <v>4</v>
      </c>
    </row>
    <row r="25" spans="2:20" s="1" customFormat="1" ht="15.75" thickTop="1" x14ac:dyDescent="0.25">
      <c r="K25" s="77" t="s">
        <v>380</v>
      </c>
      <c r="L25" s="77">
        <f>+SUM(L22:L24)</f>
        <v>15</v>
      </c>
      <c r="O25" s="94"/>
    </row>
    <row r="26" spans="2:20" s="1" customFormat="1" x14ac:dyDescent="0.25"/>
    <row r="27" spans="2:20" s="1" customFormat="1" x14ac:dyDescent="0.25"/>
    <row r="28" spans="2:20" s="1" customFormat="1" ht="15.75" thickBot="1" x14ac:dyDescent="0.3">
      <c r="K28" s="264" t="s">
        <v>381</v>
      </c>
      <c r="L28" s="264"/>
      <c r="M28" s="264"/>
    </row>
    <row r="29" spans="2:20" s="1" customFormat="1" ht="15.75" thickTop="1" x14ac:dyDescent="0.25">
      <c r="K29" s="98"/>
      <c r="L29" s="98" t="s">
        <v>382</v>
      </c>
      <c r="M29" s="98" t="s">
        <v>383</v>
      </c>
    </row>
    <row r="30" spans="2:20" s="1" customFormat="1" x14ac:dyDescent="0.25">
      <c r="K30" s="78" t="s">
        <v>384</v>
      </c>
      <c r="L30" s="99">
        <v>0</v>
      </c>
      <c r="M30" s="98">
        <v>10</v>
      </c>
    </row>
    <row r="31" spans="2:20" s="1" customFormat="1" x14ac:dyDescent="0.25">
      <c r="K31" s="78" t="s">
        <v>385</v>
      </c>
      <c r="L31" s="98">
        <v>10</v>
      </c>
      <c r="M31" s="98">
        <v>22.3</v>
      </c>
    </row>
    <row r="32" spans="2:20" s="1" customFormat="1" x14ac:dyDescent="0.25">
      <c r="K32" s="78" t="s">
        <v>386</v>
      </c>
      <c r="L32" s="98">
        <v>22.3</v>
      </c>
      <c r="M32" s="98">
        <v>31.1</v>
      </c>
    </row>
    <row r="33" spans="11:20" s="1" customFormat="1" x14ac:dyDescent="0.25">
      <c r="K33" s="78" t="s">
        <v>387</v>
      </c>
      <c r="L33" s="98">
        <v>31.1</v>
      </c>
      <c r="M33" s="99">
        <v>100</v>
      </c>
      <c r="N33" s="91"/>
    </row>
    <row r="34" spans="11:20" s="1" customFormat="1" x14ac:dyDescent="0.25"/>
    <row r="35" spans="11:20" s="1" customFormat="1" x14ac:dyDescent="0.25"/>
    <row r="36" spans="11:20" s="1" customFormat="1" ht="15.75" thickBot="1" x14ac:dyDescent="0.3">
      <c r="K36" s="265" t="s">
        <v>388</v>
      </c>
      <c r="L36" s="265"/>
      <c r="M36" s="265"/>
      <c r="N36" s="265"/>
      <c r="R36" s="78"/>
      <c r="S36" s="78"/>
      <c r="T36" s="78"/>
    </row>
    <row r="37" spans="11:20" s="1" customFormat="1" ht="17.25" customHeight="1" thickTop="1" thickBot="1" x14ac:dyDescent="0.3">
      <c r="L37" s="100" t="s">
        <v>389</v>
      </c>
      <c r="M37" s="100" t="s">
        <v>390</v>
      </c>
      <c r="N37" s="100" t="s">
        <v>391</v>
      </c>
      <c r="Q37" s="266" t="s">
        <v>392</v>
      </c>
      <c r="R37" s="266"/>
      <c r="S37" s="266"/>
      <c r="T37" s="266"/>
    </row>
    <row r="38" spans="11:20" s="1" customFormat="1" ht="15.75" thickTop="1" x14ac:dyDescent="0.25">
      <c r="K38" s="1" t="s">
        <v>393</v>
      </c>
      <c r="L38" s="101">
        <v>865191</v>
      </c>
      <c r="M38" s="94">
        <v>505308</v>
      </c>
      <c r="N38" s="102">
        <v>0.58404213636064173</v>
      </c>
      <c r="R38" s="100" t="s">
        <v>30</v>
      </c>
      <c r="S38" s="103" t="s">
        <v>394</v>
      </c>
      <c r="T38" s="78" t="s">
        <v>395</v>
      </c>
    </row>
    <row r="39" spans="11:20" s="1" customFormat="1" x14ac:dyDescent="0.25">
      <c r="K39" s="1" t="s">
        <v>396</v>
      </c>
      <c r="L39" s="101">
        <v>2343.1799999999998</v>
      </c>
      <c r="M39" s="94">
        <v>1941.6439999999998</v>
      </c>
      <c r="N39" s="102">
        <v>0.82863629768092928</v>
      </c>
      <c r="Q39" s="1" t="s">
        <v>393</v>
      </c>
      <c r="R39" s="101">
        <v>469419</v>
      </c>
      <c r="S39" s="94">
        <v>389606</v>
      </c>
      <c r="T39" s="104">
        <v>0.82997492645163484</v>
      </c>
    </row>
    <row r="40" spans="11:20" s="1" customFormat="1" x14ac:dyDescent="0.25">
      <c r="K40" s="1" t="s">
        <v>369</v>
      </c>
      <c r="L40" s="105">
        <v>1060</v>
      </c>
      <c r="M40" s="105">
        <v>796.81100000000004</v>
      </c>
      <c r="N40" s="102">
        <v>0.75170849056603772</v>
      </c>
      <c r="Q40" s="1" t="s">
        <v>396</v>
      </c>
      <c r="R40" s="101">
        <v>1201.2</v>
      </c>
      <c r="S40" s="106">
        <v>1080.6699999999998</v>
      </c>
      <c r="T40" s="104">
        <v>0.89965867465867455</v>
      </c>
    </row>
    <row r="41" spans="11:20" s="1" customFormat="1" x14ac:dyDescent="0.25">
      <c r="L41" s="105"/>
      <c r="M41" s="94"/>
      <c r="N41" s="102"/>
      <c r="Q41" s="1" t="s">
        <v>397</v>
      </c>
      <c r="R41" s="107">
        <v>436.14</v>
      </c>
      <c r="S41" s="1">
        <v>340.25100000000003</v>
      </c>
      <c r="T41" s="108">
        <v>0.78014169762003038</v>
      </c>
    </row>
    <row r="42" spans="11:20" s="1" customFormat="1" x14ac:dyDescent="0.25"/>
    <row r="43" spans="11:20" s="1" customFormat="1" ht="15.75" thickBot="1" x14ac:dyDescent="0.3">
      <c r="K43" s="265" t="s">
        <v>398</v>
      </c>
      <c r="L43" s="265"/>
      <c r="M43" s="265"/>
      <c r="Q43" s="265" t="s">
        <v>399</v>
      </c>
      <c r="R43" s="265"/>
      <c r="S43" s="265"/>
    </row>
    <row r="44" spans="11:20" s="1" customFormat="1" ht="15.75" thickTop="1" x14ac:dyDescent="0.25">
      <c r="L44" s="1" t="s">
        <v>400</v>
      </c>
      <c r="R44" s="1" t="s">
        <v>400</v>
      </c>
    </row>
    <row r="45" spans="11:20" s="1" customFormat="1" x14ac:dyDescent="0.25">
      <c r="K45" s="78" t="s">
        <v>384</v>
      </c>
      <c r="L45" s="109">
        <f>+SUMIF($O$5:$O$19,K45,$H$5:$H$19)</f>
        <v>0</v>
      </c>
      <c r="M45" s="94">
        <f>+L45/L49</f>
        <v>0</v>
      </c>
      <c r="Q45" s="78" t="s">
        <v>384</v>
      </c>
      <c r="R45" s="109">
        <f>360439/(365)</f>
        <v>987.50410958904115</v>
      </c>
      <c r="S45" s="110">
        <f>+R45/R49</f>
        <v>1.2434485304680682E-3</v>
      </c>
    </row>
    <row r="46" spans="11:20" s="1" customFormat="1" x14ac:dyDescent="0.25">
      <c r="K46" s="78" t="s">
        <v>385</v>
      </c>
      <c r="L46" s="109">
        <f>+SUMIF($O$5:$O$19,K46,$H$5:$H$19)</f>
        <v>383545</v>
      </c>
      <c r="M46" s="111">
        <f>+L46/$L$49</f>
        <v>0.75903211506645452</v>
      </c>
      <c r="Q46" s="78" t="s">
        <v>385</v>
      </c>
      <c r="R46" s="109">
        <f>153830052/(365)</f>
        <v>421452.19726027397</v>
      </c>
      <c r="S46" s="111">
        <f>+R46/R49</f>
        <v>0.53068550323695973</v>
      </c>
    </row>
    <row r="47" spans="11:20" s="1" customFormat="1" x14ac:dyDescent="0.25">
      <c r="K47" s="78" t="s">
        <v>386</v>
      </c>
      <c r="L47" s="109">
        <f>+SUMIF($O$5:$O$19,K47,$H$5:$H$19)</f>
        <v>66336</v>
      </c>
      <c r="M47" s="111">
        <f t="shared" ref="M47:M48" si="4">+L47/$L$49</f>
        <v>0.13127834904652211</v>
      </c>
      <c r="Q47" s="78" t="s">
        <v>386</v>
      </c>
      <c r="R47" s="109">
        <f>78050096/(365)</f>
        <v>213835.8794520548</v>
      </c>
      <c r="S47" s="111">
        <f>+R47/R49</f>
        <v>0.26925853521425719</v>
      </c>
    </row>
    <row r="48" spans="11:20" s="1" customFormat="1" ht="15.75" thickBot="1" x14ac:dyDescent="0.3">
      <c r="K48" s="78" t="s">
        <v>387</v>
      </c>
      <c r="L48" s="112">
        <f>+SUMIF($O$5:$O$19,K48,$H$5:$H$19)</f>
        <v>55427</v>
      </c>
      <c r="M48" s="113">
        <f t="shared" si="4"/>
        <v>0.10968953588702336</v>
      </c>
      <c r="Q48" s="78" t="s">
        <v>387</v>
      </c>
      <c r="R48" s="112">
        <f>57629875/365</f>
        <v>157890.0684931507</v>
      </c>
      <c r="S48" s="113">
        <f>+R48/R49</f>
        <v>0.19881251301831507</v>
      </c>
    </row>
    <row r="49" spans="11:21" s="1" customFormat="1" ht="15.75" thickTop="1" x14ac:dyDescent="0.25">
      <c r="K49" s="114"/>
      <c r="L49" s="94">
        <f>+SUM(L45:L48)</f>
        <v>505308</v>
      </c>
      <c r="M49" s="115">
        <f>+SUM(M46:M48)</f>
        <v>1</v>
      </c>
      <c r="Q49" s="114"/>
      <c r="R49" s="94">
        <f>+SUM(R45:R48)</f>
        <v>794165.6493150685</v>
      </c>
      <c r="S49" s="115">
        <f>+SUM(S46:S48)</f>
        <v>0.99875655146953191</v>
      </c>
      <c r="T49" s="94"/>
    </row>
    <row r="50" spans="11:21" s="1" customFormat="1" x14ac:dyDescent="0.25">
      <c r="R50" s="94"/>
    </row>
    <row r="51" spans="11:21" s="1" customFormat="1" x14ac:dyDescent="0.25"/>
    <row r="52" spans="11:21" s="1" customFormat="1" ht="15.75" thickBot="1" x14ac:dyDescent="0.3">
      <c r="K52" s="265" t="s">
        <v>401</v>
      </c>
      <c r="L52" s="265"/>
      <c r="M52" s="265"/>
      <c r="N52" s="265"/>
      <c r="O52" s="265"/>
      <c r="Q52" s="265" t="s">
        <v>402</v>
      </c>
      <c r="R52" s="265"/>
      <c r="S52" s="265"/>
      <c r="T52" s="265"/>
      <c r="U52" s="265"/>
    </row>
    <row r="53" spans="11:21" s="1" customFormat="1" ht="15.75" thickTop="1" x14ac:dyDescent="0.25">
      <c r="K53" s="78"/>
      <c r="L53" s="78" t="s">
        <v>400</v>
      </c>
      <c r="M53" s="78" t="s">
        <v>403</v>
      </c>
      <c r="N53" s="116" t="s">
        <v>404</v>
      </c>
      <c r="O53" s="78" t="s">
        <v>403</v>
      </c>
      <c r="Q53" s="78"/>
      <c r="R53" s="78" t="s">
        <v>400</v>
      </c>
      <c r="S53" s="78" t="s">
        <v>403</v>
      </c>
      <c r="T53" s="116" t="s">
        <v>404</v>
      </c>
      <c r="U53" s="117" t="s">
        <v>403</v>
      </c>
    </row>
    <row r="54" spans="11:21" s="1" customFormat="1" x14ac:dyDescent="0.25">
      <c r="K54" s="78" t="e" vm="1">
        <v>#VALUE!</v>
      </c>
      <c r="L54" s="105">
        <f t="shared" ref="L54:L61" si="5">+SUMIF($C$5:$C$19,K54,$H$5:$H$19)</f>
        <v>344782</v>
      </c>
      <c r="M54" s="117">
        <f t="shared" ref="M54:M61" si="6">+L54/$L$62</f>
        <v>0.68232048572355875</v>
      </c>
      <c r="N54" s="118">
        <f t="shared" ref="N54:N61" si="7">+SUMIF($C$5:$C$19,K54,$J$5:$J$19)</f>
        <v>8</v>
      </c>
      <c r="O54" s="119">
        <f t="shared" ref="O54:O61" si="8">+N54/$N$62</f>
        <v>4.120219772522667E-3</v>
      </c>
      <c r="Q54" s="120" t="e" vm="1">
        <v>#VALUE!</v>
      </c>
      <c r="R54" s="105">
        <v>421474.3</v>
      </c>
      <c r="S54" s="117">
        <f t="shared" ref="S54:S62" si="9">+R54/$R$63</f>
        <v>0.48714595967826757</v>
      </c>
      <c r="T54" s="105">
        <v>17.7</v>
      </c>
      <c r="U54" s="117">
        <f>+T54/$T$63</f>
        <v>7.5538370931810617E-3</v>
      </c>
    </row>
    <row r="55" spans="11:21" s="1" customFormat="1" x14ac:dyDescent="0.25">
      <c r="K55" s="78" t="e" vm="2">
        <v>#VALUE!</v>
      </c>
      <c r="L55" s="105">
        <f t="shared" si="5"/>
        <v>45201</v>
      </c>
      <c r="M55" s="104">
        <f t="shared" si="6"/>
        <v>8.9452373601842841E-2</v>
      </c>
      <c r="N55" s="121">
        <f t="shared" si="7"/>
        <v>6.44</v>
      </c>
      <c r="O55" s="119">
        <f t="shared" si="8"/>
        <v>3.3167769168807471E-3</v>
      </c>
      <c r="Q55" s="120" t="e" vm="2">
        <v>#VALUE!</v>
      </c>
      <c r="R55" s="105">
        <v>63986.1</v>
      </c>
      <c r="S55" s="117">
        <f t="shared" si="9"/>
        <v>7.3956039764629999E-2</v>
      </c>
      <c r="T55" s="105">
        <v>46.2</v>
      </c>
      <c r="U55" s="117">
        <f t="shared" ref="U55:U61" si="10">+T55/$T$63</f>
        <v>1.9716795124574298E-2</v>
      </c>
    </row>
    <row r="56" spans="11:21" s="1" customFormat="1" x14ac:dyDescent="0.25">
      <c r="K56" s="78" t="e" vm="3">
        <v>#VALUE!</v>
      </c>
      <c r="L56" s="105">
        <f t="shared" si="5"/>
        <v>21135</v>
      </c>
      <c r="M56" s="117">
        <f t="shared" si="6"/>
        <v>4.1825975444679288E-2</v>
      </c>
      <c r="N56" s="121">
        <f t="shared" si="7"/>
        <v>1.21</v>
      </c>
      <c r="O56" s="119">
        <f t="shared" si="8"/>
        <v>6.2318324059405339E-4</v>
      </c>
      <c r="Q56" s="120" t="e" vm="3">
        <v>#VALUE!</v>
      </c>
      <c r="R56" s="105">
        <v>47801.1</v>
      </c>
      <c r="S56" s="117">
        <f t="shared" si="9"/>
        <v>5.5249187751606289E-2</v>
      </c>
      <c r="T56" s="105">
        <v>5.2</v>
      </c>
      <c r="U56" s="117">
        <f t="shared" si="10"/>
        <v>2.2192063776577133E-3</v>
      </c>
    </row>
    <row r="57" spans="11:21" s="1" customFormat="1" x14ac:dyDescent="0.25">
      <c r="K57" s="78" t="e" vm="4">
        <v>#VALUE!</v>
      </c>
      <c r="L57" s="105">
        <f t="shared" si="5"/>
        <v>14787</v>
      </c>
      <c r="M57" s="117">
        <f t="shared" si="6"/>
        <v>2.9263340378541405E-2</v>
      </c>
      <c r="N57" s="118">
        <f t="shared" si="7"/>
        <v>4.13</v>
      </c>
      <c r="O57" s="119">
        <f t="shared" si="8"/>
        <v>2.1270634575648265E-3</v>
      </c>
      <c r="Q57" s="120" t="e" vm="4">
        <v>#VALUE!</v>
      </c>
      <c r="R57" s="105">
        <v>10337.799999999999</v>
      </c>
      <c r="S57" s="117">
        <f t="shared" si="9"/>
        <v>1.1948575516851192E-2</v>
      </c>
      <c r="T57" s="105">
        <v>4.9000000000000004</v>
      </c>
      <c r="U57" s="117">
        <f t="shared" si="10"/>
        <v>2.0911752404851529E-3</v>
      </c>
    </row>
    <row r="58" spans="11:21" s="1" customFormat="1" x14ac:dyDescent="0.25">
      <c r="K58" s="78" t="e" vm="5">
        <v>#VALUE!</v>
      </c>
      <c r="L58" s="105">
        <f t="shared" si="5"/>
        <v>12862</v>
      </c>
      <c r="M58" s="104">
        <f t="shared" si="6"/>
        <v>2.545378264345706E-2</v>
      </c>
      <c r="N58" s="121">
        <f t="shared" si="7"/>
        <v>1.48</v>
      </c>
      <c r="O58" s="119">
        <f t="shared" si="8"/>
        <v>7.6224065791669331E-4</v>
      </c>
      <c r="Q58" s="120" t="e" vm="5">
        <v>#VALUE!</v>
      </c>
      <c r="R58" s="105">
        <v>16428.900000000001</v>
      </c>
      <c r="S58" s="117">
        <f t="shared" si="9"/>
        <v>1.8988755084137492E-2</v>
      </c>
      <c r="T58" s="105">
        <v>2.2000000000000002</v>
      </c>
      <c r="U58" s="117">
        <f t="shared" si="10"/>
        <v>9.3889500593210954E-4</v>
      </c>
    </row>
    <row r="59" spans="11:21" s="1" customFormat="1" x14ac:dyDescent="0.25">
      <c r="K59" s="78" t="e" vm="6">
        <v>#VALUE!</v>
      </c>
      <c r="L59" s="105">
        <f t="shared" si="5"/>
        <v>11114</v>
      </c>
      <c r="M59" s="104">
        <f t="shared" si="6"/>
        <v>2.1994506320897354E-2</v>
      </c>
      <c r="N59" s="121">
        <f t="shared" si="7"/>
        <v>0.9</v>
      </c>
      <c r="O59" s="119">
        <f t="shared" si="8"/>
        <v>4.6352472440880002E-4</v>
      </c>
      <c r="Q59" s="120" t="e" vm="6">
        <v>#VALUE!</v>
      </c>
      <c r="R59" s="105">
        <v>34033.25</v>
      </c>
      <c r="S59" s="117">
        <f t="shared" si="9"/>
        <v>3.9336111910549233E-2</v>
      </c>
      <c r="T59" s="105">
        <v>17.2</v>
      </c>
      <c r="U59" s="117">
        <f t="shared" si="10"/>
        <v>7.3404518645601279E-3</v>
      </c>
    </row>
    <row r="60" spans="11:21" s="1" customFormat="1" x14ac:dyDescent="0.25">
      <c r="K60" s="78" t="e" vm="7">
        <v>#VALUE!</v>
      </c>
      <c r="L60" s="105">
        <f t="shared" si="5"/>
        <v>55427</v>
      </c>
      <c r="M60" s="104">
        <f t="shared" si="6"/>
        <v>0.10968953588702336</v>
      </c>
      <c r="N60" s="121">
        <f t="shared" si="7"/>
        <v>1673.4409999999998</v>
      </c>
      <c r="O60" s="119">
        <f t="shared" si="8"/>
        <v>0.86186808704376294</v>
      </c>
      <c r="Q60" s="120" t="e" vm="7">
        <v>#VALUE!</v>
      </c>
      <c r="R60" s="105">
        <v>170107.4</v>
      </c>
      <c r="S60" s="117">
        <f t="shared" si="9"/>
        <v>0.19661253989003583</v>
      </c>
      <c r="T60" s="105">
        <v>1628.7</v>
      </c>
      <c r="U60" s="117">
        <f t="shared" si="10"/>
        <v>0.69508104370983026</v>
      </c>
    </row>
    <row r="61" spans="11:21" s="1" customFormat="1" ht="15.75" thickBot="1" x14ac:dyDescent="0.3">
      <c r="K61" s="122" t="e" vm="8">
        <v>#VALUE!</v>
      </c>
      <c r="L61" s="122">
        <f t="shared" si="5"/>
        <v>0</v>
      </c>
      <c r="M61" s="123">
        <f t="shared" si="6"/>
        <v>0</v>
      </c>
      <c r="N61" s="124">
        <f t="shared" si="7"/>
        <v>246.04300000000001</v>
      </c>
      <c r="O61" s="125">
        <f t="shared" si="8"/>
        <v>0.12671890418634932</v>
      </c>
      <c r="Q61" s="120" t="e" vm="8">
        <v>#VALUE!</v>
      </c>
      <c r="R61" s="105">
        <v>0</v>
      </c>
      <c r="S61" s="117">
        <f t="shared" si="9"/>
        <v>0</v>
      </c>
      <c r="T61" s="105">
        <v>238.3</v>
      </c>
      <c r="U61" s="117">
        <f t="shared" si="10"/>
        <v>0.10169939996073712</v>
      </c>
    </row>
    <row r="62" spans="11:21" s="1" customFormat="1" ht="16.5" thickTop="1" thickBot="1" x14ac:dyDescent="0.3">
      <c r="L62" s="94">
        <f>+SUM(L54:L61)</f>
        <v>505308</v>
      </c>
      <c r="M62" s="126">
        <f>+SUM(M54:M61)</f>
        <v>1.0000000000000002</v>
      </c>
      <c r="N62" s="127">
        <f>+SUM(N54:N61)</f>
        <v>1941.6439999999998</v>
      </c>
      <c r="O62" s="102">
        <f>+SUM(O54:O61)</f>
        <v>1</v>
      </c>
      <c r="Q62" s="128" t="s">
        <v>405</v>
      </c>
      <c r="R62" s="129">
        <f>+L38-SUM(R54:R61)</f>
        <v>101022.14999999991</v>
      </c>
      <c r="S62" s="130">
        <f t="shared" si="9"/>
        <v>0.11676283040392227</v>
      </c>
      <c r="T62" s="129">
        <f>+L39-SUM(T54:T61)</f>
        <v>382.77999999999975</v>
      </c>
      <c r="U62" s="130">
        <f>+T62/$T$63</f>
        <v>0.1633591956230421</v>
      </c>
    </row>
    <row r="63" spans="11:21" s="1" customFormat="1" ht="15.75" thickTop="1" x14ac:dyDescent="0.25">
      <c r="R63" s="94">
        <f>+SUM(R54:R62)</f>
        <v>865191</v>
      </c>
      <c r="S63" s="117">
        <f>+SUM(S54:S62)</f>
        <v>0.99999999999999978</v>
      </c>
      <c r="T63" s="94">
        <f>+SUM(T54:T62)</f>
        <v>2343.1799999999998</v>
      </c>
      <c r="U63" s="117">
        <f>+SUM(U54:U62)</f>
        <v>0.99999999999999989</v>
      </c>
    </row>
    <row r="64" spans="11:21" s="1" customFormat="1" x14ac:dyDescent="0.25"/>
    <row r="65" spans="11:22" s="1" customFormat="1" x14ac:dyDescent="0.25"/>
    <row r="66" spans="11:22" s="1" customFormat="1" ht="15.75" thickBot="1" x14ac:dyDescent="0.3">
      <c r="K66" s="265" t="s">
        <v>406</v>
      </c>
      <c r="L66" s="265"/>
      <c r="M66" s="265"/>
      <c r="N66" s="265"/>
      <c r="O66" s="265"/>
      <c r="Q66" s="265" t="s">
        <v>407</v>
      </c>
      <c r="R66" s="265"/>
      <c r="S66" s="265"/>
      <c r="T66" s="265"/>
      <c r="U66" s="265"/>
    </row>
    <row r="67" spans="11:22" s="1" customFormat="1" ht="15.75" thickTop="1" x14ac:dyDescent="0.25">
      <c r="L67" s="78" t="s">
        <v>400</v>
      </c>
      <c r="M67" s="131" t="s">
        <v>403</v>
      </c>
      <c r="N67" s="78" t="s">
        <v>404</v>
      </c>
      <c r="O67" s="78" t="s">
        <v>403</v>
      </c>
      <c r="R67" s="78" t="s">
        <v>400</v>
      </c>
      <c r="S67" s="131" t="s">
        <v>403</v>
      </c>
      <c r="T67" s="78" t="s">
        <v>404</v>
      </c>
      <c r="U67" s="78" t="s">
        <v>403</v>
      </c>
    </row>
    <row r="68" spans="11:22" s="1" customFormat="1" x14ac:dyDescent="0.25">
      <c r="K68" s="1" t="s">
        <v>79</v>
      </c>
      <c r="L68" s="109">
        <f>+SUMIF($F$5:$F$19,K68,$H$5:$H$19)</f>
        <v>83964</v>
      </c>
      <c r="M68" s="132">
        <f>+L68/$L$71</f>
        <v>0.16616400294473865</v>
      </c>
      <c r="N68" s="109">
        <f>+SUMIF($F$5:$F$19,K68,$J$5:$J$19)</f>
        <v>12.950000000000001</v>
      </c>
      <c r="O68" s="133">
        <f>+N68/$N$71</f>
        <v>6.6696057567710671E-3</v>
      </c>
      <c r="Q68" s="1" t="s">
        <v>79</v>
      </c>
      <c r="R68" s="134">
        <v>116160</v>
      </c>
      <c r="S68" s="132">
        <f>+R68/$R$72</f>
        <v>0.14617664269399927</v>
      </c>
      <c r="T68" s="134">
        <f>12.9*1000/365</f>
        <v>35.342465753424655</v>
      </c>
      <c r="U68" s="135">
        <f>+T68/T72</f>
        <v>3.3974065877791386E-2</v>
      </c>
    </row>
    <row r="69" spans="11:22" s="1" customFormat="1" x14ac:dyDescent="0.25">
      <c r="K69" s="1" t="s">
        <v>299</v>
      </c>
      <c r="L69" s="109">
        <f>+SUMIF($F$5:$F$19,K69,$H$5:$H$19)</f>
        <v>0</v>
      </c>
      <c r="M69" s="132">
        <f t="shared" ref="M69:M70" si="11">+L69/$L$71</f>
        <v>0</v>
      </c>
      <c r="N69" s="109">
        <f>+SUMIF($F$5:$F$19,K69,$J$5:$J$19)</f>
        <v>246.04300000000001</v>
      </c>
      <c r="O69" s="133">
        <f t="shared" ref="O69:O70" si="12">+N69/$N$71</f>
        <v>0.12671890418634932</v>
      </c>
      <c r="Q69" s="1" t="s">
        <v>299</v>
      </c>
      <c r="R69" s="134">
        <v>0</v>
      </c>
      <c r="S69" s="132">
        <f>+R69/$R$72</f>
        <v>0</v>
      </c>
      <c r="T69" s="134">
        <f>248*1000/365</f>
        <v>679.45205479452056</v>
      </c>
      <c r="U69" s="135">
        <f>+T69/T72</f>
        <v>0.65314483237924537</v>
      </c>
      <c r="V69" s="102"/>
    </row>
    <row r="70" spans="11:22" s="1" customFormat="1" ht="15.75" thickBot="1" x14ac:dyDescent="0.3">
      <c r="K70" s="136" t="s">
        <v>28</v>
      </c>
      <c r="L70" s="112">
        <f>+SUMIF($F$5:$F$19,K70,$H$5:$H$19)</f>
        <v>421344</v>
      </c>
      <c r="M70" s="137">
        <f t="shared" si="11"/>
        <v>0.83383599705526135</v>
      </c>
      <c r="N70" s="112">
        <f>+SUMIF($F$5:$F$19,K70,$J$5:$J$19)</f>
        <v>1682.6509999999998</v>
      </c>
      <c r="O70" s="138">
        <f t="shared" si="12"/>
        <v>0.86661149005687965</v>
      </c>
      <c r="Q70" s="1" t="s">
        <v>28</v>
      </c>
      <c r="R70" s="139">
        <v>537311</v>
      </c>
      <c r="S70" s="132">
        <f t="shared" ref="S70" si="13">+R70/$R$72</f>
        <v>0.67615631940905174</v>
      </c>
      <c r="T70" s="140">
        <f>76*1000/365</f>
        <v>208.21917808219177</v>
      </c>
      <c r="U70" s="102">
        <f>+T70/T72</f>
        <v>0.20015728734202679</v>
      </c>
    </row>
    <row r="71" spans="11:22" s="1" customFormat="1" ht="16.5" thickTop="1" thickBot="1" x14ac:dyDescent="0.3">
      <c r="L71" s="141">
        <f>+SUM(L68:L70)</f>
        <v>505308</v>
      </c>
      <c r="M71" s="132">
        <f t="shared" ref="M71:O71" si="14">+SUM(M68:M70)</f>
        <v>1</v>
      </c>
      <c r="N71" s="141">
        <f t="shared" si="14"/>
        <v>1941.6439999999998</v>
      </c>
      <c r="O71" s="141">
        <f t="shared" si="14"/>
        <v>1</v>
      </c>
      <c r="Q71" s="142" t="s">
        <v>408</v>
      </c>
      <c r="R71" s="143">
        <f>794655-(R70+R68+R69)</f>
        <v>141184</v>
      </c>
      <c r="S71" s="144">
        <f>+R71/R72</f>
        <v>0.17766703789694899</v>
      </c>
      <c r="T71" s="143">
        <f>+T72-(T68+T69+T70)</f>
        <v>117.26407914764081</v>
      </c>
      <c r="U71" s="145">
        <f>+T71/T72</f>
        <v>0.11272381440093643</v>
      </c>
    </row>
    <row r="72" spans="11:22" s="1" customFormat="1" ht="15.75" thickTop="1" x14ac:dyDescent="0.25">
      <c r="R72" s="146">
        <f>+SUM(R68:R71)</f>
        <v>794655</v>
      </c>
      <c r="S72" s="147">
        <f>+SUM(S68:S71)</f>
        <v>1</v>
      </c>
      <c r="T72" s="148">
        <f>(248+126.5)*1000/12/30</f>
        <v>1040.2777777777778</v>
      </c>
      <c r="U72" s="102">
        <f>+SUM(U68:U71)</f>
        <v>1</v>
      </c>
    </row>
    <row r="73" spans="11:22" s="1" customFormat="1" x14ac:dyDescent="0.25">
      <c r="T73" s="106"/>
    </row>
    <row r="74" spans="11:22" s="1" customFormat="1" x14ac:dyDescent="0.25"/>
    <row r="75" spans="11:22" s="1" customFormat="1" ht="15.75" thickBot="1" x14ac:dyDescent="0.3">
      <c r="K75" s="270" t="s">
        <v>409</v>
      </c>
      <c r="L75" s="270"/>
      <c r="M75" s="270"/>
      <c r="N75" s="270"/>
      <c r="O75" s="270"/>
      <c r="Q75" s="265" t="s">
        <v>410</v>
      </c>
      <c r="R75" s="265"/>
      <c r="S75" s="265"/>
      <c r="T75" s="265"/>
      <c r="U75" s="265"/>
    </row>
    <row r="76" spans="11:22" s="1" customFormat="1" ht="16.5" thickTop="1" thickBot="1" x14ac:dyDescent="0.3">
      <c r="L76" s="77" t="s">
        <v>411</v>
      </c>
      <c r="M76" s="78" t="s">
        <v>403</v>
      </c>
      <c r="N76" s="77" t="s">
        <v>412</v>
      </c>
      <c r="O76" s="78" t="s">
        <v>403</v>
      </c>
      <c r="Q76" s="149"/>
      <c r="R76" s="150" t="s">
        <v>411</v>
      </c>
      <c r="S76" s="151" t="s">
        <v>403</v>
      </c>
      <c r="T76" s="150" t="s">
        <v>412</v>
      </c>
      <c r="U76" s="151"/>
    </row>
    <row r="77" spans="11:22" s="1" customFormat="1" ht="15.75" thickTop="1" x14ac:dyDescent="0.25">
      <c r="K77" s="120" t="e" vm="1">
        <v>#VALUE!</v>
      </c>
      <c r="L77" s="152">
        <f t="shared" ref="L77:L84" si="15">+SUMIF($C$5:$C$19,K77,$S$5:$S$19)</f>
        <v>780.24166600000001</v>
      </c>
      <c r="M77" s="153">
        <f t="shared" ref="M77:M84" si="16">+L77/$L$86</f>
        <v>0.68232048572355875</v>
      </c>
      <c r="N77" s="154">
        <f t="shared" ref="N77:N84" si="17">+SUMIF($C$5:$C$19,K77,$T$5:$T$19)</f>
        <v>0</v>
      </c>
      <c r="O77" s="119">
        <f>+N77/$N$86</f>
        <v>0</v>
      </c>
      <c r="Q77" s="120" t="e" vm="1">
        <v>#VALUE!</v>
      </c>
      <c r="R77" s="155">
        <f>888415605/1000000</f>
        <v>888.41560500000003</v>
      </c>
      <c r="S77" s="153">
        <f t="shared" ref="S77:S85" si="18">+R77/$R$86</f>
        <v>0.45367392396496903</v>
      </c>
      <c r="T77" s="156">
        <f>17022745/1000000</f>
        <v>17.022745</v>
      </c>
      <c r="U77" s="119">
        <f t="shared" ref="U77:U85" si="19">+T77/$T$86</f>
        <v>4.5011767109696139E-3</v>
      </c>
    </row>
    <row r="78" spans="11:22" s="1" customFormat="1" x14ac:dyDescent="0.25">
      <c r="K78" s="120" t="e" vm="2">
        <v>#VALUE!</v>
      </c>
      <c r="L78" s="152">
        <f t="shared" si="15"/>
        <v>102.289863</v>
      </c>
      <c r="M78" s="153">
        <f t="shared" si="16"/>
        <v>8.9452373601842841E-2</v>
      </c>
      <c r="N78" s="154">
        <f t="shared" si="17"/>
        <v>13.059627000000001</v>
      </c>
      <c r="O78" s="119">
        <f t="shared" ref="O78:O84" si="20">+N78/$T$86</f>
        <v>3.4532438162205898E-3</v>
      </c>
      <c r="Q78" s="120" t="e" vm="2">
        <v>#VALUE!</v>
      </c>
      <c r="R78" s="155">
        <f>254681686/1000000</f>
        <v>254.68168600000001</v>
      </c>
      <c r="S78" s="153">
        <f t="shared" si="18"/>
        <v>0.1300544916133414</v>
      </c>
      <c r="T78" s="156">
        <f>200646510/1000000</f>
        <v>200.64651000000001</v>
      </c>
      <c r="U78" s="119">
        <f t="shared" si="19"/>
        <v>5.3055215122433642E-2</v>
      </c>
    </row>
    <row r="79" spans="11:22" s="1" customFormat="1" x14ac:dyDescent="0.25">
      <c r="K79" s="120" t="e" vm="3">
        <v>#VALUE!</v>
      </c>
      <c r="L79" s="152">
        <f t="shared" si="15"/>
        <v>47.828505</v>
      </c>
      <c r="M79" s="153">
        <f t="shared" si="16"/>
        <v>4.1825975444679288E-2</v>
      </c>
      <c r="N79" s="154">
        <f t="shared" si="17"/>
        <v>0</v>
      </c>
      <c r="O79" s="119">
        <f t="shared" si="20"/>
        <v>0</v>
      </c>
      <c r="Q79" s="120" t="e" vm="3">
        <v>#VALUE!</v>
      </c>
      <c r="R79" s="155">
        <f>67847887/1000000</f>
        <v>67.847887</v>
      </c>
      <c r="S79" s="153">
        <f t="shared" si="18"/>
        <v>3.4646866798362701E-2</v>
      </c>
      <c r="T79" s="156">
        <f>4989606/1000000</f>
        <v>4.9896060000000002</v>
      </c>
      <c r="U79" s="119">
        <f t="shared" si="19"/>
        <v>1.3193582071583784E-3</v>
      </c>
    </row>
    <row r="80" spans="11:22" s="1" customFormat="1" x14ac:dyDescent="0.25">
      <c r="K80" s="120" t="e" vm="4">
        <v>#VALUE!</v>
      </c>
      <c r="L80" s="152">
        <f t="shared" si="15"/>
        <v>33.462980999999999</v>
      </c>
      <c r="M80" s="153">
        <f t="shared" si="16"/>
        <v>2.9263340378541405E-2</v>
      </c>
      <c r="N80" s="154">
        <f t="shared" si="17"/>
        <v>6.0093600000000009</v>
      </c>
      <c r="O80" s="119">
        <f t="shared" si="20"/>
        <v>1.5890029063956701E-3</v>
      </c>
      <c r="Q80" s="120" t="e" vm="4">
        <v>#VALUE!</v>
      </c>
      <c r="R80" s="155">
        <f>8033760/1000000</f>
        <v>8.0337599999999991</v>
      </c>
      <c r="S80" s="153">
        <f t="shared" si="18"/>
        <v>4.1024801938196586E-3</v>
      </c>
      <c r="T80" s="156">
        <v>0</v>
      </c>
      <c r="U80" s="119">
        <f t="shared" si="19"/>
        <v>0</v>
      </c>
    </row>
    <row r="81" spans="11:21" s="1" customFormat="1" x14ac:dyDescent="0.25">
      <c r="K81" s="120" t="e" vm="5">
        <v>#VALUE!</v>
      </c>
      <c r="L81" s="152">
        <f t="shared" si="15"/>
        <v>29.106705999999999</v>
      </c>
      <c r="M81" s="153">
        <f t="shared" si="16"/>
        <v>2.545378264345706E-2</v>
      </c>
      <c r="N81" s="154">
        <f t="shared" si="17"/>
        <v>0</v>
      </c>
      <c r="O81" s="119">
        <f t="shared" si="20"/>
        <v>0</v>
      </c>
      <c r="Q81" s="120" t="e" vm="5">
        <v>#VALUE!</v>
      </c>
      <c r="R81" s="155">
        <f>59611739/1000000</f>
        <v>59.611739</v>
      </c>
      <c r="S81" s="153">
        <f t="shared" si="18"/>
        <v>3.0441036148285101E-2</v>
      </c>
      <c r="T81" s="156">
        <f>1702956/1000000</f>
        <v>1.7029559999999999</v>
      </c>
      <c r="U81" s="119">
        <f t="shared" si="19"/>
        <v>4.5029787422686348E-4</v>
      </c>
    </row>
    <row r="82" spans="11:21" s="1" customFormat="1" x14ac:dyDescent="0.25">
      <c r="K82" s="120" t="e" vm="6">
        <v>#VALUE!</v>
      </c>
      <c r="L82" s="152">
        <f t="shared" si="15"/>
        <v>25.150981999999999</v>
      </c>
      <c r="M82" s="153">
        <f t="shared" si="16"/>
        <v>2.1994506320897354E-2</v>
      </c>
      <c r="N82" s="154">
        <f t="shared" si="17"/>
        <v>0</v>
      </c>
      <c r="O82" s="119">
        <f t="shared" si="20"/>
        <v>0</v>
      </c>
      <c r="Q82" s="120" t="e" vm="6">
        <v>#VALUE!</v>
      </c>
      <c r="R82" s="155">
        <f>61421419/1000000</f>
        <v>61.421419</v>
      </c>
      <c r="S82" s="153">
        <f t="shared" si="18"/>
        <v>3.1365158397039301E-2</v>
      </c>
      <c r="T82" s="156">
        <f>176382695/1000000</f>
        <v>176.38269500000001</v>
      </c>
      <c r="U82" s="119">
        <f t="shared" si="19"/>
        <v>4.6639345120428964E-2</v>
      </c>
    </row>
    <row r="83" spans="11:21" s="1" customFormat="1" x14ac:dyDescent="0.25">
      <c r="K83" s="120" t="e" vm="7">
        <v>#VALUE!</v>
      </c>
      <c r="L83" s="152">
        <f t="shared" si="15"/>
        <v>125.431301</v>
      </c>
      <c r="M83" s="153">
        <f t="shared" si="16"/>
        <v>0.10968953588702338</v>
      </c>
      <c r="N83" s="154">
        <f t="shared" si="17"/>
        <v>1979.4402600000001</v>
      </c>
      <c r="O83" s="119">
        <f t="shared" si="20"/>
        <v>0.52340620734597365</v>
      </c>
      <c r="Q83" s="120" t="e" vm="7">
        <v>#VALUE!</v>
      </c>
      <c r="R83" s="155">
        <f>380888372/1000000</f>
        <v>380.888372</v>
      </c>
      <c r="S83" s="153">
        <f t="shared" si="18"/>
        <v>0.19450257440926969</v>
      </c>
      <c r="T83" s="156">
        <f>2216125271/1000000</f>
        <v>2216.1252709999999</v>
      </c>
      <c r="U83" s="119">
        <f t="shared" si="19"/>
        <v>0.58599077049068304</v>
      </c>
    </row>
    <row r="84" spans="11:21" s="1" customFormat="1" ht="15.75" thickBot="1" x14ac:dyDescent="0.3">
      <c r="K84" s="157" t="e" vm="8">
        <v>#VALUE!</v>
      </c>
      <c r="L84" s="158">
        <f t="shared" si="15"/>
        <v>0</v>
      </c>
      <c r="M84" s="159">
        <f t="shared" si="16"/>
        <v>0</v>
      </c>
      <c r="N84" s="160">
        <f t="shared" si="17"/>
        <v>851.68370000000004</v>
      </c>
      <c r="O84" s="161">
        <f t="shared" si="20"/>
        <v>0.22520332857905298</v>
      </c>
      <c r="Q84" s="120" t="e" vm="8">
        <v>#VALUE!</v>
      </c>
      <c r="R84" s="155">
        <v>0</v>
      </c>
      <c r="S84" s="153">
        <f t="shared" si="18"/>
        <v>0</v>
      </c>
      <c r="T84" s="156">
        <f>583846226/1000000</f>
        <v>583.846226</v>
      </c>
      <c r="U84" s="119">
        <f t="shared" si="19"/>
        <v>0.1543813900319074</v>
      </c>
    </row>
    <row r="85" spans="11:21" s="1" customFormat="1" ht="16.5" thickTop="1" thickBot="1" x14ac:dyDescent="0.3">
      <c r="M85" s="60" t="s">
        <v>413</v>
      </c>
      <c r="N85" s="60"/>
      <c r="O85" s="60" t="s">
        <v>413</v>
      </c>
      <c r="Q85" s="128" t="s">
        <v>405</v>
      </c>
      <c r="R85" s="162">
        <f>+R86-SUM(R77:R84)</f>
        <v>237.36858400000028</v>
      </c>
      <c r="S85" s="163">
        <f t="shared" si="18"/>
        <v>0.12121346847491325</v>
      </c>
      <c r="T85" s="164">
        <f>+T86-SUM(T77:T84)</f>
        <v>581.12729399999989</v>
      </c>
      <c r="U85" s="165">
        <f t="shared" si="19"/>
        <v>0.15366244644219196</v>
      </c>
    </row>
    <row r="86" spans="11:21" s="1" customFormat="1" ht="15.75" thickTop="1" x14ac:dyDescent="0.25">
      <c r="K86" s="28" t="s">
        <v>390</v>
      </c>
      <c r="L86" s="166">
        <f>+SUM(S5:S19)</f>
        <v>1143.5120039999999</v>
      </c>
      <c r="M86" s="167">
        <f>+L86/R86</f>
        <v>0.58394019087015625</v>
      </c>
      <c r="N86" s="166">
        <f>+SUM(T5:T19)</f>
        <v>2850.1929470000005</v>
      </c>
      <c r="O86" s="167">
        <f>+N86/T86</f>
        <v>0.75365178264764299</v>
      </c>
      <c r="Q86" s="28" t="s">
        <v>414</v>
      </c>
      <c r="R86" s="168">
        <f>1958269052/1000000</f>
        <v>1958.2690520000001</v>
      </c>
      <c r="S86" s="167">
        <v>1</v>
      </c>
      <c r="T86" s="169">
        <f>3781843303/1000000</f>
        <v>3781.8433030000001</v>
      </c>
      <c r="U86" s="167">
        <v>1</v>
      </c>
    </row>
    <row r="87" spans="11:21" s="1" customFormat="1" ht="15.75" thickBot="1" x14ac:dyDescent="0.3">
      <c r="K87" s="170" t="s">
        <v>415</v>
      </c>
      <c r="L87" s="171">
        <f>+SUMIF($D$5:$D$19,"ECP",S5:S19)</f>
        <v>881.67837800000007</v>
      </c>
      <c r="M87" s="172">
        <f>+L87/R87</f>
        <v>0.72932283729009861</v>
      </c>
      <c r="N87" s="171">
        <f>+SUMIF($D$5:$D$19,"ECP",T5:T19)</f>
        <v>1217.0778270000001</v>
      </c>
      <c r="O87" s="172">
        <f>+N87/T87</f>
        <v>0.40502027534293078</v>
      </c>
      <c r="Q87" s="170" t="s">
        <v>30</v>
      </c>
      <c r="R87" s="173">
        <f>1727*0.7</f>
        <v>1208.8999999999999</v>
      </c>
      <c r="S87" s="172">
        <f>+R87/R86</f>
        <v>0.6173309018826284</v>
      </c>
      <c r="T87" s="174">
        <f>1727*0.3*5800*(1/1000)</f>
        <v>3004.98</v>
      </c>
      <c r="U87" s="172">
        <f>+T87/T86</f>
        <v>0.79458077959397677</v>
      </c>
    </row>
    <row r="88" spans="11:21" s="1" customFormat="1" ht="15.75" thickTop="1" x14ac:dyDescent="0.25">
      <c r="K88" s="1" t="s">
        <v>416</v>
      </c>
      <c r="L88" s="154">
        <f>+SUMIF($D$5:$D$19,"ECP",S5:S19)+SUMIF($D$5:$D$19,"EQUION*",S5:S19)</f>
        <v>971.22755100000006</v>
      </c>
      <c r="M88" s="111">
        <f>+L88/R87</f>
        <v>0.80339775911986122</v>
      </c>
      <c r="N88" s="154">
        <f>+SUMIF($D$5:$D$19,"ECP",T5:T19)++SUMIF($D$5:$D$19,"EQUION*",T5:T19)</f>
        <v>1998.5092470000002</v>
      </c>
      <c r="O88" s="147">
        <f>+N88/T87</f>
        <v>0.66506573987181283</v>
      </c>
    </row>
    <row r="89" spans="11:21" s="1" customFormat="1" x14ac:dyDescent="0.25"/>
    <row r="90" spans="11:21" s="1" customFormat="1" x14ac:dyDescent="0.25">
      <c r="L90" s="95"/>
    </row>
    <row r="91" spans="11:21" s="1" customFormat="1" ht="15.75" x14ac:dyDescent="0.25">
      <c r="Q91" s="267" t="s">
        <v>417</v>
      </c>
      <c r="R91" s="267"/>
      <c r="S91" s="267"/>
      <c r="T91" s="267"/>
      <c r="U91" s="267"/>
    </row>
    <row r="92" spans="11:21" s="1" customFormat="1" ht="15.75" thickBot="1" x14ac:dyDescent="0.3">
      <c r="Q92" s="170"/>
      <c r="R92" s="170" t="s">
        <v>418</v>
      </c>
      <c r="S92" s="170"/>
      <c r="T92" s="170" t="s">
        <v>419</v>
      </c>
      <c r="U92" s="170"/>
    </row>
    <row r="93" spans="11:21" s="1" customFormat="1" ht="15.75" thickTop="1" x14ac:dyDescent="0.25">
      <c r="Q93" s="84" t="s">
        <v>414</v>
      </c>
      <c r="R93" s="1">
        <v>492</v>
      </c>
    </row>
    <row r="94" spans="11:21" s="1" customFormat="1" x14ac:dyDescent="0.25">
      <c r="Q94" s="84" t="s">
        <v>420</v>
      </c>
      <c r="R94" s="1">
        <v>42</v>
      </c>
    </row>
    <row r="95" spans="11:21" s="1" customFormat="1" x14ac:dyDescent="0.25">
      <c r="Q95" s="84" t="s">
        <v>421</v>
      </c>
      <c r="R95" s="1">
        <v>450</v>
      </c>
    </row>
    <row r="96" spans="11:21" s="1" customFormat="1" ht="15.75" thickBot="1" x14ac:dyDescent="0.3">
      <c r="Q96" s="175" t="s">
        <v>422</v>
      </c>
      <c r="R96" s="136"/>
      <c r="S96" s="136"/>
      <c r="T96" s="136"/>
      <c r="U96" s="136"/>
    </row>
    <row r="97" spans="17:22" s="1" customFormat="1" ht="15.75" thickTop="1" x14ac:dyDescent="0.25">
      <c r="Q97" s="84" t="s">
        <v>30</v>
      </c>
    </row>
    <row r="98" spans="17:22" s="1" customFormat="1" x14ac:dyDescent="0.25">
      <c r="Q98" s="84" t="s">
        <v>420</v>
      </c>
    </row>
    <row r="99" spans="17:22" s="1" customFormat="1" x14ac:dyDescent="0.25">
      <c r="Q99" s="84" t="s">
        <v>421</v>
      </c>
    </row>
    <row r="100" spans="17:22" s="1" customFormat="1" ht="15.75" thickBot="1" x14ac:dyDescent="0.3">
      <c r="Q100" s="175" t="s">
        <v>422</v>
      </c>
      <c r="R100" s="136"/>
      <c r="S100" s="136"/>
      <c r="T100" s="136"/>
      <c r="U100" s="136"/>
    </row>
    <row r="101" spans="17:22" s="1" customFormat="1" ht="15.75" thickTop="1" x14ac:dyDescent="0.25"/>
    <row r="102" spans="17:22" s="1" customFormat="1" x14ac:dyDescent="0.25"/>
    <row r="103" spans="17:22" s="1" customFormat="1" x14ac:dyDescent="0.25"/>
    <row r="104" spans="17:22" s="1" customFormat="1" ht="15.75" x14ac:dyDescent="0.25">
      <c r="Q104" s="268" t="s">
        <v>423</v>
      </c>
      <c r="R104" s="268"/>
      <c r="S104" s="268"/>
      <c r="T104" s="268"/>
      <c r="U104" s="268"/>
      <c r="V104" s="268"/>
    </row>
    <row r="105" spans="17:22" s="1" customFormat="1" ht="16.5" thickBot="1" x14ac:dyDescent="0.3">
      <c r="Q105" s="269" t="s">
        <v>424</v>
      </c>
      <c r="R105" s="269"/>
      <c r="S105" s="269"/>
      <c r="T105" s="269"/>
      <c r="U105" s="269"/>
      <c r="V105" s="269"/>
    </row>
    <row r="106" spans="17:22" s="1" customFormat="1" ht="15.75" thickTop="1" x14ac:dyDescent="0.25">
      <c r="Q106" s="78"/>
      <c r="R106" s="78" t="s">
        <v>425</v>
      </c>
      <c r="S106" s="78" t="s">
        <v>426</v>
      </c>
      <c r="T106" s="78" t="s">
        <v>427</v>
      </c>
      <c r="U106" s="78" t="s">
        <v>428</v>
      </c>
      <c r="V106" s="98" t="s">
        <v>429</v>
      </c>
    </row>
    <row r="107" spans="17:22" s="1" customFormat="1" x14ac:dyDescent="0.25">
      <c r="Q107" s="78"/>
      <c r="R107" s="78" t="s">
        <v>430</v>
      </c>
      <c r="S107" s="78" t="s">
        <v>431</v>
      </c>
      <c r="T107" s="78" t="s">
        <v>432</v>
      </c>
      <c r="U107" s="78" t="s">
        <v>433</v>
      </c>
      <c r="V107" s="98" t="s">
        <v>429</v>
      </c>
    </row>
    <row r="108" spans="17:22" s="1" customFormat="1" x14ac:dyDescent="0.25">
      <c r="Q108" s="78">
        <v>2014</v>
      </c>
      <c r="R108" s="78">
        <v>2308</v>
      </c>
      <c r="S108" s="78">
        <v>361</v>
      </c>
      <c r="T108" s="78">
        <v>206</v>
      </c>
      <c r="U108" s="176">
        <f>+T108/S108</f>
        <v>0.5706371191135734</v>
      </c>
      <c r="V108" s="155">
        <f>+R108/S108</f>
        <v>6.3933518005540169</v>
      </c>
    </row>
    <row r="109" spans="17:22" s="1" customFormat="1" x14ac:dyDescent="0.25">
      <c r="Q109" s="78">
        <v>2015</v>
      </c>
      <c r="R109" s="78">
        <v>2002</v>
      </c>
      <c r="S109" s="78">
        <v>367</v>
      </c>
      <c r="T109" s="78">
        <v>48</v>
      </c>
      <c r="U109" s="176">
        <f t="shared" ref="U109:U113" si="21">+T109/S109</f>
        <v>0.13079019073569481</v>
      </c>
      <c r="V109" s="155">
        <f t="shared" ref="V109:V113" si="22">+R109/S109</f>
        <v>5.4550408719346049</v>
      </c>
    </row>
    <row r="110" spans="17:22" s="1" customFormat="1" x14ac:dyDescent="0.25">
      <c r="Q110" s="78">
        <v>2016</v>
      </c>
      <c r="R110" s="78">
        <v>1665</v>
      </c>
      <c r="S110" s="78">
        <v>324</v>
      </c>
      <c r="T110" s="78">
        <v>-20</v>
      </c>
      <c r="U110" s="176">
        <f t="shared" si="21"/>
        <v>-6.1728395061728392E-2</v>
      </c>
      <c r="V110" s="155">
        <f t="shared" si="22"/>
        <v>5.1388888888888893</v>
      </c>
    </row>
    <row r="111" spans="17:22" s="1" customFormat="1" x14ac:dyDescent="0.25">
      <c r="Q111" s="78">
        <v>2017</v>
      </c>
      <c r="R111" s="78">
        <v>1782</v>
      </c>
      <c r="S111" s="78">
        <v>312</v>
      </c>
      <c r="T111" s="78">
        <v>429</v>
      </c>
      <c r="U111" s="176">
        <f t="shared" si="21"/>
        <v>1.375</v>
      </c>
      <c r="V111" s="155">
        <f t="shared" si="22"/>
        <v>5.7115384615384617</v>
      </c>
    </row>
    <row r="112" spans="17:22" s="1" customFormat="1" x14ac:dyDescent="0.25">
      <c r="Q112" s="78">
        <v>2018</v>
      </c>
      <c r="R112" s="78">
        <v>1958</v>
      </c>
      <c r="S112" s="78">
        <v>316</v>
      </c>
      <c r="T112" s="78">
        <v>492</v>
      </c>
      <c r="U112" s="176">
        <f t="shared" si="21"/>
        <v>1.5569620253164558</v>
      </c>
      <c r="V112" s="155">
        <f t="shared" si="22"/>
        <v>6.1962025316455698</v>
      </c>
    </row>
    <row r="113" spans="17:22" s="1" customFormat="1" x14ac:dyDescent="0.25">
      <c r="Q113" s="78">
        <v>2019</v>
      </c>
      <c r="R113" s="78">
        <v>2041</v>
      </c>
      <c r="S113" s="78">
        <v>323</v>
      </c>
      <c r="T113" s="78">
        <v>406</v>
      </c>
      <c r="U113" s="176">
        <f t="shared" si="21"/>
        <v>1.2569659442724459</v>
      </c>
      <c r="V113" s="155">
        <f t="shared" si="22"/>
        <v>6.3188854489164088</v>
      </c>
    </row>
    <row r="114" spans="17:22" s="1" customFormat="1" ht="16.5" thickBot="1" x14ac:dyDescent="0.3">
      <c r="Q114" s="269" t="s">
        <v>434</v>
      </c>
      <c r="R114" s="269"/>
      <c r="S114" s="269"/>
      <c r="T114" s="269"/>
      <c r="U114" s="269"/>
      <c r="V114" s="269"/>
    </row>
    <row r="115" spans="17:22" s="1" customFormat="1" ht="15.75" thickTop="1" x14ac:dyDescent="0.25">
      <c r="Q115" s="78"/>
      <c r="R115" s="78" t="s">
        <v>425</v>
      </c>
      <c r="S115" s="78" t="s">
        <v>426</v>
      </c>
      <c r="T115" s="78" t="s">
        <v>427</v>
      </c>
      <c r="U115" s="78" t="s">
        <v>428</v>
      </c>
      <c r="V115" s="98" t="s">
        <v>429</v>
      </c>
    </row>
    <row r="116" spans="17:22" s="1" customFormat="1" x14ac:dyDescent="0.25">
      <c r="Q116" s="78"/>
      <c r="R116" s="78" t="s">
        <v>430</v>
      </c>
      <c r="S116" s="78" t="s">
        <v>431</v>
      </c>
      <c r="T116" s="78" t="s">
        <v>432</v>
      </c>
      <c r="U116" s="78" t="s">
        <v>433</v>
      </c>
      <c r="V116" s="98" t="s">
        <v>429</v>
      </c>
    </row>
    <row r="117" spans="17:22" s="1" customFormat="1" x14ac:dyDescent="0.25">
      <c r="Q117" s="78">
        <v>2014</v>
      </c>
      <c r="R117" s="78">
        <v>4758</v>
      </c>
      <c r="S117" s="78">
        <v>421</v>
      </c>
      <c r="T117" s="78">
        <v>-296</v>
      </c>
      <c r="U117" s="176">
        <f>+T117/S117</f>
        <v>-0.70308788598574823</v>
      </c>
      <c r="V117" s="155">
        <f>+R117/S117</f>
        <v>11.30166270783848</v>
      </c>
    </row>
    <row r="118" spans="17:22" s="1" customFormat="1" x14ac:dyDescent="0.25">
      <c r="Q118" s="78">
        <v>2015</v>
      </c>
      <c r="R118" s="78">
        <v>4361</v>
      </c>
      <c r="S118" s="78">
        <v>417</v>
      </c>
      <c r="T118" s="78">
        <v>35</v>
      </c>
      <c r="U118" s="176">
        <f t="shared" ref="U118:U122" si="23">+T118/S118</f>
        <v>8.3932853717026384E-2</v>
      </c>
      <c r="V118" s="155">
        <f t="shared" ref="V118:V122" si="24">+R118/S118</f>
        <v>10.458033573141487</v>
      </c>
    </row>
    <row r="119" spans="17:22" s="1" customFormat="1" x14ac:dyDescent="0.25">
      <c r="Q119" s="78">
        <v>2016</v>
      </c>
      <c r="R119" s="78">
        <v>4024</v>
      </c>
      <c r="S119" s="78">
        <v>389</v>
      </c>
      <c r="T119" s="78">
        <v>22</v>
      </c>
      <c r="U119" s="176">
        <f t="shared" si="23"/>
        <v>5.6555269922879174E-2</v>
      </c>
      <c r="V119" s="155">
        <f t="shared" si="24"/>
        <v>10.344473007712082</v>
      </c>
    </row>
    <row r="120" spans="17:22" s="1" customFormat="1" x14ac:dyDescent="0.25">
      <c r="Q120" s="78">
        <v>2017</v>
      </c>
      <c r="R120" s="78">
        <v>3896</v>
      </c>
      <c r="S120" s="78">
        <v>332</v>
      </c>
      <c r="T120" s="78">
        <v>204</v>
      </c>
      <c r="U120" s="176">
        <f t="shared" si="23"/>
        <v>0.61445783132530118</v>
      </c>
      <c r="V120" s="155">
        <f t="shared" si="24"/>
        <v>11.734939759036145</v>
      </c>
    </row>
    <row r="121" spans="17:22" s="1" customFormat="1" x14ac:dyDescent="0.25">
      <c r="Q121" s="78">
        <v>2018</v>
      </c>
      <c r="R121" s="78">
        <v>3782</v>
      </c>
      <c r="S121" s="78">
        <v>386</v>
      </c>
      <c r="T121" s="78">
        <v>272</v>
      </c>
      <c r="U121" s="176">
        <f t="shared" si="23"/>
        <v>0.70466321243523311</v>
      </c>
      <c r="V121" s="155">
        <f t="shared" si="24"/>
        <v>9.7979274611398957</v>
      </c>
    </row>
    <row r="122" spans="17:22" s="1" customFormat="1" ht="15.75" thickBot="1" x14ac:dyDescent="0.3">
      <c r="Q122" s="97">
        <v>2019</v>
      </c>
      <c r="R122" s="97">
        <v>3163</v>
      </c>
      <c r="S122" s="97">
        <v>391</v>
      </c>
      <c r="T122" s="97">
        <v>-228</v>
      </c>
      <c r="U122" s="177">
        <f t="shared" si="23"/>
        <v>-0.58312020460358061</v>
      </c>
      <c r="V122" s="178">
        <f t="shared" si="24"/>
        <v>8.0895140664961644</v>
      </c>
    </row>
    <row r="123" spans="17:22" s="1" customFormat="1" ht="15.75" thickTop="1" x14ac:dyDescent="0.25"/>
    <row r="124" spans="17:22" s="1" customFormat="1" x14ac:dyDescent="0.25"/>
    <row r="125" spans="17:22" s="1" customFormat="1" x14ac:dyDescent="0.25"/>
    <row r="126" spans="17:22" s="1" customFormat="1" x14ac:dyDescent="0.25"/>
    <row r="127" spans="17:22" s="1" customFormat="1" x14ac:dyDescent="0.25"/>
    <row r="128" spans="17:22"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sheetData>
  <mergeCells count="16">
    <mergeCell ref="Q91:U91"/>
    <mergeCell ref="Q104:V104"/>
    <mergeCell ref="Q105:V105"/>
    <mergeCell ref="Q114:V114"/>
    <mergeCell ref="K52:O52"/>
    <mergeCell ref="Q52:U52"/>
    <mergeCell ref="K66:O66"/>
    <mergeCell ref="Q66:U66"/>
    <mergeCell ref="K75:O75"/>
    <mergeCell ref="Q75:U75"/>
    <mergeCell ref="U3:W3"/>
    <mergeCell ref="K28:M28"/>
    <mergeCell ref="K36:N36"/>
    <mergeCell ref="Q37:T37"/>
    <mergeCell ref="K43:M43"/>
    <mergeCell ref="Q43:S43"/>
  </mergeCells>
  <conditionalFormatting sqref="F5">
    <cfRule type="containsBlanks" dxfId="43" priority="31">
      <formula>LEN(TRIM(F5))=0</formula>
    </cfRule>
  </conditionalFormatting>
  <conditionalFormatting sqref="M5:N5">
    <cfRule type="containsText" dxfId="42" priority="28" operator="containsText" text="Oil and Gas">
      <formula>NOT(ISERROR(SEARCH("Oil and Gas",M5)))</formula>
    </cfRule>
    <cfRule type="containsText" dxfId="41" priority="29" operator="containsText" text="Gas">
      <formula>NOT(ISERROR(SEARCH("Gas",M5)))</formula>
    </cfRule>
    <cfRule type="containsText" dxfId="40" priority="30" operator="containsText" text="Oil">
      <formula>NOT(ISERROR(SEARCH("Oil",M5)))</formula>
    </cfRule>
  </conditionalFormatting>
  <conditionalFormatting sqref="K22:K24">
    <cfRule type="containsText" dxfId="39" priority="25" operator="containsText" text="Oil and Gas">
      <formula>NOT(ISERROR(SEARCH("Oil and Gas",K22)))</formula>
    </cfRule>
    <cfRule type="containsText" dxfId="38" priority="26" operator="containsText" text="Gas">
      <formula>NOT(ISERROR(SEARCH("Gas",K22)))</formula>
    </cfRule>
    <cfRule type="containsText" dxfId="37" priority="27" operator="containsText" text="Oil">
      <formula>NOT(ISERROR(SEARCH("Oil",K22)))</formula>
    </cfRule>
  </conditionalFormatting>
  <conditionalFormatting sqref="F6:F19">
    <cfRule type="containsBlanks" dxfId="36" priority="8">
      <formula>LEN(TRIM(F6))=0</formula>
    </cfRule>
  </conditionalFormatting>
  <conditionalFormatting sqref="M6:N19">
    <cfRule type="containsText" dxfId="35" priority="5" operator="containsText" text="Oil and Gas">
      <formula>NOT(ISERROR(SEARCH("Oil and Gas",M6)))</formula>
    </cfRule>
    <cfRule type="containsText" dxfId="34" priority="6" operator="containsText" text="Gas">
      <formula>NOT(ISERROR(SEARCH("Gas",M6)))</formula>
    </cfRule>
    <cfRule type="containsText" dxfId="33" priority="7" operator="containsText" text="Oil">
      <formula>NOT(ISERROR(SEARCH("Oil",M6)))</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21" operator="containsText" id="{C797FD9D-5DC1-448A-B187-59DC661596FC}">
            <xm:f>NOT(ISERROR(SEARCH($K$33,O5)))</xm:f>
            <xm:f>$K$33</xm:f>
            <x14:dxf>
              <fill>
                <patternFill>
                  <bgColor theme="7" tint="0.79998168889431442"/>
                </patternFill>
              </fill>
            </x14:dxf>
          </x14:cfRule>
          <x14:cfRule type="containsText" priority="22" operator="containsText" id="{8EF5AE3E-F0D7-4314-8DBE-21B4A518D8F9}">
            <xm:f>NOT(ISERROR(SEARCH($K$32,O5)))</xm:f>
            <xm:f>$K$32</xm:f>
            <x14:dxf>
              <fill>
                <patternFill>
                  <bgColor theme="5" tint="0.79998168889431442"/>
                </patternFill>
              </fill>
            </x14:dxf>
          </x14:cfRule>
          <x14:cfRule type="containsText" priority="23" operator="containsText" id="{17DC543E-B68B-4484-8510-5F2DEF23A458}">
            <xm:f>NOT(ISERROR(SEARCH($K$31,O5)))</xm:f>
            <xm:f>$K$31</xm:f>
            <x14:dxf>
              <fill>
                <patternFill>
                  <bgColor theme="0" tint="-0.24994659260841701"/>
                </patternFill>
              </fill>
            </x14:dxf>
          </x14:cfRule>
          <x14:cfRule type="containsText" priority="24" operator="containsText" id="{6029F5FA-0A89-4B19-A4D9-52F6CFC437CE}">
            <xm:f>NOT(ISERROR(SEARCH($K$30,O5)))</xm:f>
            <xm:f>$K$30</xm:f>
            <x14:dxf>
              <fill>
                <patternFill>
                  <bgColor theme="0" tint="-0.34998626667073579"/>
                </patternFill>
              </fill>
            </x14:dxf>
          </x14:cfRule>
          <xm:sqref>O5</xm:sqref>
        </x14:conditionalFormatting>
        <x14:conditionalFormatting xmlns:xm="http://schemas.microsoft.com/office/excel/2006/main">
          <x14:cfRule type="containsText" priority="17" operator="containsText" id="{C8744857-6D46-406F-871B-0694ECBCAFFC}">
            <xm:f>NOT(ISERROR(SEARCH($K$33,K30)))</xm:f>
            <xm:f>$K$33</xm:f>
            <x14:dxf>
              <fill>
                <patternFill>
                  <bgColor theme="7" tint="0.79998168889431442"/>
                </patternFill>
              </fill>
            </x14:dxf>
          </x14:cfRule>
          <x14:cfRule type="containsText" priority="18" operator="containsText" id="{FE641021-A830-44EE-A7A0-1F6E3ADEFB7D}">
            <xm:f>NOT(ISERROR(SEARCH($K$32,K30)))</xm:f>
            <xm:f>$K$32</xm:f>
            <x14:dxf>
              <fill>
                <patternFill>
                  <bgColor theme="5" tint="0.79998168889431442"/>
                </patternFill>
              </fill>
            </x14:dxf>
          </x14:cfRule>
          <x14:cfRule type="containsText" priority="19" operator="containsText" id="{F15B28A0-31F3-42FC-89AE-6EAD61EDFD58}">
            <xm:f>NOT(ISERROR(SEARCH($K$31,K30)))</xm:f>
            <xm:f>$K$31</xm:f>
            <x14:dxf>
              <fill>
                <patternFill>
                  <bgColor theme="0" tint="-0.24994659260841701"/>
                </patternFill>
              </fill>
            </x14:dxf>
          </x14:cfRule>
          <x14:cfRule type="containsText" priority="20" operator="containsText" id="{A1A167A4-1E36-4C45-A213-3B4A9AC3423B}">
            <xm:f>NOT(ISERROR(SEARCH($K$30,K30)))</xm:f>
            <xm:f>$K$30</xm:f>
            <x14:dxf>
              <fill>
                <patternFill>
                  <bgColor theme="0" tint="-0.34998626667073579"/>
                </patternFill>
              </fill>
            </x14:dxf>
          </x14:cfRule>
          <xm:sqref>K30:K33</xm:sqref>
        </x14:conditionalFormatting>
        <x14:conditionalFormatting xmlns:xm="http://schemas.microsoft.com/office/excel/2006/main">
          <x14:cfRule type="containsText" priority="13" operator="containsText" id="{17E8EA9C-8DD4-451A-83AC-788FEDFDC490}">
            <xm:f>NOT(ISERROR(SEARCH($K$33,K45)))</xm:f>
            <xm:f>$K$33</xm:f>
            <x14:dxf>
              <fill>
                <patternFill>
                  <bgColor theme="7" tint="0.79998168889431442"/>
                </patternFill>
              </fill>
            </x14:dxf>
          </x14:cfRule>
          <x14:cfRule type="containsText" priority="14" operator="containsText" id="{24BF8B95-82B5-4872-B10D-B2D29AFF105E}">
            <xm:f>NOT(ISERROR(SEARCH($K$32,K45)))</xm:f>
            <xm:f>$K$32</xm:f>
            <x14:dxf>
              <fill>
                <patternFill>
                  <bgColor theme="5" tint="0.79998168889431442"/>
                </patternFill>
              </fill>
            </x14:dxf>
          </x14:cfRule>
          <x14:cfRule type="containsText" priority="15" operator="containsText" id="{D4FC85CE-674A-4E88-9E90-271FC992DE7A}">
            <xm:f>NOT(ISERROR(SEARCH($K$31,K45)))</xm:f>
            <xm:f>$K$31</xm:f>
            <x14:dxf>
              <fill>
                <patternFill>
                  <bgColor theme="0" tint="-0.24994659260841701"/>
                </patternFill>
              </fill>
            </x14:dxf>
          </x14:cfRule>
          <x14:cfRule type="containsText" priority="16" operator="containsText" id="{B4AA3EC0-4317-4B8C-9132-C35ED79A33A2}">
            <xm:f>NOT(ISERROR(SEARCH($K$30,K45)))</xm:f>
            <xm:f>$K$30</xm:f>
            <x14:dxf>
              <fill>
                <patternFill>
                  <bgColor theme="0" tint="-0.34998626667073579"/>
                </patternFill>
              </fill>
            </x14:dxf>
          </x14:cfRule>
          <xm:sqref>K45:K48</xm:sqref>
        </x14:conditionalFormatting>
        <x14:conditionalFormatting xmlns:xm="http://schemas.microsoft.com/office/excel/2006/main">
          <x14:cfRule type="containsText" priority="9" operator="containsText" id="{FD59FBDB-D632-44D5-9C87-23C74A1E45AE}">
            <xm:f>NOT(ISERROR(SEARCH($K$33,Q45)))</xm:f>
            <xm:f>$K$33</xm:f>
            <x14:dxf>
              <fill>
                <patternFill>
                  <bgColor theme="7" tint="0.79998168889431442"/>
                </patternFill>
              </fill>
            </x14:dxf>
          </x14:cfRule>
          <x14:cfRule type="containsText" priority="10" operator="containsText" id="{B6390874-67D4-489C-9EDC-7C6E20AE92A0}">
            <xm:f>NOT(ISERROR(SEARCH($K$32,Q45)))</xm:f>
            <xm:f>$K$32</xm:f>
            <x14:dxf>
              <fill>
                <patternFill>
                  <bgColor theme="5" tint="0.79998168889431442"/>
                </patternFill>
              </fill>
            </x14:dxf>
          </x14:cfRule>
          <x14:cfRule type="containsText" priority="11" operator="containsText" id="{60E5EF27-AD6F-47F8-BC02-C6E8A03C7062}">
            <xm:f>NOT(ISERROR(SEARCH($K$31,Q45)))</xm:f>
            <xm:f>$K$31</xm:f>
            <x14:dxf>
              <fill>
                <patternFill>
                  <bgColor theme="0" tint="-0.24994659260841701"/>
                </patternFill>
              </fill>
            </x14:dxf>
          </x14:cfRule>
          <x14:cfRule type="containsText" priority="12" operator="containsText" id="{0FF472B3-E22E-4F57-8CFF-1D840DCA51E8}">
            <xm:f>NOT(ISERROR(SEARCH($K$30,Q45)))</xm:f>
            <xm:f>$K$30</xm:f>
            <x14:dxf>
              <fill>
                <patternFill>
                  <bgColor theme="0" tint="-0.34998626667073579"/>
                </patternFill>
              </fill>
            </x14:dxf>
          </x14:cfRule>
          <xm:sqref>Q45:Q48</xm:sqref>
        </x14:conditionalFormatting>
        <x14:conditionalFormatting xmlns:xm="http://schemas.microsoft.com/office/excel/2006/main">
          <x14:cfRule type="containsText" priority="1" operator="containsText" id="{F7DB73E9-3BE5-437C-91FE-75DAAD2CF789}">
            <xm:f>NOT(ISERROR(SEARCH($K$33,O6)))</xm:f>
            <xm:f>$K$33</xm:f>
            <x14:dxf>
              <fill>
                <patternFill>
                  <bgColor theme="7" tint="0.79998168889431442"/>
                </patternFill>
              </fill>
            </x14:dxf>
          </x14:cfRule>
          <x14:cfRule type="containsText" priority="2" operator="containsText" id="{FF9134C8-E496-4A4F-B7F6-7EF982189D50}">
            <xm:f>NOT(ISERROR(SEARCH($K$32,O6)))</xm:f>
            <xm:f>$K$32</xm:f>
            <x14:dxf>
              <fill>
                <patternFill>
                  <bgColor theme="5" tint="0.79998168889431442"/>
                </patternFill>
              </fill>
            </x14:dxf>
          </x14:cfRule>
          <x14:cfRule type="containsText" priority="3" operator="containsText" id="{DC943C0F-438C-4EBA-B68C-3B87DFA7175B}">
            <xm:f>NOT(ISERROR(SEARCH($K$31,O6)))</xm:f>
            <xm:f>$K$31</xm:f>
            <x14:dxf>
              <fill>
                <patternFill>
                  <bgColor theme="0" tint="-0.24994659260841701"/>
                </patternFill>
              </fill>
            </x14:dxf>
          </x14:cfRule>
          <x14:cfRule type="containsText" priority="4" operator="containsText" id="{4EC6C3A9-C204-4A74-A7E9-E015AB49E1F7}">
            <xm:f>NOT(ISERROR(SEARCH($K$30,O6)))</xm:f>
            <xm:f>$K$30</xm:f>
            <x14:dxf>
              <fill>
                <patternFill>
                  <bgColor theme="0" tint="-0.34998626667073579"/>
                </patternFill>
              </fill>
            </x14:dxf>
          </x14:cfRule>
          <xm:sqref>O6:O19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2BB43-6825-4DB9-BDA5-BAD8B9C7CF26}">
  <dimension ref="A2:W49"/>
  <sheetViews>
    <sheetView showGridLines="0" topLeftCell="D1" zoomScale="85" zoomScaleNormal="85" workbookViewId="0">
      <selection activeCell="G26" sqref="G26:K26"/>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8" max="10" width="18.85546875" customWidth="1"/>
    <col min="11" max="11" width="16.28515625" customWidth="1"/>
    <col min="12" max="12" width="6.5703125" customWidth="1"/>
    <col min="13" max="13" width="10.5703125" customWidth="1"/>
    <col min="14" max="14" width="12.28515625" customWidth="1"/>
    <col min="15" max="16" width="20.28515625" customWidth="1"/>
    <col min="17" max="17" width="14.7109375" customWidth="1"/>
    <col min="18" max="20" width="20.28515625" customWidth="1"/>
    <col min="22" max="22" width="5.28515625" customWidth="1"/>
    <col min="23" max="23" width="16.85546875" customWidth="1"/>
    <col min="25" max="25" width="17.7109375" customWidth="1"/>
  </cols>
  <sheetData>
    <row r="2" spans="1:23" ht="15.75" thickBot="1" x14ac:dyDescent="0.3">
      <c r="D2" s="264" t="s">
        <v>381</v>
      </c>
      <c r="E2" s="264"/>
      <c r="F2" s="264"/>
    </row>
    <row r="3" spans="1:23" ht="15.75" thickTop="1" x14ac:dyDescent="0.25">
      <c r="D3" s="98"/>
      <c r="E3" s="98" t="s">
        <v>382</v>
      </c>
      <c r="F3" s="98" t="s">
        <v>383</v>
      </c>
    </row>
    <row r="4" spans="1:23" x14ac:dyDescent="0.25">
      <c r="D4" s="78" t="s">
        <v>384</v>
      </c>
      <c r="E4" s="99">
        <v>0</v>
      </c>
      <c r="F4" s="98">
        <v>10</v>
      </c>
    </row>
    <row r="5" spans="1:23" x14ac:dyDescent="0.25">
      <c r="D5" s="78" t="s">
        <v>385</v>
      </c>
      <c r="E5" s="98">
        <v>10</v>
      </c>
      <c r="F5" s="98">
        <v>22.3</v>
      </c>
    </row>
    <row r="6" spans="1:23" x14ac:dyDescent="0.25">
      <c r="D6" s="78" t="s">
        <v>386</v>
      </c>
      <c r="E6" s="98">
        <v>22.3</v>
      </c>
      <c r="F6" s="98">
        <v>31.1</v>
      </c>
    </row>
    <row r="7" spans="1:23" x14ac:dyDescent="0.25">
      <c r="D7" s="78" t="s">
        <v>387</v>
      </c>
      <c r="E7" s="98">
        <v>31.1</v>
      </c>
      <c r="F7" s="99">
        <v>100</v>
      </c>
    </row>
    <row r="8" spans="1:23" ht="15.75" x14ac:dyDescent="0.25">
      <c r="K8" s="271" t="s">
        <v>448</v>
      </c>
      <c r="L8" s="271"/>
      <c r="M8" s="271"/>
      <c r="N8" s="271"/>
      <c r="O8" s="271"/>
      <c r="P8" s="271"/>
      <c r="Q8" s="271"/>
      <c r="R8" s="271"/>
      <c r="S8" s="183"/>
      <c r="T8" s="183"/>
    </row>
    <row r="9" spans="1:23" ht="30" x14ac:dyDescent="0.25">
      <c r="A9" t="s">
        <v>474</v>
      </c>
      <c r="C9" s="179" t="s">
        <v>341</v>
      </c>
      <c r="D9" s="179" t="s">
        <v>7</v>
      </c>
      <c r="E9" s="179" t="s">
        <v>4</v>
      </c>
      <c r="F9" s="179" t="s">
        <v>5</v>
      </c>
      <c r="G9" s="179" t="s">
        <v>6</v>
      </c>
      <c r="H9" s="181" t="s">
        <v>438</v>
      </c>
      <c r="I9" s="181" t="s">
        <v>436</v>
      </c>
      <c r="J9" s="181" t="s">
        <v>437</v>
      </c>
      <c r="K9" s="179" t="s">
        <v>442</v>
      </c>
      <c r="L9" s="179" t="s">
        <v>439</v>
      </c>
      <c r="M9" s="179" t="s">
        <v>440</v>
      </c>
      <c r="N9" s="179" t="s">
        <v>443</v>
      </c>
      <c r="O9" s="179" t="s">
        <v>444</v>
      </c>
      <c r="P9" s="179" t="s">
        <v>445</v>
      </c>
      <c r="Q9" s="179" t="s">
        <v>446</v>
      </c>
      <c r="R9" s="179" t="s">
        <v>447</v>
      </c>
      <c r="S9" s="179" t="s">
        <v>441</v>
      </c>
      <c r="T9" s="181" t="s">
        <v>450</v>
      </c>
      <c r="U9" s="5" t="s">
        <v>11</v>
      </c>
      <c r="V9" s="5"/>
      <c r="W9" s="5" t="s">
        <v>348</v>
      </c>
    </row>
    <row r="10" spans="1:23" x14ac:dyDescent="0.25">
      <c r="C10" s="76" t="e" vm="1">
        <v>#VALUE!</v>
      </c>
      <c r="D10" s="18" t="s">
        <v>30</v>
      </c>
      <c r="E10" s="18" t="s">
        <v>27</v>
      </c>
      <c r="F10" s="18" t="s">
        <v>28</v>
      </c>
      <c r="G10" s="81" t="s">
        <v>29</v>
      </c>
      <c r="H10" s="182"/>
      <c r="I10" s="182"/>
      <c r="J10" s="182"/>
      <c r="K10" s="185">
        <v>0</v>
      </c>
      <c r="L10" s="185">
        <v>0</v>
      </c>
      <c r="M10" s="185">
        <v>0</v>
      </c>
      <c r="N10" s="185">
        <v>0</v>
      </c>
      <c r="O10" s="185">
        <v>0</v>
      </c>
      <c r="P10" s="185">
        <v>0</v>
      </c>
      <c r="Q10" s="185">
        <v>0</v>
      </c>
      <c r="R10" s="185">
        <v>0</v>
      </c>
      <c r="S10" s="185">
        <v>119308.68268493151</v>
      </c>
      <c r="T10" s="184">
        <f>+M10</f>
        <v>0</v>
      </c>
      <c r="U10" s="76">
        <f>11.3+(14.4-11.3)/2</f>
        <v>12.850000000000001</v>
      </c>
      <c r="V10" s="79"/>
      <c r="W10" s="79" t="str">
        <f t="shared" ref="W10:W19" si="0">+IF(G10="Gas","Doesn't Apply",IF(U10&lt;$F$4,$D$4,IF(U10&lt;$F$5,$D$5,IF(U10&lt;$F$6,$D$6,IF(U10&gt;$E$7,$D$7,"Doesn't Apply")))))</f>
        <v>Heavy Oil</v>
      </c>
    </row>
    <row r="11" spans="1:23" x14ac:dyDescent="0.25">
      <c r="C11" s="76" t="e" vm="1">
        <v>#VALUE!</v>
      </c>
      <c r="D11" s="18" t="s">
        <v>30</v>
      </c>
      <c r="E11" s="18" t="s">
        <v>45</v>
      </c>
      <c r="F11" s="18" t="s">
        <v>28</v>
      </c>
      <c r="G11" s="81" t="s">
        <v>46</v>
      </c>
      <c r="H11" s="182"/>
      <c r="I11" s="182"/>
      <c r="J11" s="182"/>
      <c r="K11" s="185">
        <v>0</v>
      </c>
      <c r="L11" s="185">
        <v>0</v>
      </c>
      <c r="M11" s="185">
        <v>0</v>
      </c>
      <c r="N11" s="185">
        <v>0</v>
      </c>
      <c r="O11" s="185">
        <v>0</v>
      </c>
      <c r="P11" s="185">
        <v>0</v>
      </c>
      <c r="Q11" s="185">
        <v>0</v>
      </c>
      <c r="R11" s="185">
        <v>0</v>
      </c>
      <c r="S11" s="185">
        <v>114056.06200000001</v>
      </c>
      <c r="T11" s="184">
        <f t="shared" ref="T11:T29" si="1">+M11</f>
        <v>0</v>
      </c>
      <c r="U11" s="76">
        <v>13.7</v>
      </c>
      <c r="V11" s="79"/>
      <c r="W11" s="79" t="str">
        <f t="shared" si="0"/>
        <v>Heavy Oil</v>
      </c>
    </row>
    <row r="12" spans="1:23" x14ac:dyDescent="0.25">
      <c r="C12" s="76" t="e" vm="1">
        <v>#VALUE!</v>
      </c>
      <c r="D12" s="18" t="s">
        <v>30</v>
      </c>
      <c r="E12" s="18" t="s">
        <v>60</v>
      </c>
      <c r="F12" s="18" t="s">
        <v>28</v>
      </c>
      <c r="G12" s="81" t="s">
        <v>61</v>
      </c>
      <c r="H12" s="182"/>
      <c r="I12" s="182"/>
      <c r="J12" s="182"/>
      <c r="K12" s="185">
        <v>3.7935616438356163</v>
      </c>
      <c r="L12" s="185">
        <v>0</v>
      </c>
      <c r="M12" s="185">
        <v>0</v>
      </c>
      <c r="N12" s="185">
        <v>2.9221917808219184</v>
      </c>
      <c r="O12" s="185">
        <v>0.87139726027397268</v>
      </c>
      <c r="P12" s="185">
        <v>0</v>
      </c>
      <c r="Q12" s="185">
        <v>0</v>
      </c>
      <c r="R12" s="185">
        <v>0</v>
      </c>
      <c r="S12" s="185">
        <v>69090.784575342463</v>
      </c>
      <c r="T12" s="184">
        <f t="shared" si="1"/>
        <v>0</v>
      </c>
      <c r="U12" s="76">
        <f>7+(20-7)/2</f>
        <v>13.5</v>
      </c>
      <c r="V12" s="79"/>
      <c r="W12" s="79" t="str">
        <f t="shared" si="0"/>
        <v>Heavy Oil</v>
      </c>
    </row>
    <row r="13" spans="1:23" x14ac:dyDescent="0.25">
      <c r="C13" s="76" t="e" vm="2">
        <v>#VALUE!</v>
      </c>
      <c r="D13" s="18" t="s">
        <v>30</v>
      </c>
      <c r="E13" s="18" t="s">
        <v>78</v>
      </c>
      <c r="F13" s="18" t="s">
        <v>79</v>
      </c>
      <c r="G13" s="81" t="s">
        <v>80</v>
      </c>
      <c r="H13" s="182"/>
      <c r="I13" s="182"/>
      <c r="J13" s="182"/>
      <c r="K13" s="185">
        <v>6.7767123287671236</v>
      </c>
      <c r="L13" s="185">
        <v>0</v>
      </c>
      <c r="M13" s="185">
        <v>0</v>
      </c>
      <c r="N13" s="185">
        <v>1.6441095890410957</v>
      </c>
      <c r="O13" s="185">
        <v>1.396739726027397</v>
      </c>
      <c r="P13" s="185">
        <v>3.7358630136986304</v>
      </c>
      <c r="Q13" s="185">
        <v>0</v>
      </c>
      <c r="R13" s="185">
        <v>0</v>
      </c>
      <c r="S13" s="185">
        <v>42334.39687671233</v>
      </c>
      <c r="T13" s="184">
        <f t="shared" si="1"/>
        <v>0</v>
      </c>
      <c r="U13" s="76">
        <f>20+(25-20)/2</f>
        <v>22.5</v>
      </c>
      <c r="V13" s="79"/>
      <c r="W13" s="79" t="str">
        <f t="shared" si="0"/>
        <v>Medium Oil</v>
      </c>
    </row>
    <row r="14" spans="1:23" x14ac:dyDescent="0.25">
      <c r="C14" s="76" t="e" vm="4">
        <v>#VALUE!</v>
      </c>
      <c r="D14" s="18" t="s">
        <v>30</v>
      </c>
      <c r="E14" s="18" t="s">
        <v>124</v>
      </c>
      <c r="F14" s="18" t="s">
        <v>79</v>
      </c>
      <c r="G14" s="81" t="s">
        <v>125</v>
      </c>
      <c r="H14" s="182"/>
      <c r="I14" s="182"/>
      <c r="J14" s="182"/>
      <c r="K14" s="185">
        <v>5.0572054794520547</v>
      </c>
      <c r="L14" s="185">
        <v>0</v>
      </c>
      <c r="M14" s="185">
        <v>0</v>
      </c>
      <c r="N14" s="185">
        <v>0.21123287671232879</v>
      </c>
      <c r="O14" s="185">
        <v>2.4027123287671235</v>
      </c>
      <c r="P14" s="185">
        <v>0</v>
      </c>
      <c r="Q14" s="185">
        <v>0</v>
      </c>
      <c r="R14" s="185">
        <v>2.4430958904109596</v>
      </c>
      <c r="S14" s="185">
        <v>17849.99879452055</v>
      </c>
      <c r="T14" s="184">
        <f t="shared" si="1"/>
        <v>0</v>
      </c>
      <c r="U14" s="76">
        <v>21</v>
      </c>
      <c r="V14" s="79"/>
      <c r="W14" s="79" t="str">
        <f t="shared" si="0"/>
        <v>Heavy Oil</v>
      </c>
    </row>
    <row r="15" spans="1:23" x14ac:dyDescent="0.25">
      <c r="C15" s="76" t="e" vm="5">
        <v>#VALUE!</v>
      </c>
      <c r="D15" s="18" t="s">
        <v>30</v>
      </c>
      <c r="E15" s="18" t="s">
        <v>139</v>
      </c>
      <c r="F15" s="18" t="s">
        <v>79</v>
      </c>
      <c r="G15" s="81" t="s">
        <v>140</v>
      </c>
      <c r="H15" s="182"/>
      <c r="I15" s="182"/>
      <c r="J15" s="182"/>
      <c r="K15" s="185">
        <v>1.1894794520547947</v>
      </c>
      <c r="L15" s="185">
        <v>0</v>
      </c>
      <c r="M15" s="185">
        <v>0</v>
      </c>
      <c r="N15" s="185">
        <v>0.23397260273972598</v>
      </c>
      <c r="O15" s="185">
        <v>0.95542465753424666</v>
      </c>
      <c r="P15" s="185">
        <v>0</v>
      </c>
      <c r="Q15" s="185">
        <v>0</v>
      </c>
      <c r="R15" s="185">
        <v>0</v>
      </c>
      <c r="S15" s="185">
        <v>12119.396575342465</v>
      </c>
      <c r="T15" s="184">
        <f t="shared" si="1"/>
        <v>0</v>
      </c>
      <c r="U15" s="76">
        <v>21</v>
      </c>
      <c r="V15" s="79"/>
      <c r="W15" s="79" t="str">
        <f t="shared" si="0"/>
        <v>Heavy Oil</v>
      </c>
    </row>
    <row r="16" spans="1:23" x14ac:dyDescent="0.25">
      <c r="C16" s="76" t="e" vm="7">
        <v>#VALUE!</v>
      </c>
      <c r="D16" s="18" t="s">
        <v>30</v>
      </c>
      <c r="E16" s="18" t="s">
        <v>255</v>
      </c>
      <c r="F16" s="18" t="s">
        <v>28</v>
      </c>
      <c r="G16" s="81" t="s">
        <v>256</v>
      </c>
      <c r="H16" s="182"/>
      <c r="I16" s="182"/>
      <c r="J16" s="182"/>
      <c r="K16" s="185">
        <v>649.4862739726027</v>
      </c>
      <c r="L16" s="185">
        <v>0</v>
      </c>
      <c r="M16" s="185">
        <v>396.38389041095888</v>
      </c>
      <c r="N16" s="185">
        <v>2.2383835616438361</v>
      </c>
      <c r="O16" s="185">
        <v>38.275260273972606</v>
      </c>
      <c r="P16" s="185">
        <v>16.510794520547947</v>
      </c>
      <c r="Q16" s="185">
        <v>8.2636712328767121</v>
      </c>
      <c r="R16" s="185">
        <v>196.07800000000003</v>
      </c>
      <c r="S16" s="185">
        <v>10231.853999999999</v>
      </c>
      <c r="T16" s="184">
        <f t="shared" si="1"/>
        <v>396.38389041095888</v>
      </c>
      <c r="U16" s="76">
        <v>48</v>
      </c>
      <c r="V16" s="79"/>
      <c r="W16" s="79" t="str">
        <f t="shared" si="0"/>
        <v>Light Oil</v>
      </c>
    </row>
    <row r="17" spans="3:23" x14ac:dyDescent="0.25">
      <c r="C17" s="76" t="e" vm="7">
        <v>#VALUE!</v>
      </c>
      <c r="D17" s="18" t="s">
        <v>30</v>
      </c>
      <c r="E17" s="18" t="s">
        <v>269</v>
      </c>
      <c r="F17" s="18" t="s">
        <v>28</v>
      </c>
      <c r="G17" s="81" t="s">
        <v>270</v>
      </c>
      <c r="H17" s="182"/>
      <c r="I17" s="182"/>
      <c r="J17" s="182"/>
      <c r="K17" s="185">
        <v>277.37400000000002</v>
      </c>
      <c r="L17" s="185">
        <v>0</v>
      </c>
      <c r="M17" s="185">
        <v>50.500383561643829</v>
      </c>
      <c r="N17" s="185">
        <v>1.1420547945205479</v>
      </c>
      <c r="O17" s="185">
        <v>30.359369863013697</v>
      </c>
      <c r="P17" s="185">
        <v>30.377342465753429</v>
      </c>
      <c r="Q17" s="185">
        <v>30.352082191780823</v>
      </c>
      <c r="R17" s="185">
        <v>164.99443835616438</v>
      </c>
      <c r="S17" s="185">
        <v>3182.6220821917809</v>
      </c>
      <c r="T17" s="184">
        <f t="shared" si="1"/>
        <v>50.500383561643829</v>
      </c>
      <c r="U17" s="76">
        <v>52</v>
      </c>
      <c r="V17" s="79"/>
      <c r="W17" s="79" t="str">
        <f t="shared" si="0"/>
        <v>Light Oil</v>
      </c>
    </row>
    <row r="18" spans="3:23" x14ac:dyDescent="0.25">
      <c r="C18" s="76" t="e" vm="7">
        <v>#VALUE!</v>
      </c>
      <c r="D18" s="18" t="s">
        <v>30</v>
      </c>
      <c r="E18" s="18" t="s">
        <v>276</v>
      </c>
      <c r="F18" s="18" t="s">
        <v>28</v>
      </c>
      <c r="G18" s="81" t="s">
        <v>277</v>
      </c>
      <c r="H18" s="182"/>
      <c r="I18" s="182"/>
      <c r="J18" s="182"/>
      <c r="K18" s="185">
        <v>435.4008767123288</v>
      </c>
      <c r="L18" s="185">
        <v>0</v>
      </c>
      <c r="M18" s="185">
        <v>225.24104109589044</v>
      </c>
      <c r="N18" s="185">
        <v>1.2202465753424658</v>
      </c>
      <c r="O18" s="185">
        <v>9.0779452054794518</v>
      </c>
      <c r="P18" s="185">
        <v>142.09446575342469</v>
      </c>
      <c r="Q18" s="185">
        <v>0</v>
      </c>
      <c r="R18" s="185">
        <v>57.767424657534249</v>
      </c>
      <c r="S18" s="185">
        <v>27008.407917808221</v>
      </c>
      <c r="T18" s="184">
        <f t="shared" si="1"/>
        <v>225.24104109589044</v>
      </c>
      <c r="U18" s="76">
        <v>46</v>
      </c>
      <c r="V18" s="79"/>
      <c r="W18" s="79" t="str">
        <f t="shared" si="0"/>
        <v>Light Oil</v>
      </c>
    </row>
    <row r="19" spans="3:23" x14ac:dyDescent="0.25">
      <c r="C19" s="76" t="e" vm="7">
        <v>#VALUE!</v>
      </c>
      <c r="D19" s="18" t="s">
        <v>30</v>
      </c>
      <c r="E19" s="18" t="s">
        <v>276</v>
      </c>
      <c r="F19" s="18" t="s">
        <v>28</v>
      </c>
      <c r="G19" s="81" t="s">
        <v>290</v>
      </c>
      <c r="H19" s="182"/>
      <c r="I19" s="182"/>
      <c r="J19" s="182"/>
      <c r="K19" s="185">
        <v>114.48408219178081</v>
      </c>
      <c r="L19" s="185">
        <v>0</v>
      </c>
      <c r="M19" s="185">
        <v>111.18394520547945</v>
      </c>
      <c r="N19" s="185">
        <v>0.37649315068493155</v>
      </c>
      <c r="O19" s="185">
        <v>2.923643835616438</v>
      </c>
      <c r="P19" s="185">
        <v>0</v>
      </c>
      <c r="Q19" s="185">
        <v>0</v>
      </c>
      <c r="R19" s="185">
        <v>0</v>
      </c>
      <c r="S19" s="185">
        <v>4583.6177808219181</v>
      </c>
      <c r="T19" s="184">
        <f t="shared" si="1"/>
        <v>111.18394520547945</v>
      </c>
      <c r="U19" s="76">
        <f>44+((47-44)/2)</f>
        <v>45.5</v>
      </c>
      <c r="V19" s="79"/>
      <c r="W19" s="79" t="str">
        <f t="shared" si="0"/>
        <v>Light Oil</v>
      </c>
    </row>
    <row r="20" spans="3:23" x14ac:dyDescent="0.25">
      <c r="C20" s="76" t="e" vm="8">
        <v>#VALUE!</v>
      </c>
      <c r="D20" s="18" t="s">
        <v>30</v>
      </c>
      <c r="E20" s="18" t="s">
        <v>300</v>
      </c>
      <c r="F20" s="18" t="s">
        <v>299</v>
      </c>
      <c r="G20" s="81" t="s">
        <v>301</v>
      </c>
      <c r="H20" s="182"/>
      <c r="I20" s="182"/>
      <c r="J20" s="182"/>
      <c r="K20" s="185">
        <v>162.95279452054797</v>
      </c>
      <c r="L20" s="185">
        <v>0</v>
      </c>
      <c r="M20" s="185">
        <v>0</v>
      </c>
      <c r="N20" s="185">
        <v>0.22493150684931507</v>
      </c>
      <c r="O20" s="185">
        <v>6.5319452054794507</v>
      </c>
      <c r="P20" s="185">
        <v>13.287095890410958</v>
      </c>
      <c r="Q20" s="185">
        <v>0</v>
      </c>
      <c r="R20" s="185">
        <v>142.90884931506849</v>
      </c>
      <c r="S20" s="185">
        <v>0</v>
      </c>
      <c r="T20" s="184">
        <f t="shared" si="1"/>
        <v>0</v>
      </c>
      <c r="U20" s="76" t="s">
        <v>31</v>
      </c>
      <c r="V20" s="79" t="s">
        <v>435</v>
      </c>
      <c r="W20" s="79" t="str">
        <f>+IF(V20="Gas","Doesn't Apply",IF(U20&lt;$F$4,$D$4,IF(U20&lt;$F$5,$D$5,IF(U20&lt;$F$6,$D$6,IF(U20&gt;$E$7,$D$7,"Doesn't Apply")))))</f>
        <v>Doesn't Apply</v>
      </c>
    </row>
    <row r="21" spans="3:23" x14ac:dyDescent="0.25">
      <c r="C21" s="76" t="e" vm="8">
        <v>#VALUE!</v>
      </c>
      <c r="D21" s="18" t="s">
        <v>30</v>
      </c>
      <c r="E21" s="18" t="s">
        <v>300</v>
      </c>
      <c r="F21" s="18" t="s">
        <v>299</v>
      </c>
      <c r="G21" s="81" t="s">
        <v>311</v>
      </c>
      <c r="H21" s="182"/>
      <c r="I21" s="182"/>
      <c r="J21" s="182"/>
      <c r="K21" s="185">
        <v>23.174301369863016</v>
      </c>
      <c r="L21" s="185">
        <v>0</v>
      </c>
      <c r="M21" s="185">
        <v>0</v>
      </c>
      <c r="N21" s="185">
        <v>2.701369863013699E-2</v>
      </c>
      <c r="O21" s="185">
        <v>0.11695890410958903</v>
      </c>
      <c r="P21" s="185">
        <v>1.9608219178082194</v>
      </c>
      <c r="Q21" s="185">
        <v>0</v>
      </c>
      <c r="R21" s="185">
        <v>21.069616438356167</v>
      </c>
      <c r="S21" s="185">
        <v>0</v>
      </c>
      <c r="T21" s="184">
        <f t="shared" si="1"/>
        <v>0</v>
      </c>
      <c r="U21" s="76" t="s">
        <v>31</v>
      </c>
      <c r="V21" s="79" t="s">
        <v>435</v>
      </c>
      <c r="W21" s="79" t="str">
        <f>+IF(V21="Gas","Doesn't Apply",IF(U21&lt;$F$4,$D$4,IF(U21&lt;$F$5,$D$5,IF(U21&lt;$F$6,$D$6,IF(U21&gt;$E$7,$D$7,"Doesn't Apply")))))</f>
        <v>Doesn't Apply</v>
      </c>
    </row>
    <row r="22" spans="3:23" x14ac:dyDescent="0.25">
      <c r="C22" s="76" t="e" vm="1">
        <v>#VALUE!</v>
      </c>
      <c r="D22" s="18" t="s">
        <v>30</v>
      </c>
      <c r="E22" s="18" t="s">
        <v>60</v>
      </c>
      <c r="F22" s="18" t="s">
        <v>460</v>
      </c>
      <c r="G22" s="81" t="s">
        <v>342</v>
      </c>
      <c r="H22" s="182"/>
      <c r="I22" s="182"/>
      <c r="J22" s="182"/>
      <c r="K22" s="185">
        <v>0.58205479452054798</v>
      </c>
      <c r="L22" s="185">
        <v>0</v>
      </c>
      <c r="M22" s="185">
        <v>0</v>
      </c>
      <c r="N22" s="185">
        <v>0.58205479452054798</v>
      </c>
      <c r="O22" s="185">
        <v>0</v>
      </c>
      <c r="P22" s="185">
        <v>0</v>
      </c>
      <c r="Q22" s="185">
        <v>0</v>
      </c>
      <c r="R22" s="185">
        <v>0</v>
      </c>
      <c r="S22" s="185">
        <v>19756.607616438356</v>
      </c>
      <c r="T22" s="184">
        <f t="shared" si="1"/>
        <v>0</v>
      </c>
      <c r="U22" s="76">
        <v>8</v>
      </c>
      <c r="V22" s="79"/>
      <c r="W22" s="79" t="str">
        <f t="shared" ref="W22:W28" si="2">+IF(V22="Gas","Doesn't Apply",IF(U22&lt;$F$4,$D$4,IF(U22&lt;$F$5,$D$5,IF(U22&lt;$F$6,$D$6,IF(U22&gt;$E$7,$D$7,"Doesn't Apply")))))</f>
        <v>Extra Heavy Oil</v>
      </c>
    </row>
    <row r="23" spans="3:23" x14ac:dyDescent="0.25">
      <c r="C23" s="76" t="e" vm="9">
        <v>#VALUE!</v>
      </c>
      <c r="D23" s="18" t="s">
        <v>30</v>
      </c>
      <c r="E23" s="18" t="s">
        <v>452</v>
      </c>
      <c r="F23" s="18" t="s">
        <v>458</v>
      </c>
      <c r="G23" s="81" t="s">
        <v>343</v>
      </c>
      <c r="H23" s="182"/>
      <c r="I23" s="182"/>
      <c r="J23" s="182"/>
      <c r="K23" s="185">
        <v>1.9275342465753424</v>
      </c>
      <c r="L23" s="185">
        <v>0</v>
      </c>
      <c r="M23" s="185">
        <v>0</v>
      </c>
      <c r="N23" s="185">
        <v>0.22805479452054794</v>
      </c>
      <c r="O23" s="185">
        <v>0.10339726027397263</v>
      </c>
      <c r="P23" s="185">
        <v>1.5925479452054794</v>
      </c>
      <c r="Q23" s="185">
        <v>0.55931506849315071</v>
      </c>
      <c r="R23" s="185">
        <v>3.4794520547945205E-3</v>
      </c>
      <c r="S23" s="185">
        <v>4684.6815890410962</v>
      </c>
      <c r="T23" s="184">
        <f t="shared" si="1"/>
        <v>0</v>
      </c>
      <c r="U23" s="76">
        <v>23</v>
      </c>
      <c r="V23" s="79"/>
      <c r="W23" s="79" t="str">
        <f t="shared" si="2"/>
        <v>Medium Oil</v>
      </c>
    </row>
    <row r="24" spans="3:23" x14ac:dyDescent="0.25">
      <c r="C24" s="76" t="e" vm="9">
        <v>#VALUE!</v>
      </c>
      <c r="D24" s="18" t="s">
        <v>30</v>
      </c>
      <c r="E24" s="18" t="s">
        <v>453</v>
      </c>
      <c r="F24" s="18" t="s">
        <v>458</v>
      </c>
      <c r="G24" s="81" t="s">
        <v>344</v>
      </c>
      <c r="H24" s="182"/>
      <c r="I24" s="182"/>
      <c r="J24" s="182"/>
      <c r="K24" s="185">
        <v>0.86709589041095891</v>
      </c>
      <c r="L24" s="185">
        <v>0</v>
      </c>
      <c r="M24" s="185">
        <v>0</v>
      </c>
      <c r="N24" s="185">
        <v>0.41205479452054788</v>
      </c>
      <c r="O24" s="185">
        <v>0.45498630136986301</v>
      </c>
      <c r="P24" s="185">
        <v>0</v>
      </c>
      <c r="Q24" s="185">
        <v>0</v>
      </c>
      <c r="R24" s="185">
        <v>0</v>
      </c>
      <c r="S24" s="185">
        <v>4154.1152328767121</v>
      </c>
      <c r="T24" s="184">
        <f t="shared" si="1"/>
        <v>0</v>
      </c>
      <c r="U24" s="76">
        <v>25.5</v>
      </c>
      <c r="V24" s="79"/>
      <c r="W24" s="79" t="str">
        <f t="shared" si="2"/>
        <v>Medium Oil</v>
      </c>
    </row>
    <row r="25" spans="3:23" x14ac:dyDescent="0.25">
      <c r="C25" s="76" t="e" vm="9">
        <v>#VALUE!</v>
      </c>
      <c r="D25" s="18" t="s">
        <v>30</v>
      </c>
      <c r="E25" s="18" t="s">
        <v>454</v>
      </c>
      <c r="F25" s="18" t="s">
        <v>458</v>
      </c>
      <c r="G25" s="193" t="s">
        <v>345</v>
      </c>
      <c r="H25" s="182"/>
      <c r="I25" s="182"/>
      <c r="J25" s="182"/>
      <c r="K25" s="185">
        <v>1.1908493150684931</v>
      </c>
      <c r="L25" s="185">
        <v>0</v>
      </c>
      <c r="M25" s="185">
        <v>0</v>
      </c>
      <c r="N25" s="185">
        <v>1.5506849315068495E-2</v>
      </c>
      <c r="O25" s="185">
        <v>0</v>
      </c>
      <c r="P25" s="185">
        <v>1.1751506849315068</v>
      </c>
      <c r="Q25" s="185">
        <v>0.52964383561643835</v>
      </c>
      <c r="R25" s="185">
        <v>0</v>
      </c>
      <c r="S25" s="185">
        <v>3941.1335068493149</v>
      </c>
      <c r="T25" s="184">
        <f t="shared" si="1"/>
        <v>0</v>
      </c>
      <c r="U25" s="76">
        <v>21</v>
      </c>
      <c r="V25" s="79"/>
      <c r="W25" s="79" t="str">
        <f t="shared" si="2"/>
        <v>Heavy Oil</v>
      </c>
    </row>
    <row r="26" spans="3:23" x14ac:dyDescent="0.25">
      <c r="C26" s="76" t="e" vm="1">
        <v>#VALUE!</v>
      </c>
      <c r="D26" s="18" t="s">
        <v>30</v>
      </c>
      <c r="E26" s="18" t="s">
        <v>455</v>
      </c>
      <c r="F26" s="18" t="s">
        <v>460</v>
      </c>
      <c r="G26" s="81" t="s">
        <v>346</v>
      </c>
      <c r="H26" s="182"/>
      <c r="I26" s="182"/>
      <c r="J26" s="182"/>
      <c r="K26" s="185">
        <v>0.23827397260273972</v>
      </c>
      <c r="L26" s="185">
        <v>0</v>
      </c>
      <c r="M26" s="185">
        <v>0</v>
      </c>
      <c r="N26" s="185">
        <v>0.1378630136986301</v>
      </c>
      <c r="O26" s="185">
        <v>0.10038356164383562</v>
      </c>
      <c r="P26" s="185">
        <v>0</v>
      </c>
      <c r="Q26" s="185">
        <v>0</v>
      </c>
      <c r="R26" s="185">
        <v>0</v>
      </c>
      <c r="S26" s="185">
        <v>1476.5236986301368</v>
      </c>
      <c r="T26" s="184">
        <f t="shared" si="1"/>
        <v>0</v>
      </c>
      <c r="U26" s="76">
        <v>13.5</v>
      </c>
      <c r="V26" s="79"/>
      <c r="W26" s="79" t="str">
        <f t="shared" si="2"/>
        <v>Heavy Oil</v>
      </c>
    </row>
    <row r="27" spans="3:23" x14ac:dyDescent="0.25">
      <c r="C27" s="76" t="e" vm="5">
        <v>#VALUE!</v>
      </c>
      <c r="D27" s="18" t="s">
        <v>30</v>
      </c>
      <c r="E27" s="18" t="s">
        <v>456</v>
      </c>
      <c r="F27" s="18" t="s">
        <v>79</v>
      </c>
      <c r="G27" s="81" t="s">
        <v>347</v>
      </c>
      <c r="H27" s="182"/>
      <c r="I27" s="182"/>
      <c r="J27" s="182"/>
      <c r="K27" s="185">
        <v>0.23827397260273972</v>
      </c>
      <c r="L27" s="185">
        <v>0</v>
      </c>
      <c r="M27" s="185">
        <v>0</v>
      </c>
      <c r="N27" s="185">
        <v>0.1378630136986301</v>
      </c>
      <c r="O27" s="185">
        <v>0.10038356164383562</v>
      </c>
      <c r="P27" s="185">
        <v>0</v>
      </c>
      <c r="Q27" s="185">
        <v>0</v>
      </c>
      <c r="R27" s="185">
        <v>0</v>
      </c>
      <c r="S27" s="185">
        <v>1476.5236986301368</v>
      </c>
      <c r="T27" s="184">
        <f t="shared" si="1"/>
        <v>0</v>
      </c>
      <c r="U27" s="76">
        <v>12.5</v>
      </c>
      <c r="V27" s="79"/>
      <c r="W27" s="79" t="str">
        <f t="shared" si="2"/>
        <v>Heavy Oil</v>
      </c>
    </row>
    <row r="28" spans="3:23" x14ac:dyDescent="0.25">
      <c r="C28" s="76" t="e" vm="10">
        <v>#VALUE!</v>
      </c>
      <c r="D28" s="18" t="s">
        <v>30</v>
      </c>
      <c r="E28" s="18" t="s">
        <v>457</v>
      </c>
      <c r="F28" s="18" t="s">
        <v>459</v>
      </c>
      <c r="G28" s="81" t="s">
        <v>318</v>
      </c>
      <c r="H28" s="182"/>
      <c r="I28" s="182"/>
      <c r="J28" s="182"/>
      <c r="K28" s="185">
        <v>35.569315068493154</v>
      </c>
      <c r="L28" s="185">
        <v>0</v>
      </c>
      <c r="M28" s="185">
        <v>0</v>
      </c>
      <c r="N28" s="185">
        <v>0</v>
      </c>
      <c r="O28" s="185">
        <v>0</v>
      </c>
      <c r="P28" s="185">
        <v>35.569315068493154</v>
      </c>
      <c r="Q28" s="185">
        <v>3.5723835616438366</v>
      </c>
      <c r="R28" s="185">
        <v>0</v>
      </c>
      <c r="S28" s="185">
        <v>0</v>
      </c>
      <c r="T28" s="184">
        <f t="shared" si="1"/>
        <v>0</v>
      </c>
      <c r="U28" s="76" t="s">
        <v>31</v>
      </c>
      <c r="V28" s="79" t="s">
        <v>435</v>
      </c>
      <c r="W28" s="79" t="str">
        <f t="shared" si="2"/>
        <v>Doesn't Apply</v>
      </c>
    </row>
    <row r="29" spans="3:23" x14ac:dyDescent="0.25">
      <c r="C29" s="76" t="e" vm="11">
        <v>#VALUE!</v>
      </c>
      <c r="D29" s="18" t="s">
        <v>30</v>
      </c>
      <c r="E29" s="18" t="s">
        <v>449</v>
      </c>
      <c r="F29" s="18" t="s">
        <v>461</v>
      </c>
      <c r="G29" s="81" t="s">
        <v>449</v>
      </c>
      <c r="H29" s="182"/>
      <c r="I29" s="182"/>
      <c r="J29" s="182"/>
      <c r="K29" s="185">
        <v>3.4626301369863017</v>
      </c>
      <c r="L29" s="185">
        <v>0</v>
      </c>
      <c r="M29" s="185">
        <v>0</v>
      </c>
      <c r="N29" s="185">
        <v>3.4626301369863017</v>
      </c>
      <c r="O29" s="185">
        <v>0</v>
      </c>
      <c r="P29" s="185">
        <v>0</v>
      </c>
      <c r="Q29" s="185">
        <v>0</v>
      </c>
      <c r="R29" s="185">
        <v>0</v>
      </c>
      <c r="S29" s="185">
        <v>1962.0646849315069</v>
      </c>
      <c r="T29" s="184">
        <f t="shared" si="1"/>
        <v>0</v>
      </c>
      <c r="U29" s="76">
        <v>35</v>
      </c>
      <c r="V29" s="79"/>
      <c r="W29" s="79"/>
    </row>
    <row r="35" spans="5:12" x14ac:dyDescent="0.25">
      <c r="G35" t="s">
        <v>30</v>
      </c>
      <c r="I35" t="s">
        <v>473</v>
      </c>
    </row>
    <row r="36" spans="5:12" x14ac:dyDescent="0.25">
      <c r="E36" s="189" t="e" vm="5">
        <v>#VALUE!</v>
      </c>
      <c r="F36" s="180" t="s">
        <v>462</v>
      </c>
      <c r="G36" s="190">
        <v>14656.498438356164</v>
      </c>
      <c r="H36" s="191">
        <v>2.8564827826612956E-2</v>
      </c>
      <c r="I36" s="180">
        <f>+SUMIF($C$10:C29,E36,S$10:S$29)</f>
        <v>13595.920273972602</v>
      </c>
      <c r="J36" s="180"/>
      <c r="K36" s="192">
        <f>+G36-I36</f>
        <v>1060.5781643835617</v>
      </c>
      <c r="L36" s="191">
        <f>+K36/G36</f>
        <v>7.2362315517874365E-2</v>
      </c>
    </row>
    <row r="37" spans="5:12" x14ac:dyDescent="0.25">
      <c r="E37" s="189" t="e" vm="7">
        <v>#VALUE!</v>
      </c>
      <c r="F37" s="180" t="s">
        <v>463</v>
      </c>
      <c r="G37" s="190">
        <v>49873.263342465754</v>
      </c>
      <c r="H37" s="191">
        <v>9.7200650381855019E-2</v>
      </c>
      <c r="I37" s="180">
        <f ca="1">+SUMIF($C$10:C30,E37,S$10:S$29)</f>
        <v>45006.501780821927</v>
      </c>
      <c r="J37" s="180"/>
      <c r="K37" s="192">
        <f t="shared" ref="K37:K48" ca="1" si="3">+G37-I37</f>
        <v>4866.761561643827</v>
      </c>
      <c r="L37" s="191">
        <f t="shared" ref="L37:L48" ca="1" si="4">+K37/G37</f>
        <v>9.758257702579308E-2</v>
      </c>
    </row>
    <row r="38" spans="5:12" x14ac:dyDescent="0.25">
      <c r="F38" t="s">
        <v>464</v>
      </c>
      <c r="G38" s="187">
        <v>2877.3214794520545</v>
      </c>
      <c r="H38" s="186">
        <v>5.6077645699651466E-3</v>
      </c>
      <c r="I38">
        <f ca="1">+SUMIF($C$10:C31,E38,S$10:S$29)</f>
        <v>0</v>
      </c>
      <c r="K38" s="188">
        <f t="shared" ca="1" si="3"/>
        <v>2877.3214794520545</v>
      </c>
      <c r="L38" s="186">
        <f t="shared" ca="1" si="4"/>
        <v>1</v>
      </c>
    </row>
    <row r="39" spans="5:12" x14ac:dyDescent="0.25">
      <c r="F39" t="s">
        <v>465</v>
      </c>
      <c r="G39" s="187">
        <v>63.741945205479446</v>
      </c>
      <c r="H39" s="186">
        <v>1.2423006066462157E-4</v>
      </c>
      <c r="I39">
        <f ca="1">+SUMIF($C$10:C32,E39,S$10:S$29)</f>
        <v>0</v>
      </c>
      <c r="K39" s="188">
        <f t="shared" ca="1" si="3"/>
        <v>63.741945205479446</v>
      </c>
      <c r="L39" s="186">
        <f t="shared" ca="1" si="4"/>
        <v>1</v>
      </c>
    </row>
    <row r="40" spans="5:12" x14ac:dyDescent="0.25">
      <c r="E40" s="189" t="e" vm="9">
        <v>#VALUE!</v>
      </c>
      <c r="F40" s="180" t="s">
        <v>466</v>
      </c>
      <c r="G40" s="190">
        <v>23392.562712328774</v>
      </c>
      <c r="H40" s="191">
        <v>4.5591007232138166E-2</v>
      </c>
      <c r="I40" s="180">
        <f ca="1">+SUMIF($C$10:C33,E40,S$10:S$29)</f>
        <v>12779.930328767123</v>
      </c>
      <c r="J40" s="180"/>
      <c r="K40" s="192">
        <f t="shared" ca="1" si="3"/>
        <v>10612.632383561651</v>
      </c>
      <c r="L40" s="191">
        <f t="shared" ca="1" si="4"/>
        <v>0.45367549139745977</v>
      </c>
    </row>
    <row r="41" spans="5:12" x14ac:dyDescent="0.25">
      <c r="E41" s="189" t="e" vm="1">
        <v>#VALUE!</v>
      </c>
      <c r="F41" s="180" t="s">
        <v>467</v>
      </c>
      <c r="G41" s="190">
        <v>351063.42304109584</v>
      </c>
      <c r="H41" s="191">
        <v>0.68420614088469911</v>
      </c>
      <c r="I41" s="180">
        <f ca="1">+SUMIF($C$10:C34,E41,S$10:S$29)</f>
        <v>323688.66057534254</v>
      </c>
      <c r="J41" s="180"/>
      <c r="K41" s="192">
        <f t="shared" ca="1" si="3"/>
        <v>27374.762465753302</v>
      </c>
      <c r="L41" s="191">
        <f t="shared" ca="1" si="4"/>
        <v>7.7976686459155231E-2</v>
      </c>
    </row>
    <row r="42" spans="5:12" x14ac:dyDescent="0.25">
      <c r="E42" s="189" t="e" vm="10">
        <v>#VALUE!</v>
      </c>
      <c r="F42" s="180" t="s">
        <v>468</v>
      </c>
      <c r="G42" s="190">
        <v>1502.4393150684932</v>
      </c>
      <c r="H42" s="191">
        <v>2.9281837360656286E-3</v>
      </c>
      <c r="I42" s="180">
        <f ca="1">+SUMIF($C$10:C35,E42,S$10:S$29)</f>
        <v>0</v>
      </c>
      <c r="J42" s="180"/>
      <c r="K42" s="192">
        <f t="shared" ca="1" si="3"/>
        <v>1502.4393150684932</v>
      </c>
      <c r="L42" s="191">
        <f t="shared" ca="1" si="4"/>
        <v>1</v>
      </c>
    </row>
    <row r="43" spans="5:12" x14ac:dyDescent="0.25">
      <c r="E43" s="189" t="e" vm="11">
        <v>#VALUE!</v>
      </c>
      <c r="F43" s="180" t="s">
        <v>451</v>
      </c>
      <c r="G43" s="190">
        <v>5907.8353698630135</v>
      </c>
      <c r="H43" s="191">
        <v>1.1514093961656952E-2</v>
      </c>
      <c r="I43" s="180">
        <f ca="1">+SUMIF($C$10:C36,E43,S$10:S$29)</f>
        <v>1962.0646849315069</v>
      </c>
      <c r="J43" s="180"/>
      <c r="K43" s="192">
        <f t="shared" ca="1" si="3"/>
        <v>3945.7706849315064</v>
      </c>
      <c r="L43" s="191">
        <f t="shared" ca="1" si="4"/>
        <v>0.66788771824273063</v>
      </c>
    </row>
    <row r="44" spans="5:12" x14ac:dyDescent="0.25">
      <c r="F44" t="s">
        <v>464</v>
      </c>
      <c r="G44" s="187">
        <v>2877.3214794520545</v>
      </c>
      <c r="H44" s="186">
        <v>5.6077645699651466E-3</v>
      </c>
      <c r="I44">
        <f ca="1">+SUMIF($C$10:C37,E44,S$10:S$29)</f>
        <v>0</v>
      </c>
      <c r="K44" s="188">
        <f t="shared" ca="1" si="3"/>
        <v>2877.3214794520545</v>
      </c>
      <c r="L44" s="186">
        <f t="shared" ca="1" si="4"/>
        <v>1</v>
      </c>
    </row>
    <row r="45" spans="5:12" x14ac:dyDescent="0.25">
      <c r="E45" s="189" t="e" vm="2">
        <v>#VALUE!</v>
      </c>
      <c r="F45" s="180" t="s">
        <v>469</v>
      </c>
      <c r="G45" s="190">
        <v>56937.26830136987</v>
      </c>
      <c r="H45" s="191">
        <v>0.11096806462926974</v>
      </c>
      <c r="I45" s="180">
        <f ca="1">+SUMIF($C$10:C38,E45,S$10:S$29)</f>
        <v>42334.39687671233</v>
      </c>
      <c r="J45" s="180"/>
      <c r="K45" s="192">
        <f t="shared" ca="1" si="3"/>
        <v>14602.87142465754</v>
      </c>
      <c r="L45" s="191">
        <f t="shared" ca="1" si="4"/>
        <v>0.25647298966582499</v>
      </c>
    </row>
    <row r="46" spans="5:12" x14ac:dyDescent="0.25">
      <c r="F46" t="s">
        <v>470</v>
      </c>
      <c r="G46" s="187">
        <v>33.721452054794518</v>
      </c>
      <c r="H46" s="186">
        <v>6.5721527966581929E-5</v>
      </c>
      <c r="I46">
        <f ca="1">+SUMIF($C$10:C39,E46,S$10:S$29)</f>
        <v>0</v>
      </c>
      <c r="K46" s="188">
        <f t="shared" ca="1" si="3"/>
        <v>33.721452054794518</v>
      </c>
      <c r="L46" s="186">
        <f t="shared" ca="1" si="4"/>
        <v>1</v>
      </c>
    </row>
    <row r="47" spans="5:12" x14ac:dyDescent="0.25">
      <c r="F47" t="s">
        <v>471</v>
      </c>
      <c r="G47" s="187">
        <v>3910.58701369863</v>
      </c>
      <c r="H47" s="186">
        <v>7.6215506191408197E-3</v>
      </c>
      <c r="I47">
        <f ca="1">+SUMIF($C$10:C40,E47,S$10:S$29)</f>
        <v>0</v>
      </c>
      <c r="K47" s="188">
        <f t="shared" ca="1" si="3"/>
        <v>3910.58701369863</v>
      </c>
      <c r="L47" s="186">
        <f t="shared" ca="1" si="4"/>
        <v>1</v>
      </c>
    </row>
    <row r="48" spans="5:12" x14ac:dyDescent="0.25">
      <c r="E48" s="189" t="e" vm="4">
        <v>#VALUE!</v>
      </c>
      <c r="F48" s="180" t="s">
        <v>472</v>
      </c>
      <c r="G48" s="190">
        <v>14709.643945205482</v>
      </c>
      <c r="H48" s="191">
        <v>2.8668405926067869E-2</v>
      </c>
      <c r="I48" s="180">
        <f ca="1">+SUMIF($C$10:C41,E48,S$10:S$29)</f>
        <v>17849.99879452055</v>
      </c>
      <c r="J48" s="180"/>
      <c r="K48" s="192">
        <f t="shared" ca="1" si="3"/>
        <v>-3140.3548493150683</v>
      </c>
      <c r="L48" s="191">
        <f t="shared" ca="1" si="4"/>
        <v>-0.2134895216371738</v>
      </c>
    </row>
    <row r="49" spans="7:9" x14ac:dyDescent="0.25">
      <c r="G49">
        <v>513095.98389041098</v>
      </c>
      <c r="I49">
        <f ca="1">+SUM(I36:I48)</f>
        <v>457217.47331506858</v>
      </c>
    </row>
  </sheetData>
  <mergeCells count="2">
    <mergeCell ref="D2:F2"/>
    <mergeCell ref="K8:R8"/>
  </mergeCells>
  <conditionalFormatting sqref="F10:F29">
    <cfRule type="containsBlanks" dxfId="12" priority="32">
      <formula>LEN(TRIM(F10))=0</formula>
    </cfRule>
  </conditionalFormatting>
  <conditionalFormatting sqref="U10:V21">
    <cfRule type="containsText" dxfId="11" priority="28" operator="containsText" text="Oil and Gas">
      <formula>NOT(ISERROR(SEARCH("Oil and Gas",U10)))</formula>
    </cfRule>
    <cfRule type="containsText" dxfId="10" priority="29" operator="containsText" text="Gas">
      <formula>NOT(ISERROR(SEARCH("Gas",U10)))</formula>
    </cfRule>
    <cfRule type="containsText" dxfId="9" priority="30" operator="containsText" text="Oil">
      <formula>NOT(ISERROR(SEARCH("Oil",U10)))</formula>
    </cfRule>
  </conditionalFormatting>
  <conditionalFormatting sqref="U22:V29">
    <cfRule type="containsText" dxfId="8" priority="2" operator="containsText" text="Oil and Gas">
      <formula>NOT(ISERROR(SEARCH("Oil and Gas",U22)))</formula>
    </cfRule>
    <cfRule type="containsText" dxfId="7" priority="3" operator="containsText" text="Gas">
      <formula>NOT(ISERROR(SEARCH("Gas",U22)))</formula>
    </cfRule>
    <cfRule type="containsText" dxfId="6" priority="4" operator="containsText" text="Oil">
      <formula>NOT(ISERROR(SEARCH("Oil",U22)))</formula>
    </cfRule>
  </conditionalFormatting>
  <conditionalFormatting sqref="K10:S29">
    <cfRule type="cellIs" dxfId="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3" operator="containsText" id="{939931F9-62D2-434A-B365-7AB1DF16894F}">
            <xm:f>NOT(ISERROR(SEARCH($D$7,D4)))</xm:f>
            <xm:f>$D$7</xm:f>
            <x14:dxf>
              <fill>
                <patternFill>
                  <bgColor theme="7" tint="0.79998168889431442"/>
                </patternFill>
              </fill>
            </x14:dxf>
          </x14:cfRule>
          <x14:cfRule type="containsText" priority="14" operator="containsText" id="{A0E49F1A-959B-4CE7-BB28-97C1B2047DB9}">
            <xm:f>NOT(ISERROR(SEARCH($D$6,D4)))</xm:f>
            <xm:f>$D$6</xm:f>
            <x14:dxf>
              <fill>
                <patternFill>
                  <bgColor theme="5" tint="0.79998168889431442"/>
                </patternFill>
              </fill>
            </x14:dxf>
          </x14:cfRule>
          <x14:cfRule type="containsText" priority="15" operator="containsText" id="{F90B021F-32A0-4186-A3E2-6E1767715FD8}">
            <xm:f>NOT(ISERROR(SEARCH($D$5,D4)))</xm:f>
            <xm:f>$D$5</xm:f>
            <x14:dxf>
              <fill>
                <patternFill>
                  <bgColor theme="0" tint="-0.24994659260841701"/>
                </patternFill>
              </fill>
            </x14:dxf>
          </x14:cfRule>
          <x14:cfRule type="containsText" priority="16" operator="containsText" id="{7BFE0A8B-3899-4783-85DC-403086432AED}">
            <xm:f>NOT(ISERROR(SEARCH($D$4,D4)))</xm:f>
            <xm:f>$D$4</xm:f>
            <x14:dxf>
              <fill>
                <patternFill>
                  <bgColor theme="0" tint="-0.34998626667073579"/>
                </patternFill>
              </fill>
            </x14:dxf>
          </x14:cfRule>
          <xm:sqref>D4:D7 W10:W29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11C-6D97-40EB-8508-BF37DEBC90BE}">
  <dimension ref="C1:AF61"/>
  <sheetViews>
    <sheetView showGridLines="0" zoomScale="115" zoomScaleNormal="115" workbookViewId="0">
      <selection activeCell="K21" sqref="K21"/>
    </sheetView>
  </sheetViews>
  <sheetFormatPr baseColWidth="10" defaultRowHeight="15" x14ac:dyDescent="0.25"/>
  <cols>
    <col min="3" max="4" width="17.5703125" customWidth="1"/>
    <col min="5" max="5" width="21.42578125" customWidth="1"/>
    <col min="6" max="6" width="13.42578125" customWidth="1"/>
    <col min="7" max="12" width="11.42578125" customWidth="1"/>
    <col min="19" max="19" width="15.28515625" customWidth="1"/>
    <col min="21" max="21" width="14.140625" customWidth="1"/>
    <col min="28" max="28" width="14.140625" customWidth="1"/>
    <col min="29" max="29" width="21.28515625" customWidth="1"/>
    <col min="30" max="30" width="18.85546875" customWidth="1"/>
    <col min="31" max="31" width="20.28515625" customWidth="1"/>
  </cols>
  <sheetData>
    <row r="1" spans="3:32" x14ac:dyDescent="0.25">
      <c r="F1" t="s">
        <v>507</v>
      </c>
      <c r="G1" s="229">
        <f>+F29*1000/E29</f>
        <v>5997.3958333333339</v>
      </c>
      <c r="H1" s="229" t="s">
        <v>525</v>
      </c>
      <c r="I1" s="229"/>
      <c r="J1" s="229"/>
      <c r="U1">
        <v>1</v>
      </c>
      <c r="V1" t="s">
        <v>484</v>
      </c>
      <c r="W1">
        <v>5800</v>
      </c>
      <c r="X1" t="s">
        <v>485</v>
      </c>
    </row>
    <row r="3" spans="3:32" x14ac:dyDescent="0.25">
      <c r="M3" s="238" t="s">
        <v>533</v>
      </c>
      <c r="N3" s="239"/>
      <c r="O3" s="239"/>
      <c r="P3" s="239"/>
      <c r="Q3" s="240"/>
      <c r="R3" s="239"/>
      <c r="S3" s="239"/>
      <c r="T3" s="207" t="s">
        <v>479</v>
      </c>
      <c r="U3" s="208"/>
      <c r="V3" s="208"/>
      <c r="W3" s="208"/>
      <c r="X3" s="208"/>
      <c r="Y3" s="208"/>
      <c r="Z3" s="209"/>
      <c r="AD3" s="272" t="s">
        <v>488</v>
      </c>
      <c r="AE3" s="272"/>
    </row>
    <row r="4" spans="3:32" x14ac:dyDescent="0.25">
      <c r="E4" s="216" t="s">
        <v>475</v>
      </c>
      <c r="F4" s="217" t="s">
        <v>478</v>
      </c>
      <c r="G4" s="218" t="s">
        <v>477</v>
      </c>
      <c r="H4" s="218" t="s">
        <v>476</v>
      </c>
      <c r="I4" s="218"/>
      <c r="J4" s="218"/>
      <c r="K4" s="219" t="s">
        <v>480</v>
      </c>
      <c r="L4" s="216" t="s">
        <v>481</v>
      </c>
      <c r="M4" s="241" t="s">
        <v>380</v>
      </c>
      <c r="N4" s="241" t="s">
        <v>535</v>
      </c>
      <c r="O4" s="241" t="s">
        <v>534</v>
      </c>
      <c r="P4" s="241" t="s">
        <v>536</v>
      </c>
      <c r="Q4" s="241" t="s">
        <v>537</v>
      </c>
      <c r="R4" s="241" t="s">
        <v>477</v>
      </c>
      <c r="S4" s="241" t="s">
        <v>538</v>
      </c>
      <c r="T4" s="216">
        <v>2020</v>
      </c>
      <c r="U4" s="217">
        <v>2025</v>
      </c>
      <c r="V4" s="217">
        <v>2030</v>
      </c>
      <c r="W4" s="217">
        <v>2035</v>
      </c>
      <c r="X4" s="217">
        <v>2040</v>
      </c>
      <c r="Y4" s="217">
        <v>2045</v>
      </c>
      <c r="Z4" s="218">
        <v>2050</v>
      </c>
      <c r="AA4" s="220" t="s">
        <v>483</v>
      </c>
      <c r="AB4" s="221" t="s">
        <v>482</v>
      </c>
      <c r="AC4" s="222" t="s">
        <v>486</v>
      </c>
      <c r="AD4" s="220" t="s">
        <v>487</v>
      </c>
      <c r="AE4" s="221" t="s">
        <v>489</v>
      </c>
      <c r="AF4" s="183" t="s">
        <v>490</v>
      </c>
    </row>
    <row r="5" spans="3:32" x14ac:dyDescent="0.25">
      <c r="C5" t="s">
        <v>301</v>
      </c>
      <c r="E5" s="197">
        <v>28.68</v>
      </c>
      <c r="F5" s="198">
        <v>172.07</v>
      </c>
      <c r="G5" s="199">
        <v>0</v>
      </c>
      <c r="H5">
        <f t="shared" ref="H5:H43" si="0">+E5-G5</f>
        <v>28.68</v>
      </c>
      <c r="I5" s="186">
        <f t="shared" ref="I5:I38" si="1">+G5/E5</f>
        <v>0</v>
      </c>
      <c r="J5" s="186">
        <f t="shared" ref="J5:J38" si="2">+H5/E5</f>
        <v>1</v>
      </c>
      <c r="K5" s="200">
        <v>0.96079999999999999</v>
      </c>
      <c r="L5" s="201">
        <v>2027</v>
      </c>
      <c r="Q5" s="244">
        <v>0</v>
      </c>
      <c r="R5" s="245">
        <f t="shared" ref="R5:R27" si="3">+Q5*E5</f>
        <v>0</v>
      </c>
      <c r="S5" t="s">
        <v>539</v>
      </c>
      <c r="T5" s="202">
        <v>20000</v>
      </c>
      <c r="U5" s="203">
        <v>12500</v>
      </c>
      <c r="V5" s="206"/>
      <c r="W5" s="206"/>
      <c r="X5" s="206"/>
      <c r="Y5" s="206"/>
      <c r="Z5" s="199"/>
      <c r="AA5" s="210">
        <f t="shared" ref="AA5:AA37" si="4">+SLOPE(T5:Z5,$T$4:$Z$4)</f>
        <v>-1500</v>
      </c>
      <c r="AB5" s="204">
        <f t="shared" ref="AB5:AB37" si="5">+INTERCEPT(T5:Z5,$T$4:$Z$4)</f>
        <v>3050000</v>
      </c>
      <c r="AC5" s="211">
        <f t="shared" ref="AC5:AC37" si="6">+AA5*L5+AB5</f>
        <v>9500</v>
      </c>
      <c r="AD5" s="224">
        <f t="shared" ref="AD5:AD37" si="7">+((L5-$T$4)*AC5+((L5-$T$4)*(T5-AC5))/2)*365/1000000</f>
        <v>37.686250000000001</v>
      </c>
      <c r="AE5" s="225">
        <f t="shared" ref="AE5:AE37" si="8">+((AA5*L5*L5/2)+(AB5*L5)-(AA5*$T$4*$T$4/2)-(AB5*$T$4))*365/1000000</f>
        <v>37.686250000000001</v>
      </c>
      <c r="AF5" s="186">
        <f t="shared" ref="AF5:AF37" si="9">+(AE5-E5)/E5</f>
        <v>0.31402545327754539</v>
      </c>
    </row>
    <row r="6" spans="3:32" x14ac:dyDescent="0.25">
      <c r="C6" t="s">
        <v>342</v>
      </c>
      <c r="E6" s="194">
        <v>89.87</v>
      </c>
      <c r="F6" s="194">
        <v>0</v>
      </c>
      <c r="G6" s="194">
        <f>+E6</f>
        <v>89.87</v>
      </c>
      <c r="H6">
        <f t="shared" si="0"/>
        <v>0</v>
      </c>
      <c r="I6" s="186">
        <f t="shared" si="1"/>
        <v>1</v>
      </c>
      <c r="J6" s="186">
        <f t="shared" si="2"/>
        <v>0</v>
      </c>
      <c r="K6" s="196">
        <v>0.24629999999999999</v>
      </c>
      <c r="L6" s="194">
        <v>2048</v>
      </c>
      <c r="M6" s="242">
        <f>+N6+P6</f>
        <v>19756.607616438356</v>
      </c>
      <c r="N6" s="242">
        <v>19756.607616438356</v>
      </c>
      <c r="O6" s="242">
        <v>0</v>
      </c>
      <c r="P6" s="242">
        <f>+(O6*1000000)/$W$1</f>
        <v>0</v>
      </c>
      <c r="Q6" s="243">
        <f>+N6/M6</f>
        <v>1</v>
      </c>
      <c r="R6" s="245">
        <f t="shared" si="3"/>
        <v>89.87</v>
      </c>
      <c r="S6" s="243">
        <f t="shared" ref="S6:S38" si="10">+G6/E6</f>
        <v>1</v>
      </c>
      <c r="T6" s="194">
        <v>10000</v>
      </c>
      <c r="U6" s="194">
        <v>16000</v>
      </c>
      <c r="V6" s="194">
        <v>11000</v>
      </c>
      <c r="W6" s="194">
        <v>7500</v>
      </c>
      <c r="X6" s="194">
        <v>5500</v>
      </c>
      <c r="Y6" s="194">
        <v>4000</v>
      </c>
      <c r="Z6" s="194"/>
      <c r="AA6" s="210">
        <f t="shared" si="4"/>
        <v>-371.42857142857144</v>
      </c>
      <c r="AB6" s="204">
        <f t="shared" si="5"/>
        <v>763928.57142857148</v>
      </c>
      <c r="AC6" s="211">
        <f t="shared" si="6"/>
        <v>3242.8571428571595</v>
      </c>
      <c r="AD6" s="226">
        <f t="shared" si="7"/>
        <v>67.671000000000092</v>
      </c>
      <c r="AE6" s="227">
        <f t="shared" si="8"/>
        <v>86.286000000000001</v>
      </c>
      <c r="AF6" s="186">
        <f t="shared" si="9"/>
        <v>-3.9879826415934162E-2</v>
      </c>
    </row>
    <row r="7" spans="3:32" x14ac:dyDescent="0.25">
      <c r="C7" t="s">
        <v>491</v>
      </c>
      <c r="E7" s="194">
        <v>1.37</v>
      </c>
      <c r="F7" s="230">
        <f>+E7*1.12%</f>
        <v>1.5344000000000003E-2</v>
      </c>
      <c r="G7" s="195">
        <f>+E7*98.88%</f>
        <v>1.3546559999999999</v>
      </c>
      <c r="H7">
        <f t="shared" si="0"/>
        <v>1.5344000000000246E-2</v>
      </c>
      <c r="I7" s="186">
        <f t="shared" si="1"/>
        <v>0.98879999999999979</v>
      </c>
      <c r="J7" s="186">
        <f t="shared" si="2"/>
        <v>1.1200000000000179E-2</v>
      </c>
      <c r="K7" s="196">
        <v>0.62780000000000002</v>
      </c>
      <c r="L7" s="194">
        <v>2041</v>
      </c>
      <c r="M7" s="242">
        <f t="shared" ref="M7:M38" si="11">+N7+P7</f>
        <v>285.28490222012289</v>
      </c>
      <c r="N7" s="242">
        <v>249.14413698630142</v>
      </c>
      <c r="O7" s="242">
        <v>0.20961643835616439</v>
      </c>
      <c r="P7" s="242">
        <f t="shared" ref="P7:P38" si="12">+(O7*1000000)/$W$1</f>
        <v>36.140765233821448</v>
      </c>
      <c r="Q7" s="243">
        <f t="shared" ref="Q7:Q38" si="13">+N7/M7</f>
        <v>0.8733169370248145</v>
      </c>
      <c r="R7" s="245">
        <f t="shared" si="3"/>
        <v>1.196444203723996</v>
      </c>
      <c r="S7" s="243">
        <f t="shared" si="10"/>
        <v>0.98879999999999979</v>
      </c>
      <c r="T7" s="194">
        <v>400</v>
      </c>
      <c r="U7" s="194">
        <v>280</v>
      </c>
      <c r="V7" s="194">
        <v>200</v>
      </c>
      <c r="W7" s="194">
        <v>120</v>
      </c>
      <c r="X7" s="194">
        <v>80</v>
      </c>
      <c r="Y7" s="194"/>
      <c r="Z7" s="194"/>
      <c r="AA7" s="210">
        <f t="shared" si="4"/>
        <v>-16</v>
      </c>
      <c r="AB7" s="204">
        <f t="shared" si="5"/>
        <v>32696</v>
      </c>
      <c r="AC7" s="211">
        <f t="shared" si="6"/>
        <v>40</v>
      </c>
      <c r="AD7" s="226">
        <f t="shared" si="7"/>
        <v>1.6862999999999999</v>
      </c>
      <c r="AE7" s="227">
        <f t="shared" si="8"/>
        <v>1.59432</v>
      </c>
      <c r="AF7" s="186">
        <f t="shared" si="9"/>
        <v>0.16373722627737214</v>
      </c>
    </row>
    <row r="8" spans="3:32" x14ac:dyDescent="0.25">
      <c r="C8" t="s">
        <v>346</v>
      </c>
      <c r="E8" s="194">
        <v>2.5</v>
      </c>
      <c r="F8" s="194">
        <v>7.0000000000000007E-2</v>
      </c>
      <c r="G8" s="194">
        <f>+E8*99.53%</f>
        <v>2.4882499999999999</v>
      </c>
      <c r="H8">
        <f t="shared" si="0"/>
        <v>1.1750000000000149E-2</v>
      </c>
      <c r="I8" s="186">
        <f t="shared" si="1"/>
        <v>0.99529999999999996</v>
      </c>
      <c r="J8" s="186">
        <f t="shared" si="2"/>
        <v>4.70000000000006E-3</v>
      </c>
      <c r="K8" s="196">
        <v>0.93179999999999996</v>
      </c>
      <c r="L8" s="194">
        <v>2029</v>
      </c>
      <c r="M8" s="242">
        <f t="shared" si="11"/>
        <v>3767.1428889938588</v>
      </c>
      <c r="N8" s="242">
        <v>3691.9893698630135</v>
      </c>
      <c r="O8" s="242">
        <v>0.43589041095890391</v>
      </c>
      <c r="P8" s="242">
        <f t="shared" si="12"/>
        <v>75.153519130845496</v>
      </c>
      <c r="Q8" s="243">
        <f t="shared" si="13"/>
        <v>0.98005026054349709</v>
      </c>
      <c r="R8" s="245">
        <f t="shared" si="3"/>
        <v>2.4501256513587428</v>
      </c>
      <c r="S8" s="243">
        <f t="shared" si="10"/>
        <v>0.99529999999999996</v>
      </c>
      <c r="T8" s="194">
        <v>2950</v>
      </c>
      <c r="U8" s="194">
        <v>750</v>
      </c>
      <c r="V8" s="194"/>
      <c r="W8" s="194"/>
      <c r="X8" s="194"/>
      <c r="Y8" s="194"/>
      <c r="Z8" s="194"/>
      <c r="AA8" s="210">
        <f t="shared" si="4"/>
        <v>-440</v>
      </c>
      <c r="AB8" s="204">
        <f t="shared" si="5"/>
        <v>891750</v>
      </c>
      <c r="AC8" s="211">
        <f t="shared" si="6"/>
        <v>-1010</v>
      </c>
      <c r="AD8" s="226">
        <f t="shared" si="7"/>
        <v>3.1864499999999998</v>
      </c>
      <c r="AE8" s="227">
        <f t="shared" si="8"/>
        <v>3.1864499999999998</v>
      </c>
      <c r="AF8" s="186">
        <f t="shared" si="9"/>
        <v>0.27457999999999994</v>
      </c>
    </row>
    <row r="9" spans="3:32" x14ac:dyDescent="0.25">
      <c r="C9" t="s">
        <v>311</v>
      </c>
      <c r="E9" s="194">
        <v>14.92</v>
      </c>
      <c r="F9" s="194">
        <v>89.54</v>
      </c>
      <c r="G9" s="194">
        <v>0</v>
      </c>
      <c r="H9">
        <f t="shared" si="0"/>
        <v>14.92</v>
      </c>
      <c r="I9" s="186">
        <f t="shared" si="1"/>
        <v>0</v>
      </c>
      <c r="J9" s="186">
        <f t="shared" si="2"/>
        <v>1</v>
      </c>
      <c r="K9" s="196">
        <v>0.69059999999999999</v>
      </c>
      <c r="L9" s="194">
        <v>2039</v>
      </c>
      <c r="M9" s="242">
        <f t="shared" si="11"/>
        <v>3970.7652338214457</v>
      </c>
      <c r="N9" s="242">
        <v>0</v>
      </c>
      <c r="O9" s="242">
        <v>23.030438356164385</v>
      </c>
      <c r="P9" s="242">
        <f t="shared" si="12"/>
        <v>3970.7652338214457</v>
      </c>
      <c r="Q9" s="243">
        <f t="shared" si="13"/>
        <v>0</v>
      </c>
      <c r="R9" s="245">
        <f t="shared" si="3"/>
        <v>0</v>
      </c>
      <c r="S9" s="243">
        <f t="shared" si="10"/>
        <v>0</v>
      </c>
      <c r="T9" s="194">
        <v>2500</v>
      </c>
      <c r="U9" s="213">
        <v>3000</v>
      </c>
      <c r="V9" s="194">
        <v>2100</v>
      </c>
      <c r="W9" s="194">
        <v>1800</v>
      </c>
      <c r="X9" s="194"/>
      <c r="Y9" s="194"/>
      <c r="Z9" s="194"/>
      <c r="AA9" s="210">
        <f t="shared" si="4"/>
        <v>-60</v>
      </c>
      <c r="AB9" s="204">
        <f t="shared" si="5"/>
        <v>124000</v>
      </c>
      <c r="AC9" s="211">
        <f t="shared" si="6"/>
        <v>1660</v>
      </c>
      <c r="AD9" s="226">
        <f t="shared" si="7"/>
        <v>14.424799999999999</v>
      </c>
      <c r="AE9" s="227">
        <f t="shared" si="8"/>
        <v>15.46505</v>
      </c>
      <c r="AF9" s="186">
        <f t="shared" si="9"/>
        <v>3.653150134048256E-2</v>
      </c>
    </row>
    <row r="10" spans="3:32" x14ac:dyDescent="0.25">
      <c r="C10" t="s">
        <v>492</v>
      </c>
      <c r="E10" s="194">
        <v>153.29</v>
      </c>
      <c r="F10" s="194">
        <v>0</v>
      </c>
      <c r="G10" s="194">
        <v>153.29</v>
      </c>
      <c r="H10">
        <f t="shared" si="0"/>
        <v>0</v>
      </c>
      <c r="I10" s="186">
        <f t="shared" si="1"/>
        <v>1</v>
      </c>
      <c r="J10" s="186">
        <f t="shared" si="2"/>
        <v>0</v>
      </c>
      <c r="K10" s="196">
        <v>0.70950000000000002</v>
      </c>
      <c r="L10" s="194">
        <v>2036</v>
      </c>
      <c r="M10" s="242">
        <f t="shared" si="11"/>
        <v>70553.994630136978</v>
      </c>
      <c r="N10" s="242">
        <v>70553.994630136978</v>
      </c>
      <c r="O10" s="242">
        <v>0</v>
      </c>
      <c r="P10" s="242">
        <f t="shared" si="12"/>
        <v>0</v>
      </c>
      <c r="Q10" s="243">
        <f t="shared" si="13"/>
        <v>1</v>
      </c>
      <c r="R10" s="245">
        <f t="shared" si="3"/>
        <v>153.29</v>
      </c>
      <c r="S10" s="243">
        <f t="shared" si="10"/>
        <v>1</v>
      </c>
      <c r="T10" s="194">
        <v>65000</v>
      </c>
      <c r="U10" s="213">
        <v>37500</v>
      </c>
      <c r="V10" s="194">
        <v>22500</v>
      </c>
      <c r="W10" s="194">
        <v>12500</v>
      </c>
      <c r="X10" s="194"/>
      <c r="Y10" s="194"/>
      <c r="Z10" s="194"/>
      <c r="AA10" s="232">
        <f t="shared" si="4"/>
        <v>-3450</v>
      </c>
      <c r="AB10" s="233">
        <f t="shared" si="5"/>
        <v>7029250</v>
      </c>
      <c r="AC10" s="234">
        <f t="shared" si="6"/>
        <v>5050</v>
      </c>
      <c r="AD10" s="224">
        <f t="shared" si="7"/>
        <v>204.54599999999999</v>
      </c>
      <c r="AE10" s="225">
        <f t="shared" si="8"/>
        <v>190.67599999999999</v>
      </c>
      <c r="AF10" s="186">
        <f t="shared" si="9"/>
        <v>0.24389066475308238</v>
      </c>
    </row>
    <row r="11" spans="3:32" x14ac:dyDescent="0.25">
      <c r="C11" t="s">
        <v>493</v>
      </c>
      <c r="E11" s="194">
        <v>0.88</v>
      </c>
      <c r="F11" s="194">
        <v>0</v>
      </c>
      <c r="G11" s="194">
        <v>0.88</v>
      </c>
      <c r="H11">
        <f t="shared" si="0"/>
        <v>0</v>
      </c>
      <c r="I11" s="186">
        <f t="shared" si="1"/>
        <v>1</v>
      </c>
      <c r="J11" s="186">
        <f t="shared" si="2"/>
        <v>0</v>
      </c>
      <c r="K11" s="196">
        <v>0.69830000000000003</v>
      </c>
      <c r="L11" s="194">
        <v>2042</v>
      </c>
      <c r="M11" s="242">
        <f t="shared" si="11"/>
        <v>226.03172602739721</v>
      </c>
      <c r="N11" s="242">
        <v>226.03172602739721</v>
      </c>
      <c r="O11" s="242">
        <v>0</v>
      </c>
      <c r="P11" s="242">
        <f t="shared" si="12"/>
        <v>0</v>
      </c>
      <c r="Q11" s="243">
        <f t="shared" si="13"/>
        <v>1</v>
      </c>
      <c r="R11" s="245">
        <f t="shared" si="3"/>
        <v>0.88</v>
      </c>
      <c r="S11" s="243">
        <f t="shared" si="10"/>
        <v>1</v>
      </c>
      <c r="T11" s="194">
        <v>150</v>
      </c>
      <c r="U11" s="231">
        <v>180</v>
      </c>
      <c r="V11" s="194">
        <v>105</v>
      </c>
      <c r="W11" s="194">
        <v>90</v>
      </c>
      <c r="X11" s="194">
        <v>60</v>
      </c>
      <c r="Y11" s="194"/>
      <c r="Z11" s="194"/>
      <c r="AA11" s="232">
        <f t="shared" si="4"/>
        <v>-5.4</v>
      </c>
      <c r="AB11" s="233">
        <f t="shared" si="5"/>
        <v>11079</v>
      </c>
      <c r="AC11" s="234">
        <f t="shared" si="6"/>
        <v>52.199999999998909</v>
      </c>
      <c r="AD11" s="224">
        <f t="shared" si="7"/>
        <v>0.81183299999999559</v>
      </c>
      <c r="AE11" s="225">
        <f t="shared" si="8"/>
        <v>0.89614799999972805</v>
      </c>
      <c r="AF11" s="186">
        <f t="shared" si="9"/>
        <v>1.8349999999690961E-2</v>
      </c>
    </row>
    <row r="12" spans="3:32" x14ac:dyDescent="0.25">
      <c r="C12" t="s">
        <v>494</v>
      </c>
      <c r="E12" s="194">
        <v>543.79</v>
      </c>
      <c r="F12" s="194">
        <v>0</v>
      </c>
      <c r="G12" s="194">
        <f>+E12</f>
        <v>543.79</v>
      </c>
      <c r="H12">
        <f t="shared" si="0"/>
        <v>0</v>
      </c>
      <c r="I12" s="186">
        <f t="shared" si="1"/>
        <v>1</v>
      </c>
      <c r="J12" s="186">
        <f t="shared" si="2"/>
        <v>0</v>
      </c>
      <c r="K12" s="196">
        <v>0.31709999999999999</v>
      </c>
      <c r="L12" s="194">
        <v>2099</v>
      </c>
      <c r="M12" s="242">
        <f t="shared" si="11"/>
        <v>43276.035643835618</v>
      </c>
      <c r="N12" s="242">
        <v>43276.035643835618</v>
      </c>
      <c r="O12" s="242">
        <v>0</v>
      </c>
      <c r="P12" s="242">
        <f t="shared" si="12"/>
        <v>0</v>
      </c>
      <c r="Q12" s="243">
        <f t="shared" si="13"/>
        <v>1</v>
      </c>
      <c r="R12" s="245">
        <f t="shared" si="3"/>
        <v>543.79</v>
      </c>
      <c r="S12" s="243">
        <f t="shared" si="10"/>
        <v>1</v>
      </c>
      <c r="T12" s="194">
        <v>40000</v>
      </c>
      <c r="U12" s="194"/>
      <c r="V12" s="194">
        <v>32500</v>
      </c>
      <c r="X12" s="194">
        <v>27500</v>
      </c>
      <c r="Y12" s="194"/>
      <c r="Z12" s="194">
        <v>22500</v>
      </c>
      <c r="AA12" s="232">
        <f t="shared" si="4"/>
        <v>-575</v>
      </c>
      <c r="AB12" s="233">
        <f t="shared" si="5"/>
        <v>1200750</v>
      </c>
      <c r="AC12" s="234">
        <f t="shared" si="6"/>
        <v>-6175</v>
      </c>
      <c r="AD12" s="224">
        <f t="shared" si="7"/>
        <v>487.67193750000001</v>
      </c>
      <c r="AE12" s="225">
        <f t="shared" si="8"/>
        <v>476.8588125</v>
      </c>
      <c r="AF12" s="186">
        <f t="shared" si="9"/>
        <v>-0.1230827847146876</v>
      </c>
    </row>
    <row r="13" spans="3:32" x14ac:dyDescent="0.25">
      <c r="C13" t="s">
        <v>29</v>
      </c>
      <c r="E13" s="194">
        <v>272.89999999999998</v>
      </c>
      <c r="F13" s="194">
        <v>0</v>
      </c>
      <c r="G13" s="194">
        <v>272.29000000000002</v>
      </c>
      <c r="H13">
        <f t="shared" si="0"/>
        <v>0.6099999999999568</v>
      </c>
      <c r="I13" s="186">
        <f t="shared" si="1"/>
        <v>0.99776474899230505</v>
      </c>
      <c r="J13" s="186">
        <f t="shared" si="2"/>
        <v>2.2352510076949681E-3</v>
      </c>
      <c r="K13" s="228">
        <v>0.71530000000000005</v>
      </c>
      <c r="L13" s="194">
        <v>2036</v>
      </c>
      <c r="M13" s="242">
        <f t="shared" si="11"/>
        <v>119308.68268493151</v>
      </c>
      <c r="N13" s="242">
        <v>119308.68268493151</v>
      </c>
      <c r="O13" s="242">
        <v>0</v>
      </c>
      <c r="P13" s="242">
        <f t="shared" si="12"/>
        <v>0</v>
      </c>
      <c r="Q13" s="243">
        <f t="shared" si="13"/>
        <v>1</v>
      </c>
      <c r="R13" s="245">
        <f t="shared" si="3"/>
        <v>272.89999999999998</v>
      </c>
      <c r="S13" s="243">
        <f t="shared" si="10"/>
        <v>0.99776474899230505</v>
      </c>
      <c r="T13" s="205">
        <v>105000</v>
      </c>
      <c r="U13" s="214">
        <v>75000</v>
      </c>
      <c r="V13" s="194">
        <v>40000</v>
      </c>
      <c r="W13" s="194">
        <v>25000</v>
      </c>
      <c r="AA13" s="232">
        <f t="shared" si="4"/>
        <v>-5500</v>
      </c>
      <c r="AB13" s="233">
        <f t="shared" si="5"/>
        <v>11212500</v>
      </c>
      <c r="AC13" s="234">
        <f t="shared" si="6"/>
        <v>14500</v>
      </c>
      <c r="AD13" s="224">
        <f t="shared" si="7"/>
        <v>348.94</v>
      </c>
      <c r="AE13" s="225">
        <f t="shared" si="8"/>
        <v>341.64</v>
      </c>
      <c r="AF13" s="186">
        <f t="shared" si="9"/>
        <v>0.25188713814584102</v>
      </c>
    </row>
    <row r="14" spans="3:32" x14ac:dyDescent="0.25">
      <c r="C14" t="s">
        <v>345</v>
      </c>
      <c r="E14" s="194">
        <v>16.52</v>
      </c>
      <c r="F14" s="194">
        <v>1.61</v>
      </c>
      <c r="G14">
        <f>+E14*98.07%</f>
        <v>16.201163999999999</v>
      </c>
      <c r="H14">
        <f t="shared" si="0"/>
        <v>0.31883600000000101</v>
      </c>
      <c r="I14" s="186">
        <f t="shared" si="1"/>
        <v>0.98069999999999991</v>
      </c>
      <c r="J14" s="186">
        <f t="shared" si="2"/>
        <v>1.930000000000006E-2</v>
      </c>
      <c r="K14" s="228">
        <v>0.73629999999999995</v>
      </c>
      <c r="L14" s="194">
        <v>2060</v>
      </c>
      <c r="M14" s="242">
        <f t="shared" si="11"/>
        <v>4154.1152328767121</v>
      </c>
      <c r="N14" s="242">
        <v>4154.1152328767121</v>
      </c>
      <c r="O14" s="242">
        <v>0</v>
      </c>
      <c r="P14" s="242">
        <f t="shared" si="12"/>
        <v>0</v>
      </c>
      <c r="Q14" s="243">
        <f t="shared" si="13"/>
        <v>1</v>
      </c>
      <c r="R14" s="245">
        <f t="shared" si="3"/>
        <v>16.52</v>
      </c>
      <c r="S14" s="243">
        <f t="shared" si="10"/>
        <v>0.98069999999999991</v>
      </c>
      <c r="T14" s="194">
        <v>4000</v>
      </c>
      <c r="U14" s="194">
        <v>3000</v>
      </c>
      <c r="V14" s="194">
        <v>1800</v>
      </c>
      <c r="W14" s="194">
        <v>1000</v>
      </c>
      <c r="X14" s="194">
        <v>900</v>
      </c>
      <c r="Y14" s="194">
        <v>700</v>
      </c>
      <c r="Z14" s="194">
        <v>500</v>
      </c>
      <c r="AA14" s="232">
        <f t="shared" si="4"/>
        <v>-114.28571428571429</v>
      </c>
      <c r="AB14" s="233">
        <f t="shared" si="5"/>
        <v>234271.42857142858</v>
      </c>
      <c r="AC14" s="234">
        <f t="shared" si="6"/>
        <v>-1157.1428571428696</v>
      </c>
      <c r="AD14" s="224">
        <f t="shared" si="7"/>
        <v>20.752857142857053</v>
      </c>
      <c r="AE14" s="225">
        <f t="shared" si="8"/>
        <v>16.47714285712421</v>
      </c>
      <c r="AF14" s="186">
        <f t="shared" si="9"/>
        <v>-2.5942580433286396E-3</v>
      </c>
    </row>
    <row r="15" spans="3:32" x14ac:dyDescent="0.25">
      <c r="C15" t="s">
        <v>140</v>
      </c>
      <c r="E15" s="194">
        <v>21.91</v>
      </c>
      <c r="F15" s="194">
        <v>0</v>
      </c>
      <c r="G15">
        <f>+E15</f>
        <v>21.91</v>
      </c>
      <c r="H15">
        <f t="shared" si="0"/>
        <v>0</v>
      </c>
      <c r="I15" s="186">
        <f t="shared" si="1"/>
        <v>1</v>
      </c>
      <c r="J15" s="186">
        <f t="shared" si="2"/>
        <v>0</v>
      </c>
      <c r="K15" s="228">
        <v>0.78649999999999998</v>
      </c>
      <c r="L15" s="194">
        <v>2035</v>
      </c>
      <c r="M15" s="242">
        <f t="shared" si="11"/>
        <v>10381.531479452055</v>
      </c>
      <c r="N15" s="242">
        <v>10381.531479452055</v>
      </c>
      <c r="O15" s="242">
        <v>0</v>
      </c>
      <c r="P15" s="242">
        <f t="shared" si="12"/>
        <v>0</v>
      </c>
      <c r="Q15" s="243">
        <f t="shared" si="13"/>
        <v>1</v>
      </c>
      <c r="R15" s="245">
        <f t="shared" si="3"/>
        <v>21.91</v>
      </c>
      <c r="S15" s="243">
        <f t="shared" si="10"/>
        <v>1</v>
      </c>
      <c r="T15" s="205">
        <v>10500</v>
      </c>
      <c r="U15" s="215">
        <v>6000</v>
      </c>
      <c r="V15" s="194">
        <v>2300</v>
      </c>
      <c r="W15" s="194">
        <v>1800</v>
      </c>
      <c r="AA15" s="232">
        <f t="shared" si="4"/>
        <v>-596</v>
      </c>
      <c r="AB15" s="233">
        <f t="shared" si="5"/>
        <v>1213540</v>
      </c>
      <c r="AC15" s="234">
        <f t="shared" si="6"/>
        <v>680</v>
      </c>
      <c r="AD15" s="224">
        <f t="shared" si="7"/>
        <v>30.605250000000002</v>
      </c>
      <c r="AE15" s="225">
        <f t="shared" si="8"/>
        <v>28.196249999999999</v>
      </c>
      <c r="AF15" s="186">
        <f t="shared" si="9"/>
        <v>0.28691236878137832</v>
      </c>
    </row>
    <row r="16" spans="3:32" x14ac:dyDescent="0.25">
      <c r="C16" t="s">
        <v>495</v>
      </c>
      <c r="E16" s="194">
        <v>8.85</v>
      </c>
      <c r="F16" s="194">
        <v>0</v>
      </c>
      <c r="G16">
        <f>+E16</f>
        <v>8.85</v>
      </c>
      <c r="H16">
        <f t="shared" si="0"/>
        <v>0</v>
      </c>
      <c r="I16" s="186">
        <f t="shared" si="1"/>
        <v>1</v>
      </c>
      <c r="J16" s="186">
        <f t="shared" si="2"/>
        <v>0</v>
      </c>
      <c r="K16" s="228">
        <v>0.55530000000000002</v>
      </c>
      <c r="L16" s="194">
        <v>2052</v>
      </c>
      <c r="M16" s="242">
        <f t="shared" si="11"/>
        <v>1737.8650958904109</v>
      </c>
      <c r="N16" s="242">
        <v>1737.8650958904109</v>
      </c>
      <c r="O16" s="242">
        <v>0</v>
      </c>
      <c r="P16" s="242">
        <f t="shared" si="12"/>
        <v>0</v>
      </c>
      <c r="Q16" s="243">
        <f t="shared" si="13"/>
        <v>1</v>
      </c>
      <c r="R16" s="245">
        <f t="shared" si="3"/>
        <v>8.85</v>
      </c>
      <c r="S16" s="243">
        <f t="shared" si="10"/>
        <v>1</v>
      </c>
      <c r="T16" s="205">
        <v>1600</v>
      </c>
      <c r="U16" s="205">
        <v>1500</v>
      </c>
      <c r="V16" s="194">
        <v>1100</v>
      </c>
      <c r="W16" s="194">
        <v>750</v>
      </c>
      <c r="X16" s="194">
        <v>500</v>
      </c>
      <c r="Y16" s="194">
        <v>250</v>
      </c>
      <c r="Z16" s="194">
        <v>200</v>
      </c>
      <c r="AA16" s="232">
        <f t="shared" si="4"/>
        <v>-52.142857142857146</v>
      </c>
      <c r="AB16" s="233">
        <f t="shared" si="5"/>
        <v>106953.57142857143</v>
      </c>
      <c r="AC16" s="234">
        <f t="shared" si="6"/>
        <v>-43.571428571434808</v>
      </c>
      <c r="AD16" s="224">
        <f t="shared" si="7"/>
        <v>9.0895428571428205</v>
      </c>
      <c r="AE16" s="225">
        <f t="shared" si="8"/>
        <v>9.2355428571459655</v>
      </c>
      <c r="AF16" s="186">
        <f t="shared" si="9"/>
        <v>4.3564164649261675E-2</v>
      </c>
    </row>
    <row r="17" spans="3:32" x14ac:dyDescent="0.25">
      <c r="C17" t="s">
        <v>61</v>
      </c>
      <c r="E17" s="194">
        <v>146.25</v>
      </c>
      <c r="F17" s="194">
        <v>0</v>
      </c>
      <c r="G17">
        <v>146.25</v>
      </c>
      <c r="H17">
        <f t="shared" si="0"/>
        <v>0</v>
      </c>
      <c r="I17" s="186">
        <f t="shared" si="1"/>
        <v>1</v>
      </c>
      <c r="J17" s="186">
        <f t="shared" si="2"/>
        <v>0</v>
      </c>
      <c r="K17" s="228">
        <v>0.58260000000000001</v>
      </c>
      <c r="L17" s="194">
        <v>2039</v>
      </c>
      <c r="M17" s="242">
        <f t="shared" si="11"/>
        <v>48971.756410958893</v>
      </c>
      <c r="N17" s="242">
        <v>48971.756410958893</v>
      </c>
      <c r="O17" s="242">
        <v>0</v>
      </c>
      <c r="P17" s="242">
        <f t="shared" si="12"/>
        <v>0</v>
      </c>
      <c r="Q17" s="243">
        <f t="shared" si="13"/>
        <v>1</v>
      </c>
      <c r="R17" s="245">
        <f t="shared" si="3"/>
        <v>146.25</v>
      </c>
      <c r="S17" s="243">
        <f t="shared" si="10"/>
        <v>1</v>
      </c>
      <c r="T17" s="205">
        <v>50000</v>
      </c>
      <c r="U17" s="205">
        <v>35000</v>
      </c>
      <c r="V17" s="194">
        <v>20000</v>
      </c>
      <c r="W17" s="194">
        <v>12500</v>
      </c>
      <c r="AA17" s="232">
        <f t="shared" si="4"/>
        <v>-2550</v>
      </c>
      <c r="AB17" s="233">
        <f t="shared" si="5"/>
        <v>5199500</v>
      </c>
      <c r="AC17" s="234">
        <f t="shared" si="6"/>
        <v>50</v>
      </c>
      <c r="AD17" s="224">
        <f t="shared" si="7"/>
        <v>173.54837499999999</v>
      </c>
      <c r="AE17" s="225">
        <f t="shared" si="8"/>
        <v>168.34712500000001</v>
      </c>
      <c r="AF17" s="186">
        <f t="shared" si="9"/>
        <v>0.15109145299145302</v>
      </c>
    </row>
    <row r="18" spans="3:32" x14ac:dyDescent="0.25">
      <c r="C18" t="s">
        <v>496</v>
      </c>
      <c r="E18" s="194">
        <v>89.99</v>
      </c>
      <c r="F18" s="194">
        <v>0</v>
      </c>
      <c r="G18">
        <f>+E18</f>
        <v>89.99</v>
      </c>
      <c r="H18">
        <f t="shared" si="0"/>
        <v>0</v>
      </c>
      <c r="I18" s="186">
        <f t="shared" si="1"/>
        <v>1</v>
      </c>
      <c r="J18" s="186">
        <f t="shared" si="2"/>
        <v>0</v>
      </c>
      <c r="K18" s="228">
        <v>0.42830000000000001</v>
      </c>
      <c r="L18" s="194">
        <v>2044</v>
      </c>
      <c r="M18" s="242">
        <f t="shared" si="11"/>
        <v>20119.028164383562</v>
      </c>
      <c r="N18" s="242">
        <v>20119.028164383562</v>
      </c>
      <c r="O18" s="242">
        <v>0</v>
      </c>
      <c r="P18" s="242">
        <f t="shared" si="12"/>
        <v>0</v>
      </c>
      <c r="Q18" s="243">
        <f t="shared" si="13"/>
        <v>1</v>
      </c>
      <c r="R18" s="245">
        <f t="shared" si="3"/>
        <v>89.99</v>
      </c>
      <c r="S18" s="243">
        <f t="shared" si="10"/>
        <v>1</v>
      </c>
      <c r="T18" s="205">
        <v>20000</v>
      </c>
      <c r="U18" s="205">
        <v>17500</v>
      </c>
      <c r="V18" s="194">
        <v>12500</v>
      </c>
      <c r="W18" s="194">
        <v>7600</v>
      </c>
      <c r="X18" s="194">
        <v>6000</v>
      </c>
      <c r="AA18" s="232">
        <f t="shared" si="4"/>
        <v>-758</v>
      </c>
      <c r="AB18" s="233">
        <f t="shared" si="5"/>
        <v>1551460</v>
      </c>
      <c r="AC18" s="234">
        <f t="shared" si="6"/>
        <v>2108</v>
      </c>
      <c r="AD18" s="224">
        <f t="shared" si="7"/>
        <v>96.833039999999997</v>
      </c>
      <c r="AE18" s="225">
        <f t="shared" si="8"/>
        <v>98.147040000000004</v>
      </c>
      <c r="AF18" s="186">
        <f t="shared" si="9"/>
        <v>9.0643849316590835E-2</v>
      </c>
    </row>
    <row r="19" spans="3:32" x14ac:dyDescent="0.25">
      <c r="C19" t="s">
        <v>497</v>
      </c>
      <c r="E19" s="194">
        <v>86.96</v>
      </c>
      <c r="F19" s="194">
        <v>357.74</v>
      </c>
      <c r="G19">
        <f>+E19*68.57%</f>
        <v>59.628471999999995</v>
      </c>
      <c r="H19">
        <f t="shared" si="0"/>
        <v>27.331527999999999</v>
      </c>
      <c r="I19" s="186">
        <f t="shared" si="1"/>
        <v>0.68569999999999998</v>
      </c>
      <c r="J19" s="186">
        <f t="shared" si="2"/>
        <v>0.31430000000000002</v>
      </c>
      <c r="K19" s="228">
        <v>0.87790000000000001</v>
      </c>
      <c r="L19" s="194">
        <v>2035</v>
      </c>
      <c r="M19" s="242">
        <f t="shared" si="11"/>
        <v>36739.649441662732</v>
      </c>
      <c r="N19" s="242">
        <v>5802.3135890410958</v>
      </c>
      <c r="O19" s="242">
        <v>179.43654794520549</v>
      </c>
      <c r="P19" s="242">
        <f t="shared" si="12"/>
        <v>30937.335852621636</v>
      </c>
      <c r="Q19" s="243">
        <f t="shared" si="13"/>
        <v>0.15793056485893622</v>
      </c>
      <c r="R19" s="245">
        <f t="shared" si="3"/>
        <v>13.733641920133094</v>
      </c>
      <c r="S19" s="243">
        <f t="shared" si="10"/>
        <v>0.68569999999999998</v>
      </c>
      <c r="T19" s="205">
        <v>42000</v>
      </c>
      <c r="U19" s="205">
        <v>22000</v>
      </c>
      <c r="V19" s="194">
        <v>16000</v>
      </c>
      <c r="W19" s="194">
        <v>8000</v>
      </c>
      <c r="AA19" s="232">
        <f t="shared" si="4"/>
        <v>-2160</v>
      </c>
      <c r="AB19" s="233">
        <f t="shared" si="5"/>
        <v>4401400</v>
      </c>
      <c r="AC19" s="234">
        <f t="shared" si="6"/>
        <v>5800</v>
      </c>
      <c r="AD19" s="224">
        <f t="shared" si="7"/>
        <v>130.85249999999999</v>
      </c>
      <c r="AE19" s="225">
        <f t="shared" si="8"/>
        <v>120.45</v>
      </c>
      <c r="AF19" s="186">
        <f t="shared" si="9"/>
        <v>0.38511959521619149</v>
      </c>
    </row>
    <row r="20" spans="3:32" x14ac:dyDescent="0.25">
      <c r="C20" t="s">
        <v>498</v>
      </c>
      <c r="E20" s="194">
        <v>5.73</v>
      </c>
      <c r="F20" s="194">
        <v>0</v>
      </c>
      <c r="G20">
        <f>+E20</f>
        <v>5.73</v>
      </c>
      <c r="H20">
        <f t="shared" si="0"/>
        <v>0</v>
      </c>
      <c r="I20" s="186">
        <f t="shared" si="1"/>
        <v>1</v>
      </c>
      <c r="J20" s="186">
        <f t="shared" si="2"/>
        <v>0</v>
      </c>
      <c r="K20" s="228">
        <v>0.61819999999999997</v>
      </c>
      <c r="L20" s="194">
        <v>2050</v>
      </c>
      <c r="M20" s="242">
        <f t="shared" si="11"/>
        <v>3032.86197260274</v>
      </c>
      <c r="N20" s="242">
        <v>3032.86197260274</v>
      </c>
      <c r="O20" s="242">
        <v>0</v>
      </c>
      <c r="P20" s="242">
        <f t="shared" si="12"/>
        <v>0</v>
      </c>
      <c r="Q20" s="243">
        <f t="shared" si="13"/>
        <v>1</v>
      </c>
      <c r="R20" s="245">
        <f t="shared" si="3"/>
        <v>5.73</v>
      </c>
      <c r="S20" s="243">
        <f t="shared" si="10"/>
        <v>1</v>
      </c>
      <c r="T20" s="205">
        <v>2250</v>
      </c>
      <c r="U20" s="205">
        <v>1250</v>
      </c>
      <c r="V20" s="194">
        <v>600</v>
      </c>
      <c r="W20" s="194">
        <v>400</v>
      </c>
      <c r="X20" s="194">
        <v>200</v>
      </c>
      <c r="Y20" s="194">
        <v>150</v>
      </c>
      <c r="Z20" s="194">
        <v>100</v>
      </c>
      <c r="AA20" s="232">
        <f t="shared" si="4"/>
        <v>-64.642857142857139</v>
      </c>
      <c r="AB20" s="233">
        <f t="shared" si="5"/>
        <v>132255.35714285716</v>
      </c>
      <c r="AC20" s="234">
        <f t="shared" si="6"/>
        <v>-262.4999999999709</v>
      </c>
      <c r="AD20" s="224">
        <f t="shared" si="7"/>
        <v>10.881562500000161</v>
      </c>
      <c r="AE20" s="225">
        <f t="shared" si="8"/>
        <v>7.7432142857189472</v>
      </c>
      <c r="AF20" s="186">
        <f t="shared" si="9"/>
        <v>0.35134629768218961</v>
      </c>
    </row>
    <row r="21" spans="3:32" x14ac:dyDescent="0.25">
      <c r="C21" t="s">
        <v>499</v>
      </c>
      <c r="E21" s="194">
        <v>89.27</v>
      </c>
      <c r="F21" s="194">
        <v>504.38</v>
      </c>
      <c r="G21">
        <f>+E21*5.84%</f>
        <v>5.213368</v>
      </c>
      <c r="H21">
        <f t="shared" si="0"/>
        <v>84.056631999999993</v>
      </c>
      <c r="I21" s="186">
        <f t="shared" si="1"/>
        <v>5.8400000000000001E-2</v>
      </c>
      <c r="J21" s="186">
        <f t="shared" si="2"/>
        <v>0.94159999999999999</v>
      </c>
      <c r="K21" s="228">
        <v>0.24510000000000001</v>
      </c>
      <c r="L21" s="194">
        <v>2059</v>
      </c>
      <c r="M21" s="242">
        <f t="shared" si="11"/>
        <v>5687.8121180916396</v>
      </c>
      <c r="N21" s="242">
        <v>1396.6784383561644</v>
      </c>
      <c r="O21" s="242">
        <v>24.888575342465753</v>
      </c>
      <c r="P21" s="242">
        <f t="shared" si="12"/>
        <v>4291.1336797354752</v>
      </c>
      <c r="Q21" s="243">
        <f t="shared" si="13"/>
        <v>0.24555635969648984</v>
      </c>
      <c r="R21" s="245">
        <f t="shared" si="3"/>
        <v>21.920816230105647</v>
      </c>
      <c r="S21" s="243">
        <f t="shared" si="10"/>
        <v>5.8400000000000001E-2</v>
      </c>
      <c r="T21" s="205">
        <v>10000</v>
      </c>
      <c r="U21" s="205">
        <v>18500</v>
      </c>
      <c r="V21" s="194">
        <v>10000</v>
      </c>
      <c r="W21" s="194">
        <v>7000</v>
      </c>
      <c r="X21" s="194">
        <v>5000</v>
      </c>
      <c r="Y21" s="194">
        <v>3500</v>
      </c>
      <c r="Z21" s="194">
        <v>2100</v>
      </c>
      <c r="AA21" s="232">
        <f t="shared" si="4"/>
        <v>-419.28571428571439</v>
      </c>
      <c r="AB21" s="233">
        <f t="shared" si="5"/>
        <v>861260.71428571444</v>
      </c>
      <c r="AC21" s="234">
        <f t="shared" si="6"/>
        <v>-2048.5714285714785</v>
      </c>
      <c r="AD21" s="224">
        <f t="shared" si="7"/>
        <v>56.594292857142499</v>
      </c>
      <c r="AE21" s="225">
        <f t="shared" si="8"/>
        <v>87.224962500087017</v>
      </c>
      <c r="AF21" s="186">
        <f t="shared" si="9"/>
        <v>-2.2908451886557404E-2</v>
      </c>
    </row>
    <row r="22" spans="3:32" x14ac:dyDescent="0.25">
      <c r="C22" t="s">
        <v>500</v>
      </c>
      <c r="E22" s="194">
        <v>10.25</v>
      </c>
      <c r="F22" s="194">
        <v>60.26</v>
      </c>
      <c r="G22">
        <f>+E22*2%</f>
        <v>0.20500000000000002</v>
      </c>
      <c r="H22">
        <f t="shared" si="0"/>
        <v>10.045</v>
      </c>
      <c r="I22" s="186">
        <f t="shared" si="1"/>
        <v>0.02</v>
      </c>
      <c r="J22" s="186">
        <f t="shared" si="2"/>
        <v>0.98</v>
      </c>
      <c r="K22" s="228">
        <v>0.98270000000000002</v>
      </c>
      <c r="L22" s="194">
        <v>2025</v>
      </c>
      <c r="M22" s="242">
        <f t="shared" si="11"/>
        <v>13330.402025507794</v>
      </c>
      <c r="N22" s="242">
        <v>802.2064657534246</v>
      </c>
      <c r="O22" s="242">
        <v>72.663534246575338</v>
      </c>
      <c r="P22" s="242">
        <f t="shared" si="12"/>
        <v>12528.195559754369</v>
      </c>
      <c r="Q22" s="243">
        <f t="shared" si="13"/>
        <v>6.0178715106896125E-2</v>
      </c>
      <c r="R22" s="245">
        <f t="shared" si="3"/>
        <v>0.6168318298456853</v>
      </c>
      <c r="S22" s="243">
        <f t="shared" si="10"/>
        <v>0.02</v>
      </c>
      <c r="T22" s="205">
        <v>8000</v>
      </c>
      <c r="U22" s="205">
        <v>5000</v>
      </c>
      <c r="AA22" s="232">
        <f t="shared" si="4"/>
        <v>-600</v>
      </c>
      <c r="AB22" s="233">
        <f t="shared" si="5"/>
        <v>1220000</v>
      </c>
      <c r="AC22" s="234">
        <f t="shared" si="6"/>
        <v>5000</v>
      </c>
      <c r="AD22" s="224">
        <f t="shared" si="7"/>
        <v>11.862500000000001</v>
      </c>
      <c r="AE22" s="225">
        <f t="shared" si="8"/>
        <v>11.862500000000001</v>
      </c>
      <c r="AF22" s="186">
        <f t="shared" si="9"/>
        <v>0.15731707317073176</v>
      </c>
    </row>
    <row r="23" spans="3:32" x14ac:dyDescent="0.25">
      <c r="C23" t="s">
        <v>501</v>
      </c>
      <c r="E23" s="194">
        <v>17.7</v>
      </c>
      <c r="F23" s="194">
        <v>97.48</v>
      </c>
      <c r="G23">
        <f>+E23*8.23%</f>
        <v>1.4567099999999999</v>
      </c>
      <c r="H23">
        <f t="shared" si="0"/>
        <v>16.243289999999998</v>
      </c>
      <c r="I23" s="186">
        <f t="shared" si="1"/>
        <v>8.2299999999999998E-2</v>
      </c>
      <c r="J23" s="186">
        <f t="shared" si="2"/>
        <v>0.91769999999999996</v>
      </c>
      <c r="K23" s="228">
        <v>0.97750000000000004</v>
      </c>
      <c r="L23" s="194">
        <v>2025</v>
      </c>
      <c r="M23" s="242">
        <f t="shared" si="11"/>
        <v>18303.892234293809</v>
      </c>
      <c r="N23" s="242">
        <v>2380.4156164383562</v>
      </c>
      <c r="O23" s="242">
        <v>92.356164383561648</v>
      </c>
      <c r="P23" s="242">
        <f t="shared" si="12"/>
        <v>15923.476617855455</v>
      </c>
      <c r="Q23" s="243">
        <f t="shared" si="13"/>
        <v>0.13004969576790104</v>
      </c>
      <c r="R23" s="245">
        <f t="shared" si="3"/>
        <v>2.3018796150918481</v>
      </c>
      <c r="S23" s="243">
        <f t="shared" si="10"/>
        <v>8.2299999999999998E-2</v>
      </c>
      <c r="T23" s="194">
        <v>8000</v>
      </c>
      <c r="U23" s="213">
        <v>5000</v>
      </c>
      <c r="AA23" s="232">
        <f t="shared" si="4"/>
        <v>-600</v>
      </c>
      <c r="AB23" s="233">
        <f t="shared" si="5"/>
        <v>1220000</v>
      </c>
      <c r="AC23" s="234">
        <f t="shared" si="6"/>
        <v>5000</v>
      </c>
      <c r="AD23" s="224">
        <f t="shared" si="7"/>
        <v>11.862500000000001</v>
      </c>
      <c r="AE23" s="225">
        <f t="shared" si="8"/>
        <v>11.862500000000001</v>
      </c>
      <c r="AF23" s="186">
        <f t="shared" si="9"/>
        <v>-0.32980225988700557</v>
      </c>
    </row>
    <row r="24" spans="3:32" x14ac:dyDescent="0.25">
      <c r="C24" t="s">
        <v>502</v>
      </c>
      <c r="E24" s="194">
        <v>8.8000000000000007</v>
      </c>
      <c r="F24" s="194">
        <v>2.82</v>
      </c>
      <c r="G24">
        <f>+E24*94.66%</f>
        <v>8.3300800000000006</v>
      </c>
      <c r="H24">
        <f t="shared" si="0"/>
        <v>0.46992000000000012</v>
      </c>
      <c r="I24" s="186">
        <f t="shared" si="1"/>
        <v>0.9466</v>
      </c>
      <c r="J24" s="186">
        <f t="shared" si="2"/>
        <v>5.340000000000001E-2</v>
      </c>
      <c r="K24" s="228">
        <v>0.7712</v>
      </c>
      <c r="L24" s="194">
        <v>2039</v>
      </c>
      <c r="M24" s="242">
        <f t="shared" si="11"/>
        <v>3090.1880736891835</v>
      </c>
      <c r="N24" s="242">
        <v>2982.4176438356171</v>
      </c>
      <c r="O24" s="242">
        <v>0.62506849315068491</v>
      </c>
      <c r="P24" s="242">
        <f t="shared" si="12"/>
        <v>107.77042985356636</v>
      </c>
      <c r="Q24" s="243">
        <f t="shared" si="13"/>
        <v>0.96512496091381716</v>
      </c>
      <c r="R24" s="245">
        <f t="shared" si="3"/>
        <v>8.4930996560415917</v>
      </c>
      <c r="S24" s="243">
        <f t="shared" si="10"/>
        <v>0.9466</v>
      </c>
      <c r="T24" s="194">
        <v>3000</v>
      </c>
      <c r="U24" s="213">
        <v>2000</v>
      </c>
      <c r="V24" s="194">
        <v>1100</v>
      </c>
      <c r="W24" s="194">
        <v>800</v>
      </c>
      <c r="AA24" s="232">
        <f t="shared" si="4"/>
        <v>-150</v>
      </c>
      <c r="AB24" s="233">
        <f t="shared" si="5"/>
        <v>305850</v>
      </c>
      <c r="AC24" s="234">
        <f t="shared" si="6"/>
        <v>0</v>
      </c>
      <c r="AD24" s="224">
        <f t="shared" si="7"/>
        <v>10.4025</v>
      </c>
      <c r="AE24" s="225">
        <f t="shared" si="8"/>
        <v>9.8823749999999997</v>
      </c>
      <c r="AF24" s="186">
        <f t="shared" si="9"/>
        <v>0.12299715909090897</v>
      </c>
    </row>
    <row r="25" spans="3:32" x14ac:dyDescent="0.25">
      <c r="C25" t="s">
        <v>503</v>
      </c>
      <c r="E25" s="194">
        <v>1.1399999999999999</v>
      </c>
      <c r="F25" s="194">
        <v>0.47</v>
      </c>
      <c r="G25">
        <f>+E25*93.12%</f>
        <v>1.0615679999999998</v>
      </c>
      <c r="H25">
        <f t="shared" si="0"/>
        <v>7.8432000000000057E-2</v>
      </c>
      <c r="I25" s="186">
        <f t="shared" si="1"/>
        <v>0.93119999999999992</v>
      </c>
      <c r="J25" s="186">
        <f t="shared" si="2"/>
        <v>6.8800000000000056E-2</v>
      </c>
      <c r="K25" s="228">
        <v>0.73509999999999998</v>
      </c>
      <c r="L25" s="194">
        <v>2033</v>
      </c>
      <c r="M25" s="242">
        <f t="shared" si="11"/>
        <v>1290.1837175247995</v>
      </c>
      <c r="N25" s="242">
        <v>1266.3858904109591</v>
      </c>
      <c r="O25" s="242">
        <v>0.13802739726027391</v>
      </c>
      <c r="P25" s="242">
        <f t="shared" si="12"/>
        <v>23.797827113840331</v>
      </c>
      <c r="Q25" s="243">
        <f t="shared" si="13"/>
        <v>0.98155469892342451</v>
      </c>
      <c r="R25" s="245">
        <f t="shared" si="3"/>
        <v>1.1189723567727039</v>
      </c>
      <c r="S25" s="243">
        <f t="shared" si="10"/>
        <v>0.93119999999999992</v>
      </c>
      <c r="T25" s="205">
        <v>1000</v>
      </c>
      <c r="U25" s="213">
        <v>300</v>
      </c>
      <c r="V25" s="194">
        <v>100</v>
      </c>
      <c r="AA25" s="232">
        <f t="shared" si="4"/>
        <v>-90</v>
      </c>
      <c r="AB25" s="233">
        <f t="shared" si="5"/>
        <v>182716.66666666666</v>
      </c>
      <c r="AC25" s="234">
        <f t="shared" si="6"/>
        <v>-253.33333333334303</v>
      </c>
      <c r="AD25" s="224">
        <f t="shared" si="7"/>
        <v>1.7714666666666437</v>
      </c>
      <c r="AE25" s="225">
        <f t="shared" si="8"/>
        <v>1.5737583333405851</v>
      </c>
      <c r="AF25" s="186">
        <f t="shared" si="9"/>
        <v>0.38048976608823271</v>
      </c>
    </row>
    <row r="26" spans="3:32" x14ac:dyDescent="0.25">
      <c r="C26" t="s">
        <v>504</v>
      </c>
      <c r="E26" s="194">
        <v>1.31</v>
      </c>
      <c r="F26" s="194">
        <v>0.37</v>
      </c>
      <c r="G26">
        <f>+E26*95.34%</f>
        <v>1.2489540000000001</v>
      </c>
      <c r="H26">
        <f t="shared" si="0"/>
        <v>6.1045999999999934E-2</v>
      </c>
      <c r="I26" s="186">
        <f t="shared" si="1"/>
        <v>0.95340000000000003</v>
      </c>
      <c r="J26" s="186">
        <f t="shared" si="2"/>
        <v>4.6599999999999947E-2</v>
      </c>
      <c r="K26" s="228">
        <v>0.34710000000000002</v>
      </c>
      <c r="L26" s="194">
        <v>2053</v>
      </c>
      <c r="M26" s="242">
        <f t="shared" si="11"/>
        <v>483.05330278696272</v>
      </c>
      <c r="N26" s="242">
        <v>435.87805479452061</v>
      </c>
      <c r="O26" s="242">
        <v>0.27361643835616434</v>
      </c>
      <c r="P26" s="242">
        <f t="shared" si="12"/>
        <v>47.175247992442124</v>
      </c>
      <c r="Q26" s="243">
        <f t="shared" si="13"/>
        <v>0.90233945670122573</v>
      </c>
      <c r="R26" s="245">
        <f t="shared" si="3"/>
        <v>1.1820646882786057</v>
      </c>
      <c r="S26" s="243">
        <f t="shared" si="10"/>
        <v>0.95340000000000003</v>
      </c>
      <c r="T26" s="205">
        <v>480</v>
      </c>
      <c r="U26" s="205">
        <v>280</v>
      </c>
      <c r="V26" s="194">
        <v>125</v>
      </c>
      <c r="W26">
        <v>90</v>
      </c>
      <c r="X26">
        <v>50</v>
      </c>
      <c r="Y26">
        <v>30</v>
      </c>
      <c r="Z26">
        <v>25</v>
      </c>
      <c r="AA26" s="232">
        <f t="shared" si="4"/>
        <v>-13.857142857142858</v>
      </c>
      <c r="AB26" s="233">
        <f t="shared" si="5"/>
        <v>28353.571428571428</v>
      </c>
      <c r="AC26" s="234">
        <f t="shared" si="6"/>
        <v>-95.142857142858702</v>
      </c>
      <c r="AD26" s="224">
        <f t="shared" si="7"/>
        <v>2.3178021428571336</v>
      </c>
      <c r="AE26" s="225">
        <f t="shared" si="8"/>
        <v>1.6080075</v>
      </c>
      <c r="AF26" s="186">
        <f t="shared" si="9"/>
        <v>0.22748664122137402</v>
      </c>
    </row>
    <row r="27" spans="3:32" x14ac:dyDescent="0.25">
      <c r="C27" t="s">
        <v>505</v>
      </c>
      <c r="E27" s="194">
        <v>4.72</v>
      </c>
      <c r="F27" s="194">
        <v>7.45</v>
      </c>
      <c r="G27">
        <f>+E27*73.7%</f>
        <v>3.47864</v>
      </c>
      <c r="H27">
        <f t="shared" si="0"/>
        <v>1.2413599999999998</v>
      </c>
      <c r="I27" s="186">
        <f t="shared" si="1"/>
        <v>0.73699999999999999</v>
      </c>
      <c r="J27" s="186">
        <f t="shared" si="2"/>
        <v>0.26299999999999996</v>
      </c>
      <c r="K27" s="228">
        <v>0.91449999999999998</v>
      </c>
      <c r="L27" s="194">
        <v>2030</v>
      </c>
      <c r="M27" s="242">
        <f t="shared" si="11"/>
        <v>4583.6177808219181</v>
      </c>
      <c r="N27" s="242">
        <v>4583.6177808219181</v>
      </c>
      <c r="O27" s="242">
        <v>0</v>
      </c>
      <c r="P27" s="242">
        <f t="shared" si="12"/>
        <v>0</v>
      </c>
      <c r="Q27" s="243">
        <f t="shared" si="13"/>
        <v>1</v>
      </c>
      <c r="R27" s="245">
        <f t="shared" si="3"/>
        <v>4.72</v>
      </c>
      <c r="S27" s="243">
        <f t="shared" si="10"/>
        <v>0.73699999999999999</v>
      </c>
      <c r="T27" s="205">
        <v>3750</v>
      </c>
      <c r="U27" s="205">
        <v>1750</v>
      </c>
      <c r="V27" s="194">
        <v>750</v>
      </c>
      <c r="AA27" s="232">
        <f t="shared" si="4"/>
        <v>-300</v>
      </c>
      <c r="AB27" s="233">
        <f t="shared" si="5"/>
        <v>609583.33333333337</v>
      </c>
      <c r="AC27" s="234">
        <f t="shared" si="6"/>
        <v>583.33333333337214</v>
      </c>
      <c r="AD27" s="224">
        <f t="shared" si="7"/>
        <v>7.9083333333334034</v>
      </c>
      <c r="AE27" s="225">
        <f t="shared" si="8"/>
        <v>7.6041666666376591</v>
      </c>
      <c r="AF27" s="186">
        <f t="shared" si="9"/>
        <v>0.61105225988086009</v>
      </c>
    </row>
    <row r="28" spans="3:32" x14ac:dyDescent="0.25">
      <c r="C28" t="s">
        <v>506</v>
      </c>
      <c r="E28" s="194">
        <v>11.27</v>
      </c>
      <c r="F28" s="194">
        <v>0</v>
      </c>
      <c r="G28">
        <v>11.27</v>
      </c>
      <c r="H28">
        <f t="shared" si="0"/>
        <v>0</v>
      </c>
      <c r="I28" s="186">
        <f t="shared" si="1"/>
        <v>1</v>
      </c>
      <c r="J28" s="186">
        <f t="shared" si="2"/>
        <v>0</v>
      </c>
      <c r="K28" s="228">
        <v>0.4148</v>
      </c>
      <c r="L28" s="194">
        <v>2067</v>
      </c>
      <c r="M28" s="242">
        <f t="shared" si="11"/>
        <v>0</v>
      </c>
      <c r="N28" s="242"/>
      <c r="O28" s="242"/>
      <c r="P28" s="242">
        <f t="shared" si="12"/>
        <v>0</v>
      </c>
      <c r="Q28" s="243" t="e">
        <f t="shared" si="13"/>
        <v>#DIV/0!</v>
      </c>
      <c r="R28" s="245"/>
      <c r="S28" s="243">
        <f t="shared" si="10"/>
        <v>1</v>
      </c>
      <c r="T28" s="205">
        <v>2500</v>
      </c>
      <c r="U28" s="214">
        <v>1750</v>
      </c>
      <c r="V28" s="194">
        <v>1250</v>
      </c>
      <c r="W28">
        <v>800</v>
      </c>
      <c r="X28">
        <v>600</v>
      </c>
      <c r="Y28">
        <v>400</v>
      </c>
      <c r="Z28">
        <v>300</v>
      </c>
      <c r="AA28" s="232">
        <f t="shared" si="4"/>
        <v>-71.071428571428569</v>
      </c>
      <c r="AB28" s="233">
        <f t="shared" si="5"/>
        <v>145716.07142857142</v>
      </c>
      <c r="AC28" s="234">
        <f t="shared" si="6"/>
        <v>-1188.5714285714203</v>
      </c>
      <c r="AD28" s="224">
        <f t="shared" si="7"/>
        <v>11.248778571428643</v>
      </c>
      <c r="AE28" s="225">
        <f t="shared" si="8"/>
        <v>8.2619705357080697</v>
      </c>
      <c r="AF28" s="186">
        <f t="shared" si="9"/>
        <v>-0.2669058974527001</v>
      </c>
    </row>
    <row r="29" spans="3:32" x14ac:dyDescent="0.25">
      <c r="C29" t="s">
        <v>318</v>
      </c>
      <c r="E29" s="194">
        <v>3.84</v>
      </c>
      <c r="F29" s="194">
        <v>23.03</v>
      </c>
      <c r="H29">
        <f t="shared" si="0"/>
        <v>3.84</v>
      </c>
      <c r="I29" s="186">
        <f t="shared" si="1"/>
        <v>0</v>
      </c>
      <c r="J29" s="186">
        <f t="shared" si="2"/>
        <v>1</v>
      </c>
      <c r="K29" s="228">
        <v>0.84079999999999999</v>
      </c>
      <c r="L29" s="194">
        <v>2028</v>
      </c>
      <c r="M29" s="242">
        <f t="shared" si="11"/>
        <v>5516.7123287671238</v>
      </c>
      <c r="N29" s="242">
        <v>0</v>
      </c>
      <c r="O29" s="242">
        <v>31.996931506849318</v>
      </c>
      <c r="P29" s="242">
        <f t="shared" si="12"/>
        <v>5516.7123287671238</v>
      </c>
      <c r="Q29" s="243">
        <f t="shared" si="13"/>
        <v>0</v>
      </c>
      <c r="R29" s="245">
        <f t="shared" ref="R29:R38" si="14">+Q29*E29</f>
        <v>0</v>
      </c>
      <c r="S29" s="243">
        <f t="shared" si="10"/>
        <v>0</v>
      </c>
      <c r="T29" s="205">
        <v>5300</v>
      </c>
      <c r="U29" s="205">
        <v>1250</v>
      </c>
      <c r="AA29" s="232">
        <f t="shared" si="4"/>
        <v>-810</v>
      </c>
      <c r="AB29" s="233">
        <f t="shared" si="5"/>
        <v>1641500</v>
      </c>
      <c r="AC29" s="234">
        <f t="shared" si="6"/>
        <v>-1180</v>
      </c>
      <c r="AD29" s="224">
        <f t="shared" si="7"/>
        <v>6.0152000000000001</v>
      </c>
      <c r="AE29" s="225">
        <f t="shared" si="8"/>
        <v>6.0152000000000001</v>
      </c>
      <c r="AF29" s="186">
        <f t="shared" si="9"/>
        <v>0.5664583333333334</v>
      </c>
    </row>
    <row r="30" spans="3:32" x14ac:dyDescent="0.25">
      <c r="C30" t="s">
        <v>508</v>
      </c>
      <c r="E30" s="194">
        <v>14.92</v>
      </c>
      <c r="F30">
        <v>0.24</v>
      </c>
      <c r="G30">
        <f>+E30*99.74%</f>
        <v>14.881207999999999</v>
      </c>
      <c r="H30">
        <f t="shared" si="0"/>
        <v>3.8792000000000826E-2</v>
      </c>
      <c r="I30" s="186">
        <f t="shared" si="1"/>
        <v>0.99739999999999995</v>
      </c>
      <c r="J30" s="186">
        <f t="shared" si="2"/>
        <v>2.6000000000000554E-3</v>
      </c>
      <c r="K30" s="228">
        <v>0.75690000000000002</v>
      </c>
      <c r="L30" s="194">
        <v>2043</v>
      </c>
      <c r="M30" s="242">
        <f t="shared" si="11"/>
        <v>12434.820158715165</v>
      </c>
      <c r="N30" s="242">
        <v>12274.754027397263</v>
      </c>
      <c r="O30" s="242">
        <v>0.92838356164383562</v>
      </c>
      <c r="P30" s="242">
        <f t="shared" si="12"/>
        <v>160.06613131790269</v>
      </c>
      <c r="Q30" s="243">
        <f t="shared" si="13"/>
        <v>0.98712758775158338</v>
      </c>
      <c r="R30" s="245">
        <f t="shared" si="14"/>
        <v>14.727943609253623</v>
      </c>
      <c r="S30" s="243">
        <f t="shared" si="10"/>
        <v>0.99739999999999995</v>
      </c>
      <c r="T30" s="205">
        <v>10000</v>
      </c>
      <c r="U30" s="205">
        <v>4000</v>
      </c>
      <c r="V30" s="194">
        <v>1000</v>
      </c>
      <c r="W30">
        <v>500</v>
      </c>
      <c r="X30">
        <v>400</v>
      </c>
      <c r="AA30" s="232">
        <f t="shared" si="4"/>
        <v>-454</v>
      </c>
      <c r="AB30" s="233">
        <f t="shared" si="5"/>
        <v>924800</v>
      </c>
      <c r="AC30" s="234">
        <f t="shared" si="6"/>
        <v>-2722</v>
      </c>
      <c r="AD30" s="224">
        <f t="shared" si="7"/>
        <v>30.549405</v>
      </c>
      <c r="AE30" s="225">
        <f t="shared" si="8"/>
        <v>20.979105000000001</v>
      </c>
      <c r="AF30" s="186">
        <f t="shared" si="9"/>
        <v>0.40610623324396788</v>
      </c>
    </row>
    <row r="31" spans="3:32" x14ac:dyDescent="0.25">
      <c r="C31" t="s">
        <v>80</v>
      </c>
      <c r="E31" s="194">
        <v>43.42</v>
      </c>
      <c r="F31" s="194">
        <v>16.96</v>
      </c>
      <c r="G31">
        <f>+E31*93.49%</f>
        <v>40.593358000000002</v>
      </c>
      <c r="H31">
        <f t="shared" si="0"/>
        <v>2.8266419999999997</v>
      </c>
      <c r="I31" s="186">
        <f t="shared" si="1"/>
        <v>0.93490000000000006</v>
      </c>
      <c r="J31" s="186">
        <f t="shared" si="2"/>
        <v>6.5099999999999991E-2</v>
      </c>
      <c r="K31" s="228">
        <v>0.76190000000000002</v>
      </c>
      <c r="L31" s="194">
        <v>2042</v>
      </c>
      <c r="M31" s="242">
        <f t="shared" si="11"/>
        <v>30543.691030703827</v>
      </c>
      <c r="N31" s="242">
        <v>30059.642849315071</v>
      </c>
      <c r="O31" s="242">
        <v>2.8074794520547948</v>
      </c>
      <c r="P31" s="242">
        <f t="shared" si="12"/>
        <v>484.04818138875771</v>
      </c>
      <c r="Q31" s="243">
        <f t="shared" si="13"/>
        <v>0.98415226958319579</v>
      </c>
      <c r="R31" s="245">
        <f t="shared" si="14"/>
        <v>42.731891545302361</v>
      </c>
      <c r="S31" s="243">
        <f t="shared" si="10"/>
        <v>0.93490000000000006</v>
      </c>
      <c r="T31" s="205">
        <v>25000</v>
      </c>
      <c r="U31" s="205">
        <v>12500</v>
      </c>
      <c r="V31" s="194">
        <v>4500</v>
      </c>
      <c r="W31">
        <v>2500</v>
      </c>
      <c r="X31">
        <v>1000</v>
      </c>
      <c r="AA31" s="232">
        <f t="shared" si="4"/>
        <v>-1160</v>
      </c>
      <c r="AB31" s="233">
        <f t="shared" si="5"/>
        <v>2363900</v>
      </c>
      <c r="AC31" s="234">
        <f t="shared" si="6"/>
        <v>-4820</v>
      </c>
      <c r="AD31" s="224">
        <f t="shared" si="7"/>
        <v>81.0227</v>
      </c>
      <c r="AE31" s="225">
        <f t="shared" si="8"/>
        <v>63.758200000000002</v>
      </c>
      <c r="AF31" s="186">
        <f t="shared" si="9"/>
        <v>0.46840626439428834</v>
      </c>
    </row>
    <row r="32" spans="3:32" x14ac:dyDescent="0.25">
      <c r="C32" t="s">
        <v>449</v>
      </c>
      <c r="E32" s="194">
        <v>7.3</v>
      </c>
      <c r="F32" s="194">
        <v>4.54</v>
      </c>
      <c r="G32">
        <f>+E32*89.64%</f>
        <v>6.5437199999999995</v>
      </c>
      <c r="H32">
        <f t="shared" si="0"/>
        <v>0.75628000000000029</v>
      </c>
      <c r="I32" s="186">
        <f t="shared" si="1"/>
        <v>0.89639999999999997</v>
      </c>
      <c r="J32" s="186">
        <f t="shared" si="2"/>
        <v>0.10360000000000004</v>
      </c>
      <c r="K32" s="228">
        <v>0.77580000000000005</v>
      </c>
      <c r="L32" s="194">
        <v>2044</v>
      </c>
      <c r="M32" s="242">
        <f t="shared" si="11"/>
        <v>1962.0646849315069</v>
      </c>
      <c r="N32" s="242">
        <v>1962.0646849315069</v>
      </c>
      <c r="O32" s="242">
        <v>0</v>
      </c>
      <c r="P32" s="242">
        <f t="shared" si="12"/>
        <v>0</v>
      </c>
      <c r="Q32" s="243">
        <f t="shared" si="13"/>
        <v>1</v>
      </c>
      <c r="R32" s="245">
        <f t="shared" si="14"/>
        <v>7.3</v>
      </c>
      <c r="S32" s="243">
        <f t="shared" si="10"/>
        <v>0.89639999999999997</v>
      </c>
      <c r="T32" s="205">
        <v>2000</v>
      </c>
      <c r="U32" s="205">
        <v>1250</v>
      </c>
      <c r="V32" s="194">
        <v>900</v>
      </c>
      <c r="W32">
        <v>600</v>
      </c>
      <c r="X32">
        <v>400</v>
      </c>
      <c r="AA32" s="232">
        <f t="shared" si="4"/>
        <v>-77</v>
      </c>
      <c r="AB32" s="233">
        <f t="shared" si="5"/>
        <v>157340</v>
      </c>
      <c r="AC32" s="234">
        <f t="shared" si="6"/>
        <v>-48</v>
      </c>
      <c r="AD32" s="224">
        <f t="shared" si="7"/>
        <v>8.5497599999999991</v>
      </c>
      <c r="AE32" s="225">
        <f t="shared" si="8"/>
        <v>7.6737599999999997</v>
      </c>
      <c r="AF32" s="186">
        <f t="shared" si="9"/>
        <v>5.1199999999999982E-2</v>
      </c>
    </row>
    <row r="33" spans="3:32" x14ac:dyDescent="0.25">
      <c r="C33" t="s">
        <v>509</v>
      </c>
      <c r="E33" s="194">
        <v>0.57999999999999996</v>
      </c>
      <c r="F33" s="194">
        <v>0</v>
      </c>
      <c r="G33">
        <f>+E33</f>
        <v>0.57999999999999996</v>
      </c>
      <c r="H33">
        <f t="shared" si="0"/>
        <v>0</v>
      </c>
      <c r="I33" s="186">
        <f t="shared" si="1"/>
        <v>1</v>
      </c>
      <c r="J33" s="186">
        <f t="shared" si="2"/>
        <v>0</v>
      </c>
      <c r="K33" s="228">
        <v>0.91830000000000001</v>
      </c>
      <c r="L33" s="194">
        <v>2031</v>
      </c>
      <c r="M33" s="242">
        <f t="shared" si="11"/>
        <v>60862.479471894199</v>
      </c>
      <c r="N33" s="242">
        <v>26403.53284931507</v>
      </c>
      <c r="O33" s="242">
        <v>199.86189041095895</v>
      </c>
      <c r="P33" s="242">
        <f t="shared" si="12"/>
        <v>34458.946622579126</v>
      </c>
      <c r="Q33" s="243">
        <f t="shared" si="13"/>
        <v>0.43382282612242257</v>
      </c>
      <c r="R33" s="245">
        <f t="shared" si="14"/>
        <v>0.25161723915100509</v>
      </c>
      <c r="S33" s="243">
        <f t="shared" si="10"/>
        <v>1</v>
      </c>
      <c r="T33" s="205">
        <v>500</v>
      </c>
      <c r="U33" s="205">
        <v>200</v>
      </c>
      <c r="V33" s="194">
        <v>80</v>
      </c>
      <c r="AA33" s="232">
        <f t="shared" si="4"/>
        <v>-42</v>
      </c>
      <c r="AB33" s="233">
        <f t="shared" si="5"/>
        <v>85310</v>
      </c>
      <c r="AC33" s="234">
        <f t="shared" si="6"/>
        <v>8</v>
      </c>
      <c r="AD33" s="224">
        <f t="shared" si="7"/>
        <v>1.0198100000000001</v>
      </c>
      <c r="AE33" s="225">
        <f t="shared" si="8"/>
        <v>0.95958500000000002</v>
      </c>
      <c r="AF33" s="186">
        <f t="shared" si="9"/>
        <v>0.65445689655172434</v>
      </c>
    </row>
    <row r="34" spans="3:32" x14ac:dyDescent="0.25">
      <c r="C34" t="s">
        <v>510</v>
      </c>
      <c r="E34" s="194">
        <v>130.22</v>
      </c>
      <c r="F34" s="194">
        <v>284</v>
      </c>
      <c r="G34">
        <f>+E34*63.65%</f>
        <v>82.88503</v>
      </c>
      <c r="H34">
        <f t="shared" si="0"/>
        <v>47.334969999999998</v>
      </c>
      <c r="I34" s="186">
        <f t="shared" si="1"/>
        <v>0.63649999999999995</v>
      </c>
      <c r="J34" s="186">
        <f t="shared" si="2"/>
        <v>0.36349999999999999</v>
      </c>
      <c r="K34" s="228">
        <v>0.63759999999999994</v>
      </c>
      <c r="L34" s="194">
        <v>2018</v>
      </c>
      <c r="M34" s="242">
        <f t="shared" si="11"/>
        <v>604.87506849315071</v>
      </c>
      <c r="N34" s="242">
        <v>604.87506849315071</v>
      </c>
      <c r="O34" s="242">
        <v>0</v>
      </c>
      <c r="P34" s="242">
        <f t="shared" si="12"/>
        <v>0</v>
      </c>
      <c r="Q34" s="243">
        <f t="shared" si="13"/>
        <v>1</v>
      </c>
      <c r="R34" s="245">
        <f t="shared" si="14"/>
        <v>130.22</v>
      </c>
      <c r="S34" s="243">
        <f t="shared" si="10"/>
        <v>0.63649999999999995</v>
      </c>
      <c r="T34" s="205">
        <v>55000</v>
      </c>
      <c r="U34" s="205">
        <v>31000</v>
      </c>
      <c r="V34" s="194">
        <v>15000</v>
      </c>
      <c r="W34">
        <v>8000</v>
      </c>
      <c r="AA34" s="232">
        <f t="shared" si="4"/>
        <v>-3140</v>
      </c>
      <c r="AB34" s="233">
        <f t="shared" si="5"/>
        <v>6393600</v>
      </c>
      <c r="AC34" s="234">
        <f t="shared" si="6"/>
        <v>57080</v>
      </c>
      <c r="AD34" s="224">
        <f t="shared" si="7"/>
        <v>-40.909199999999998</v>
      </c>
      <c r="AE34" s="225">
        <f t="shared" si="8"/>
        <v>-39.376199999999997</v>
      </c>
      <c r="AF34" s="186">
        <f t="shared" si="9"/>
        <v>-1.3023821225618186</v>
      </c>
    </row>
    <row r="35" spans="3:32" x14ac:dyDescent="0.25">
      <c r="C35" t="s">
        <v>344</v>
      </c>
      <c r="E35" s="194">
        <v>24.09</v>
      </c>
      <c r="F35" s="194">
        <v>0</v>
      </c>
      <c r="G35">
        <f>+E35</f>
        <v>24.09</v>
      </c>
      <c r="H35">
        <f t="shared" si="0"/>
        <v>0</v>
      </c>
      <c r="I35" s="186">
        <f t="shared" si="1"/>
        <v>1</v>
      </c>
      <c r="J35" s="186">
        <f t="shared" si="2"/>
        <v>0</v>
      </c>
      <c r="K35" s="228">
        <v>0.73740000000000006</v>
      </c>
      <c r="L35" s="194">
        <v>2064</v>
      </c>
      <c r="M35" s="242">
        <f t="shared" si="11"/>
        <v>4233.3403013698626</v>
      </c>
      <c r="N35" s="242">
        <v>4233.3403013698626</v>
      </c>
      <c r="O35" s="242">
        <v>0</v>
      </c>
      <c r="P35" s="242">
        <f t="shared" si="12"/>
        <v>0</v>
      </c>
      <c r="Q35" s="243">
        <f t="shared" si="13"/>
        <v>1</v>
      </c>
      <c r="R35" s="245">
        <f t="shared" si="14"/>
        <v>24.09</v>
      </c>
      <c r="S35" s="243">
        <f t="shared" si="10"/>
        <v>1</v>
      </c>
      <c r="T35" s="205">
        <v>4000</v>
      </c>
      <c r="U35" s="205">
        <v>3500</v>
      </c>
      <c r="V35" s="194">
        <v>2500</v>
      </c>
      <c r="W35">
        <v>2000</v>
      </c>
      <c r="X35">
        <v>1500</v>
      </c>
      <c r="Y35">
        <v>1250</v>
      </c>
      <c r="Z35">
        <v>1000</v>
      </c>
      <c r="AA35" s="232">
        <f t="shared" si="4"/>
        <v>-103.57142857142857</v>
      </c>
      <c r="AB35" s="233">
        <f t="shared" si="5"/>
        <v>213017.85714285713</v>
      </c>
      <c r="AC35" s="234">
        <f t="shared" si="6"/>
        <v>-753.57142857144936</v>
      </c>
      <c r="AD35" s="224">
        <f t="shared" si="7"/>
        <v>26.068821428571262</v>
      </c>
      <c r="AE35" s="225">
        <f t="shared" si="8"/>
        <v>24.491499999999998</v>
      </c>
      <c r="AF35" s="186">
        <f t="shared" si="9"/>
        <v>1.6666666666666611E-2</v>
      </c>
    </row>
    <row r="36" spans="3:32" x14ac:dyDescent="0.25">
      <c r="C36" t="s">
        <v>511</v>
      </c>
      <c r="E36" s="194">
        <v>5.59</v>
      </c>
      <c r="F36" s="194">
        <v>0</v>
      </c>
      <c r="G36">
        <f>+E36</f>
        <v>5.59</v>
      </c>
      <c r="H36">
        <f t="shared" si="0"/>
        <v>0</v>
      </c>
      <c r="I36" s="186">
        <f t="shared" si="1"/>
        <v>1</v>
      </c>
      <c r="J36" s="186">
        <f t="shared" si="2"/>
        <v>0</v>
      </c>
      <c r="K36" s="228">
        <v>0.69210000000000005</v>
      </c>
      <c r="L36" s="194">
        <v>2047</v>
      </c>
      <c r="M36" s="242">
        <f t="shared" si="11"/>
        <v>1476.5236986301368</v>
      </c>
      <c r="N36" s="242">
        <v>1476.5236986301368</v>
      </c>
      <c r="O36" s="242">
        <v>0</v>
      </c>
      <c r="P36" s="242">
        <f t="shared" si="12"/>
        <v>0</v>
      </c>
      <c r="Q36" s="243">
        <f t="shared" si="13"/>
        <v>1</v>
      </c>
      <c r="R36" s="245">
        <f t="shared" si="14"/>
        <v>5.59</v>
      </c>
      <c r="S36" s="243">
        <f t="shared" si="10"/>
        <v>1</v>
      </c>
      <c r="T36" s="205">
        <v>1400</v>
      </c>
      <c r="U36" s="205">
        <v>1250</v>
      </c>
      <c r="V36" s="194">
        <v>750</v>
      </c>
      <c r="W36">
        <v>450</v>
      </c>
      <c r="X36">
        <v>250</v>
      </c>
      <c r="AA36" s="232">
        <f t="shared" si="4"/>
        <v>-62</v>
      </c>
      <c r="AB36" s="233">
        <f t="shared" si="5"/>
        <v>126680</v>
      </c>
      <c r="AC36" s="234">
        <f t="shared" si="6"/>
        <v>-234</v>
      </c>
      <c r="AD36" s="224">
        <f t="shared" si="7"/>
        <v>5.7454650000000003</v>
      </c>
      <c r="AE36" s="225">
        <f t="shared" si="8"/>
        <v>5.9425650000000001</v>
      </c>
      <c r="AF36" s="186">
        <f t="shared" si="9"/>
        <v>6.307066189624333E-2</v>
      </c>
    </row>
    <row r="37" spans="3:32" x14ac:dyDescent="0.25">
      <c r="C37" t="s">
        <v>345</v>
      </c>
      <c r="E37" s="194">
        <v>16.52</v>
      </c>
      <c r="F37" s="194">
        <v>1.91</v>
      </c>
      <c r="G37">
        <f>+E37*98.07%</f>
        <v>16.201163999999999</v>
      </c>
      <c r="H37">
        <f t="shared" si="0"/>
        <v>0.31883600000000101</v>
      </c>
      <c r="I37" s="186">
        <f t="shared" si="1"/>
        <v>0.98069999999999991</v>
      </c>
      <c r="J37" s="186">
        <f t="shared" si="2"/>
        <v>1.930000000000006E-2</v>
      </c>
      <c r="K37" s="228">
        <v>0.73629999999999995</v>
      </c>
      <c r="L37" s="194">
        <v>2060</v>
      </c>
      <c r="M37" s="242">
        <f t="shared" si="11"/>
        <v>4154.1152328767121</v>
      </c>
      <c r="N37" s="242">
        <v>4154.1152328767121</v>
      </c>
      <c r="O37" s="242">
        <v>0</v>
      </c>
      <c r="P37" s="242">
        <f t="shared" si="12"/>
        <v>0</v>
      </c>
      <c r="Q37" s="243">
        <f t="shared" si="13"/>
        <v>1</v>
      </c>
      <c r="R37" s="245">
        <f t="shared" si="14"/>
        <v>16.52</v>
      </c>
      <c r="S37" s="243">
        <f t="shared" si="10"/>
        <v>0.98069999999999991</v>
      </c>
      <c r="T37" s="205">
        <v>4000</v>
      </c>
      <c r="U37" s="205">
        <v>3000</v>
      </c>
      <c r="V37" s="194">
        <v>1800</v>
      </c>
      <c r="W37">
        <v>1250</v>
      </c>
      <c r="X37">
        <v>1000</v>
      </c>
      <c r="Y37">
        <v>750</v>
      </c>
      <c r="AA37" s="232">
        <f t="shared" si="4"/>
        <v>-130.28571428571428</v>
      </c>
      <c r="AB37" s="233">
        <f t="shared" si="5"/>
        <v>266772.38095238095</v>
      </c>
      <c r="AC37" s="234">
        <f t="shared" si="6"/>
        <v>-1616.1904761904734</v>
      </c>
      <c r="AD37" s="224">
        <f t="shared" si="7"/>
        <v>17.401809523809543</v>
      </c>
      <c r="AE37" s="225">
        <f t="shared" si="8"/>
        <v>14.447047619026899</v>
      </c>
      <c r="AF37" s="186">
        <f t="shared" si="9"/>
        <v>-0.12548137899352912</v>
      </c>
    </row>
    <row r="38" spans="3:32" x14ac:dyDescent="0.25">
      <c r="C38" t="s">
        <v>512</v>
      </c>
      <c r="E38" s="194">
        <v>90.73</v>
      </c>
      <c r="F38" s="194">
        <v>10.09</v>
      </c>
      <c r="G38">
        <f>+E38*98.15%</f>
        <v>89.051495000000003</v>
      </c>
      <c r="H38">
        <f t="shared" si="0"/>
        <v>1.6785050000000012</v>
      </c>
      <c r="I38" s="186">
        <f t="shared" si="1"/>
        <v>0.98150000000000004</v>
      </c>
      <c r="J38" s="186">
        <f t="shared" si="2"/>
        <v>1.8500000000000013E-2</v>
      </c>
      <c r="K38" s="228">
        <v>0.50829999999999997</v>
      </c>
      <c r="L38" s="194">
        <v>2061</v>
      </c>
      <c r="M38" s="242">
        <f t="shared" si="11"/>
        <v>18271.22222390175</v>
      </c>
      <c r="N38" s="242">
        <v>17849.99879452055</v>
      </c>
      <c r="O38" s="242">
        <v>2.4430958904109596</v>
      </c>
      <c r="P38" s="242">
        <f t="shared" si="12"/>
        <v>421.22342938119994</v>
      </c>
      <c r="Q38" s="243">
        <f t="shared" si="13"/>
        <v>0.97694607266994049</v>
      </c>
      <c r="R38" s="245">
        <f t="shared" si="14"/>
        <v>88.638317173343708</v>
      </c>
      <c r="S38" s="243">
        <f t="shared" si="10"/>
        <v>0.98150000000000004</v>
      </c>
      <c r="T38" s="205">
        <v>19000</v>
      </c>
      <c r="U38" s="205">
        <v>16000</v>
      </c>
      <c r="V38" s="194">
        <v>10000</v>
      </c>
      <c r="W38">
        <v>7000</v>
      </c>
      <c r="X38">
        <v>4500</v>
      </c>
      <c r="Y38">
        <v>3000</v>
      </c>
      <c r="Z38">
        <v>2000</v>
      </c>
    </row>
    <row r="39" spans="3:32" x14ac:dyDescent="0.25">
      <c r="H39">
        <f t="shared" si="0"/>
        <v>0</v>
      </c>
      <c r="I39" s="186"/>
      <c r="J39" s="186"/>
    </row>
    <row r="40" spans="3:32" x14ac:dyDescent="0.25">
      <c r="C40" t="s">
        <v>519</v>
      </c>
      <c r="E40" s="194" t="s">
        <v>527</v>
      </c>
      <c r="F40" s="194">
        <v>23.75</v>
      </c>
      <c r="G40" t="e">
        <f>+E40*0.74%</f>
        <v>#VALUE!</v>
      </c>
      <c r="H40" t="e">
        <f t="shared" si="0"/>
        <v>#VALUE!</v>
      </c>
      <c r="I40" s="186" t="e">
        <f>+G40/E40</f>
        <v>#VALUE!</v>
      </c>
      <c r="J40" s="186" t="e">
        <f>+H40/E40</f>
        <v>#VALUE!</v>
      </c>
      <c r="K40" s="228">
        <v>0.30909999999999999</v>
      </c>
      <c r="L40" s="194">
        <v>2049</v>
      </c>
      <c r="M40" s="194"/>
      <c r="N40" s="194"/>
      <c r="O40" s="194"/>
      <c r="P40" s="194"/>
      <c r="Q40" s="194"/>
      <c r="R40" s="194"/>
      <c r="S40" s="194"/>
    </row>
    <row r="41" spans="3:32" x14ac:dyDescent="0.25">
      <c r="C41" t="s">
        <v>520</v>
      </c>
      <c r="E41" s="194">
        <v>6.24</v>
      </c>
      <c r="F41" s="194">
        <v>11.14</v>
      </c>
      <c r="G41">
        <f>+E41*70.26%</f>
        <v>4.3842240000000006</v>
      </c>
      <c r="H41">
        <f t="shared" si="0"/>
        <v>1.8557759999999996</v>
      </c>
      <c r="I41" s="186">
        <f>+G41/E41</f>
        <v>0.70260000000000011</v>
      </c>
      <c r="J41" s="186">
        <f>+H41/E41</f>
        <v>0.29739999999999994</v>
      </c>
      <c r="K41" s="228">
        <v>0.77259999999999995</v>
      </c>
      <c r="L41" s="194">
        <v>2041</v>
      </c>
      <c r="M41" s="194"/>
      <c r="N41" s="194"/>
      <c r="O41" s="194"/>
      <c r="P41" s="194"/>
      <c r="Q41" s="194"/>
      <c r="R41" s="194"/>
      <c r="S41" s="194"/>
      <c r="T41" s="205">
        <v>3700</v>
      </c>
    </row>
    <row r="42" spans="3:32" x14ac:dyDescent="0.25">
      <c r="C42" t="s">
        <v>521</v>
      </c>
      <c r="E42" s="194">
        <v>18.809999999999999</v>
      </c>
      <c r="F42" s="194">
        <v>112.29</v>
      </c>
      <c r="G42">
        <f>+E42*0.49%</f>
        <v>9.2168999999999987E-2</v>
      </c>
      <c r="H42">
        <f t="shared" si="0"/>
        <v>18.717831</v>
      </c>
      <c r="I42" s="186">
        <f>+G42/E42</f>
        <v>4.8999999999999998E-3</v>
      </c>
      <c r="J42" s="186">
        <f>+H42/E42</f>
        <v>0.9951000000000001</v>
      </c>
      <c r="K42" s="228">
        <v>0.29599999999999999</v>
      </c>
      <c r="L42" s="194">
        <v>2042</v>
      </c>
      <c r="M42" s="194"/>
      <c r="N42" s="194"/>
      <c r="O42" s="194"/>
      <c r="P42" s="194"/>
      <c r="Q42" s="194"/>
      <c r="R42" s="194"/>
      <c r="S42" s="194"/>
      <c r="T42" s="205">
        <v>4500</v>
      </c>
    </row>
    <row r="43" spans="3:32" x14ac:dyDescent="0.25">
      <c r="C43" t="s">
        <v>522</v>
      </c>
      <c r="E43" s="194">
        <v>9.35</v>
      </c>
      <c r="F43" s="194">
        <v>4.1900000000000004</v>
      </c>
      <c r="G43">
        <f>+E43*92.53%</f>
        <v>8.6515550000000001</v>
      </c>
      <c r="H43">
        <f t="shared" si="0"/>
        <v>0.69844499999999954</v>
      </c>
      <c r="I43" s="186">
        <f>+G43/E43</f>
        <v>0.92530000000000001</v>
      </c>
      <c r="J43" s="186">
        <f>+H43/E43</f>
        <v>7.4699999999999947E-2</v>
      </c>
      <c r="K43" s="228">
        <v>0.51980000000000004</v>
      </c>
      <c r="L43" s="194">
        <v>2068</v>
      </c>
      <c r="M43" s="194"/>
      <c r="N43" s="194"/>
      <c r="O43" s="194"/>
      <c r="P43" s="194"/>
      <c r="Q43" s="194"/>
      <c r="R43" s="194"/>
      <c r="S43" s="194"/>
      <c r="T43" s="194">
        <v>1800</v>
      </c>
    </row>
    <row r="45" spans="3:32" x14ac:dyDescent="0.25">
      <c r="T45">
        <f>+SUM(T6:T43)</f>
        <v>529280</v>
      </c>
      <c r="U45" t="s">
        <v>528</v>
      </c>
    </row>
    <row r="46" spans="3:32" x14ac:dyDescent="0.25">
      <c r="T46">
        <f>+T45*365</f>
        <v>193187200</v>
      </c>
      <c r="U46" t="s">
        <v>528</v>
      </c>
    </row>
    <row r="47" spans="3:32" x14ac:dyDescent="0.25">
      <c r="C47" t="s">
        <v>513</v>
      </c>
      <c r="E47" s="212">
        <f>+SUM(E5:E38)+E42</f>
        <v>1984.8899999999996</v>
      </c>
      <c r="F47" t="s">
        <v>488</v>
      </c>
      <c r="T47" s="229">
        <f>+T46/1000000</f>
        <v>193.18719999999999</v>
      </c>
      <c r="U47" t="s">
        <v>529</v>
      </c>
    </row>
    <row r="48" spans="3:32" x14ac:dyDescent="0.25">
      <c r="C48" t="s">
        <v>514</v>
      </c>
      <c r="E48">
        <f>+SUM(G5:G38)+G42</f>
        <v>1725.2950059999996</v>
      </c>
      <c r="F48" t="s">
        <v>488</v>
      </c>
      <c r="G48" s="186">
        <f>+E48/E47</f>
        <v>0.86921441792744181</v>
      </c>
      <c r="H48" s="186"/>
      <c r="I48" s="186"/>
      <c r="J48" s="186"/>
      <c r="K48" s="212"/>
      <c r="T48" s="219" t="s">
        <v>530</v>
      </c>
      <c r="U48" s="219" t="s">
        <v>531</v>
      </c>
    </row>
    <row r="49" spans="3:21" x14ac:dyDescent="0.25">
      <c r="C49" t="s">
        <v>517</v>
      </c>
      <c r="E49" s="212">
        <f>+E47-E48</f>
        <v>259.59499400000004</v>
      </c>
      <c r="F49" t="s">
        <v>488</v>
      </c>
      <c r="G49" s="186">
        <f>+E49/E47</f>
        <v>0.13078558207255822</v>
      </c>
      <c r="H49" s="186"/>
      <c r="I49" s="186"/>
      <c r="J49" s="186"/>
      <c r="T49" s="236">
        <f>+T47*T54</f>
        <v>25.114335999999998</v>
      </c>
      <c r="U49" s="237">
        <f>+T47*(100%-T54)</f>
        <v>168.07286399999998</v>
      </c>
    </row>
    <row r="50" spans="3:21" x14ac:dyDescent="0.25">
      <c r="C50" t="s">
        <v>515</v>
      </c>
      <c r="E50" s="212">
        <f>+SUM(F5:F38)</f>
        <v>1635.0453439999999</v>
      </c>
      <c r="F50" t="s">
        <v>516</v>
      </c>
    </row>
    <row r="51" spans="3:21" x14ac:dyDescent="0.25">
      <c r="E51" s="212">
        <f>+E50*(1000000000)</f>
        <v>1635045344000</v>
      </c>
      <c r="F51" t="s">
        <v>526</v>
      </c>
    </row>
    <row r="52" spans="3:21" x14ac:dyDescent="0.25">
      <c r="E52" s="212">
        <f>+(E51/G1)/1000000</f>
        <v>272.62588454016498</v>
      </c>
      <c r="L52" t="s">
        <v>518</v>
      </c>
      <c r="T52" t="s">
        <v>532</v>
      </c>
    </row>
    <row r="53" spans="3:21" x14ac:dyDescent="0.25">
      <c r="L53">
        <v>71</v>
      </c>
      <c r="T53" s="235">
        <v>0.87</v>
      </c>
    </row>
    <row r="54" spans="3:21" x14ac:dyDescent="0.25">
      <c r="E54">
        <f>+E50*1000</f>
        <v>1635045.3439999998</v>
      </c>
      <c r="F54" t="s">
        <v>523</v>
      </c>
      <c r="L54">
        <v>29</v>
      </c>
      <c r="T54" s="235">
        <v>0.13</v>
      </c>
    </row>
    <row r="55" spans="3:21" x14ac:dyDescent="0.25">
      <c r="E55">
        <f>+E54/11</f>
        <v>148640.4858181818</v>
      </c>
      <c r="F55" t="s">
        <v>523</v>
      </c>
      <c r="O55" t="s">
        <v>540</v>
      </c>
      <c r="P55" s="212">
        <f>+E47</f>
        <v>1984.8899999999996</v>
      </c>
      <c r="Q55" t="s">
        <v>488</v>
      </c>
    </row>
    <row r="56" spans="3:21" x14ac:dyDescent="0.25">
      <c r="E56">
        <f>+E55/365</f>
        <v>407.234207721046</v>
      </c>
      <c r="F56" t="s">
        <v>523</v>
      </c>
      <c r="O56" t="s">
        <v>541</v>
      </c>
      <c r="P56" s="245">
        <f>+SUM(R6:R38)</f>
        <v>1737.7836457184026</v>
      </c>
    </row>
    <row r="58" spans="3:21" x14ac:dyDescent="0.25">
      <c r="E58">
        <v>1000</v>
      </c>
      <c r="F58" t="s">
        <v>523</v>
      </c>
    </row>
    <row r="59" spans="3:21" x14ac:dyDescent="0.25">
      <c r="E59">
        <f>+E58*365</f>
        <v>365000</v>
      </c>
    </row>
    <row r="60" spans="3:21" x14ac:dyDescent="0.25">
      <c r="E60" s="229">
        <f>+E54/E59</f>
        <v>4.4795762849315066</v>
      </c>
      <c r="F60" t="s">
        <v>524</v>
      </c>
    </row>
    <row r="61" spans="3:21" x14ac:dyDescent="0.25">
      <c r="E61" s="223"/>
    </row>
  </sheetData>
  <mergeCells count="1">
    <mergeCell ref="AD3:AE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472-E402-46D4-B360-E35C880EA1BD}">
  <dimension ref="C1:AH61"/>
  <sheetViews>
    <sheetView showGridLines="0" topLeftCell="A7" zoomScale="115" zoomScaleNormal="115" workbookViewId="0">
      <selection activeCell="C5" sqref="C5:C38"/>
    </sheetView>
  </sheetViews>
  <sheetFormatPr baseColWidth="10" defaultRowHeight="15" x14ac:dyDescent="0.25"/>
  <cols>
    <col min="3" max="4" width="17.5703125" customWidth="1"/>
    <col min="5" max="5" width="21.42578125" customWidth="1"/>
    <col min="6" max="6" width="13.42578125" customWidth="1"/>
    <col min="7" max="14" width="11.42578125" customWidth="1"/>
    <col min="21" max="21" width="15.28515625" customWidth="1"/>
    <col min="23" max="23" width="14.140625" customWidth="1"/>
    <col min="30" max="30" width="14.140625" customWidth="1"/>
    <col min="31" max="31" width="21.28515625" customWidth="1"/>
    <col min="32" max="32" width="18.85546875" customWidth="1"/>
    <col min="33" max="33" width="20.28515625" customWidth="1"/>
  </cols>
  <sheetData>
    <row r="1" spans="3:34" x14ac:dyDescent="0.25">
      <c r="F1" t="s">
        <v>507</v>
      </c>
      <c r="G1" s="229">
        <f>+F29*1000/E29</f>
        <v>5997.3958333333339</v>
      </c>
      <c r="H1" s="229" t="s">
        <v>525</v>
      </c>
      <c r="I1" s="229"/>
      <c r="J1" s="229"/>
      <c r="K1" s="229"/>
      <c r="L1" s="229"/>
      <c r="W1">
        <v>1</v>
      </c>
      <c r="X1" t="s">
        <v>484</v>
      </c>
      <c r="Y1">
        <v>5800</v>
      </c>
      <c r="Z1" t="s">
        <v>485</v>
      </c>
    </row>
    <row r="3" spans="3:34" x14ac:dyDescent="0.25">
      <c r="O3" s="238" t="s">
        <v>533</v>
      </c>
      <c r="P3" s="239"/>
      <c r="Q3" s="239"/>
      <c r="R3" s="239"/>
      <c r="S3" s="240"/>
      <c r="T3" s="239"/>
      <c r="U3" s="239"/>
      <c r="V3" s="207" t="s">
        <v>479</v>
      </c>
      <c r="W3" s="208"/>
      <c r="X3" s="208"/>
      <c r="Y3" s="208"/>
      <c r="Z3" s="208"/>
      <c r="AA3" s="208"/>
      <c r="AB3" s="209"/>
      <c r="AF3" s="272" t="s">
        <v>488</v>
      </c>
      <c r="AG3" s="272"/>
    </row>
    <row r="4" spans="3:34" x14ac:dyDescent="0.25">
      <c r="E4" s="216" t="s">
        <v>475</v>
      </c>
      <c r="F4" s="217" t="s">
        <v>478</v>
      </c>
      <c r="G4" s="218" t="s">
        <v>477</v>
      </c>
      <c r="H4" s="218" t="s">
        <v>476</v>
      </c>
      <c r="I4" s="218"/>
      <c r="J4" s="218"/>
      <c r="K4" s="218"/>
      <c r="L4" s="218"/>
      <c r="M4" s="219" t="s">
        <v>480</v>
      </c>
      <c r="N4" s="216" t="s">
        <v>481</v>
      </c>
      <c r="O4" s="241" t="s">
        <v>380</v>
      </c>
      <c r="P4" s="241" t="s">
        <v>535</v>
      </c>
      <c r="Q4" s="241" t="s">
        <v>534</v>
      </c>
      <c r="R4" s="241" t="s">
        <v>536</v>
      </c>
      <c r="S4" s="241" t="s">
        <v>537</v>
      </c>
      <c r="T4" s="241" t="s">
        <v>477</v>
      </c>
      <c r="U4" s="241" t="s">
        <v>538</v>
      </c>
      <c r="V4" s="216">
        <v>2020</v>
      </c>
      <c r="W4" s="217">
        <v>2025</v>
      </c>
      <c r="X4" s="217">
        <v>2030</v>
      </c>
      <c r="Y4" s="217">
        <v>2035</v>
      </c>
      <c r="Z4" s="217">
        <v>2040</v>
      </c>
      <c r="AA4" s="217">
        <v>2045</v>
      </c>
      <c r="AB4" s="218">
        <v>2050</v>
      </c>
      <c r="AC4" s="220" t="s">
        <v>483</v>
      </c>
      <c r="AD4" s="221" t="s">
        <v>482</v>
      </c>
      <c r="AE4" s="222" t="s">
        <v>486</v>
      </c>
      <c r="AF4" s="220" t="s">
        <v>487</v>
      </c>
      <c r="AG4" s="221" t="s">
        <v>489</v>
      </c>
      <c r="AH4" s="183" t="s">
        <v>490</v>
      </c>
    </row>
    <row r="5" spans="3:34" x14ac:dyDescent="0.25">
      <c r="C5" t="s">
        <v>301</v>
      </c>
      <c r="E5" s="197">
        <v>28.68</v>
      </c>
      <c r="F5" s="198">
        <v>172.07</v>
      </c>
      <c r="G5" s="199">
        <v>0</v>
      </c>
      <c r="H5">
        <f t="shared" ref="H5:H43" si="0">+E5-G5</f>
        <v>28.68</v>
      </c>
      <c r="I5" s="186">
        <f>+G5/E5</f>
        <v>0</v>
      </c>
      <c r="J5" s="186">
        <f>+H5/E5</f>
        <v>1</v>
      </c>
      <c r="M5" s="200">
        <v>0.96079999999999999</v>
      </c>
      <c r="N5" s="201">
        <v>2027</v>
      </c>
      <c r="S5" s="244">
        <v>0</v>
      </c>
      <c r="T5" s="245">
        <f>+S5*E5</f>
        <v>0</v>
      </c>
      <c r="U5" t="s">
        <v>539</v>
      </c>
      <c r="V5" s="202">
        <v>20000</v>
      </c>
      <c r="W5" s="203">
        <v>12500</v>
      </c>
      <c r="X5" s="206"/>
      <c r="Y5" s="206"/>
      <c r="Z5" s="206"/>
      <c r="AA5" s="206"/>
      <c r="AB5" s="199"/>
      <c r="AC5" s="210">
        <f t="shared" ref="AC5:AC37" si="1">+SLOPE(V5:AB5,$V$4:$AB$4)</f>
        <v>-1500</v>
      </c>
      <c r="AD5" s="204">
        <f t="shared" ref="AD5:AD37" si="2">+INTERCEPT(V5:AB5,$V$4:$AB$4)</f>
        <v>3050000</v>
      </c>
      <c r="AE5" s="211">
        <f t="shared" ref="AE5:AE37" si="3">+AC5*N5+AD5</f>
        <v>9500</v>
      </c>
      <c r="AF5" s="224">
        <f t="shared" ref="AF5:AF37" si="4">+((N5-$V$4)*AE5+((N5-$V$4)*(V5-AE5))/2)*365/1000000</f>
        <v>37.686250000000001</v>
      </c>
      <c r="AG5" s="225">
        <f t="shared" ref="AG5:AG37" si="5">+((AC5*N5*N5/2)+(AD5*N5)-(AC5*$V$4*$V$4/2)-(AD5*$V$4))*365/1000000</f>
        <v>37.686250000000001</v>
      </c>
      <c r="AH5" s="186">
        <f t="shared" ref="AH5:AH37" si="6">+(AG5-E5)/E5</f>
        <v>0.31402545327754539</v>
      </c>
    </row>
    <row r="6" spans="3:34" x14ac:dyDescent="0.25">
      <c r="C6" t="s">
        <v>342</v>
      </c>
      <c r="E6" s="194">
        <v>89.87</v>
      </c>
      <c r="F6" s="194">
        <v>0</v>
      </c>
      <c r="G6" s="194">
        <f>+E6</f>
        <v>89.87</v>
      </c>
      <c r="H6">
        <f t="shared" si="0"/>
        <v>0</v>
      </c>
      <c r="I6" s="186">
        <f t="shared" ref="I6:I43" si="7">+G6/E6</f>
        <v>1</v>
      </c>
      <c r="J6" s="186">
        <f t="shared" ref="J6:J43" si="8">+H6/E6</f>
        <v>0</v>
      </c>
      <c r="M6" s="196">
        <v>0.24629999999999999</v>
      </c>
      <c r="N6" s="194">
        <v>2048</v>
      </c>
      <c r="O6" s="242">
        <f>+P6+R6</f>
        <v>19756.607616438356</v>
      </c>
      <c r="P6" s="242">
        <v>19756.607616438356</v>
      </c>
      <c r="Q6" s="242">
        <v>0</v>
      </c>
      <c r="R6" s="242">
        <f>+(Q6*1000000)/$Y$1</f>
        <v>0</v>
      </c>
      <c r="S6" s="243">
        <f>+P6/O6</f>
        <v>1</v>
      </c>
      <c r="T6" s="245">
        <f t="shared" ref="T6:T38" si="9">+S6*E6</f>
        <v>89.87</v>
      </c>
      <c r="U6" s="243">
        <f>+G6/E6</f>
        <v>1</v>
      </c>
      <c r="V6" s="194">
        <v>10000</v>
      </c>
      <c r="W6" s="194">
        <v>16000</v>
      </c>
      <c r="X6" s="194">
        <v>11000</v>
      </c>
      <c r="Y6" s="194">
        <v>7500</v>
      </c>
      <c r="Z6" s="194">
        <v>5500</v>
      </c>
      <c r="AA6" s="194">
        <v>4000</v>
      </c>
      <c r="AB6" s="194"/>
      <c r="AC6" s="210">
        <f t="shared" si="1"/>
        <v>-371.42857142857144</v>
      </c>
      <c r="AD6" s="204">
        <f t="shared" si="2"/>
        <v>763928.57142857148</v>
      </c>
      <c r="AE6" s="211">
        <f t="shared" si="3"/>
        <v>3242.8571428571595</v>
      </c>
      <c r="AF6" s="226">
        <f t="shared" si="4"/>
        <v>67.671000000000092</v>
      </c>
      <c r="AG6" s="227">
        <f t="shared" si="5"/>
        <v>86.286000000000001</v>
      </c>
      <c r="AH6" s="186">
        <f t="shared" si="6"/>
        <v>-3.9879826415934162E-2</v>
      </c>
    </row>
    <row r="7" spans="3:34"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M7" s="196">
        <v>0.62780000000000002</v>
      </c>
      <c r="N7" s="194">
        <v>2041</v>
      </c>
      <c r="O7" s="242">
        <f t="shared" ref="O7:O38" si="10">+P7+R7</f>
        <v>285.28490222012289</v>
      </c>
      <c r="P7" s="242">
        <v>249.14413698630142</v>
      </c>
      <c r="Q7" s="242">
        <v>0.20961643835616439</v>
      </c>
      <c r="R7" s="242">
        <f t="shared" ref="R7:R38" si="11">+(Q7*1000000)/$Y$1</f>
        <v>36.140765233821448</v>
      </c>
      <c r="S7" s="243">
        <f t="shared" ref="S7:S38" si="12">+P7/O7</f>
        <v>0.8733169370248145</v>
      </c>
      <c r="T7" s="245">
        <f t="shared" si="9"/>
        <v>1.196444203723996</v>
      </c>
      <c r="U7" s="243">
        <f t="shared" ref="U7:U38" si="13">+G7/E7</f>
        <v>0.98879999999999979</v>
      </c>
      <c r="V7" s="194">
        <v>400</v>
      </c>
      <c r="W7" s="194">
        <v>280</v>
      </c>
      <c r="X7" s="194">
        <v>200</v>
      </c>
      <c r="Y7" s="194">
        <v>120</v>
      </c>
      <c r="Z7" s="194">
        <v>80</v>
      </c>
      <c r="AA7" s="194"/>
      <c r="AB7" s="194"/>
      <c r="AC7" s="210">
        <f t="shared" si="1"/>
        <v>-16</v>
      </c>
      <c r="AD7" s="204">
        <f t="shared" si="2"/>
        <v>32696</v>
      </c>
      <c r="AE7" s="211">
        <f t="shared" si="3"/>
        <v>40</v>
      </c>
      <c r="AF7" s="226">
        <f t="shared" si="4"/>
        <v>1.6862999999999999</v>
      </c>
      <c r="AG7" s="227">
        <f t="shared" si="5"/>
        <v>1.59432</v>
      </c>
      <c r="AH7" s="186">
        <f t="shared" si="6"/>
        <v>0.16373722627737214</v>
      </c>
    </row>
    <row r="8" spans="3:34" x14ac:dyDescent="0.25">
      <c r="C8" t="s">
        <v>346</v>
      </c>
      <c r="E8" s="194">
        <v>2.5</v>
      </c>
      <c r="F8" s="194">
        <v>7.0000000000000007E-2</v>
      </c>
      <c r="G8" s="194">
        <f>+E8*99.53%</f>
        <v>2.4882499999999999</v>
      </c>
      <c r="H8">
        <f t="shared" si="0"/>
        <v>1.1750000000000149E-2</v>
      </c>
      <c r="I8" s="186">
        <f t="shared" si="7"/>
        <v>0.99529999999999996</v>
      </c>
      <c r="J8" s="186">
        <f t="shared" si="8"/>
        <v>4.70000000000006E-3</v>
      </c>
      <c r="M8" s="196">
        <v>0.93179999999999996</v>
      </c>
      <c r="N8" s="194">
        <v>2029</v>
      </c>
      <c r="O8" s="242">
        <f t="shared" si="10"/>
        <v>3767.1428889938588</v>
      </c>
      <c r="P8" s="242">
        <v>3691.9893698630135</v>
      </c>
      <c r="Q8" s="242">
        <v>0.43589041095890391</v>
      </c>
      <c r="R8" s="242">
        <f t="shared" si="11"/>
        <v>75.153519130845496</v>
      </c>
      <c r="S8" s="243">
        <f t="shared" si="12"/>
        <v>0.98005026054349709</v>
      </c>
      <c r="T8" s="245">
        <f t="shared" si="9"/>
        <v>2.4501256513587428</v>
      </c>
      <c r="U8" s="243">
        <f t="shared" si="13"/>
        <v>0.99529999999999996</v>
      </c>
      <c r="V8" s="194">
        <v>2950</v>
      </c>
      <c r="W8" s="194">
        <v>750</v>
      </c>
      <c r="X8" s="194"/>
      <c r="Y8" s="194"/>
      <c r="Z8" s="194"/>
      <c r="AA8" s="194"/>
      <c r="AB8" s="194"/>
      <c r="AC8" s="210">
        <f t="shared" si="1"/>
        <v>-440</v>
      </c>
      <c r="AD8" s="204">
        <f t="shared" si="2"/>
        <v>891750</v>
      </c>
      <c r="AE8" s="211">
        <f t="shared" si="3"/>
        <v>-1010</v>
      </c>
      <c r="AF8" s="226">
        <f t="shared" si="4"/>
        <v>3.1864499999999998</v>
      </c>
      <c r="AG8" s="227">
        <f t="shared" si="5"/>
        <v>3.1864499999999998</v>
      </c>
      <c r="AH8" s="186">
        <f t="shared" si="6"/>
        <v>0.27457999999999994</v>
      </c>
    </row>
    <row r="9" spans="3:34" x14ac:dyDescent="0.25">
      <c r="C9" t="s">
        <v>311</v>
      </c>
      <c r="E9" s="194">
        <v>14.92</v>
      </c>
      <c r="F9" s="194">
        <v>89.54</v>
      </c>
      <c r="G9" s="194">
        <v>0</v>
      </c>
      <c r="H9">
        <f t="shared" si="0"/>
        <v>14.92</v>
      </c>
      <c r="I9" s="186">
        <f t="shared" si="7"/>
        <v>0</v>
      </c>
      <c r="J9" s="186">
        <f t="shared" si="8"/>
        <v>1</v>
      </c>
      <c r="M9" s="196">
        <v>0.69059999999999999</v>
      </c>
      <c r="N9" s="194">
        <v>2039</v>
      </c>
      <c r="O9" s="242">
        <f t="shared" si="10"/>
        <v>3970.7652338214457</v>
      </c>
      <c r="P9" s="242">
        <v>0</v>
      </c>
      <c r="Q9" s="242">
        <v>23.030438356164385</v>
      </c>
      <c r="R9" s="242">
        <f t="shared" si="11"/>
        <v>3970.7652338214457</v>
      </c>
      <c r="S9" s="243">
        <f t="shared" si="12"/>
        <v>0</v>
      </c>
      <c r="T9" s="245">
        <f t="shared" si="9"/>
        <v>0</v>
      </c>
      <c r="U9" s="243">
        <f t="shared" si="13"/>
        <v>0</v>
      </c>
      <c r="V9" s="194">
        <v>2500</v>
      </c>
      <c r="W9" s="213">
        <v>3000</v>
      </c>
      <c r="X9" s="194">
        <v>2100</v>
      </c>
      <c r="Y9" s="194">
        <v>1800</v>
      </c>
      <c r="Z9" s="194"/>
      <c r="AA9" s="194"/>
      <c r="AB9" s="194"/>
      <c r="AC9" s="210">
        <f t="shared" si="1"/>
        <v>-60</v>
      </c>
      <c r="AD9" s="204">
        <f t="shared" si="2"/>
        <v>124000</v>
      </c>
      <c r="AE9" s="211">
        <f t="shared" si="3"/>
        <v>1660</v>
      </c>
      <c r="AF9" s="226">
        <f t="shared" si="4"/>
        <v>14.424799999999999</v>
      </c>
      <c r="AG9" s="227">
        <f t="shared" si="5"/>
        <v>15.46505</v>
      </c>
      <c r="AH9" s="186">
        <f t="shared" si="6"/>
        <v>3.653150134048256E-2</v>
      </c>
    </row>
    <row r="10" spans="3:34" x14ac:dyDescent="0.25">
      <c r="C10" t="s">
        <v>492</v>
      </c>
      <c r="E10" s="194">
        <v>153.29</v>
      </c>
      <c r="F10" s="194">
        <v>0</v>
      </c>
      <c r="G10" s="194">
        <v>153.29</v>
      </c>
      <c r="H10">
        <f t="shared" si="0"/>
        <v>0</v>
      </c>
      <c r="I10" s="186">
        <f t="shared" si="7"/>
        <v>1</v>
      </c>
      <c r="J10" s="186">
        <f t="shared" si="8"/>
        <v>0</v>
      </c>
      <c r="M10" s="196">
        <v>0.70950000000000002</v>
      </c>
      <c r="N10" s="194">
        <v>2036</v>
      </c>
      <c r="O10" s="242">
        <f t="shared" si="10"/>
        <v>70553.994630136978</v>
      </c>
      <c r="P10" s="242">
        <v>70553.994630136978</v>
      </c>
      <c r="Q10" s="242">
        <v>0</v>
      </c>
      <c r="R10" s="242">
        <f t="shared" si="11"/>
        <v>0</v>
      </c>
      <c r="S10" s="243">
        <f t="shared" si="12"/>
        <v>1</v>
      </c>
      <c r="T10" s="245">
        <f t="shared" si="9"/>
        <v>153.29</v>
      </c>
      <c r="U10" s="243">
        <f t="shared" si="13"/>
        <v>1</v>
      </c>
      <c r="V10" s="194">
        <v>65000</v>
      </c>
      <c r="W10" s="213">
        <v>37500</v>
      </c>
      <c r="X10" s="194">
        <v>22500</v>
      </c>
      <c r="Y10" s="194">
        <v>12500</v>
      </c>
      <c r="Z10" s="194"/>
      <c r="AA10" s="194"/>
      <c r="AB10" s="194"/>
      <c r="AC10" s="232">
        <f t="shared" si="1"/>
        <v>-3450</v>
      </c>
      <c r="AD10" s="233">
        <f t="shared" si="2"/>
        <v>7029250</v>
      </c>
      <c r="AE10" s="234">
        <f t="shared" si="3"/>
        <v>5050</v>
      </c>
      <c r="AF10" s="224">
        <f t="shared" si="4"/>
        <v>204.54599999999999</v>
      </c>
      <c r="AG10" s="225">
        <f t="shared" si="5"/>
        <v>190.67599999999999</v>
      </c>
      <c r="AH10" s="186">
        <f t="shared" si="6"/>
        <v>0.24389066475308238</v>
      </c>
    </row>
    <row r="11" spans="3:34" x14ac:dyDescent="0.25">
      <c r="C11" t="s">
        <v>493</v>
      </c>
      <c r="E11" s="194">
        <v>0.88</v>
      </c>
      <c r="F11" s="194">
        <v>0</v>
      </c>
      <c r="G11" s="194">
        <v>0.88</v>
      </c>
      <c r="H11">
        <f t="shared" si="0"/>
        <v>0</v>
      </c>
      <c r="I11" s="186">
        <f t="shared" si="7"/>
        <v>1</v>
      </c>
      <c r="J11" s="186">
        <f t="shared" si="8"/>
        <v>0</v>
      </c>
      <c r="M11" s="196">
        <v>0.69830000000000003</v>
      </c>
      <c r="N11" s="194">
        <v>2042</v>
      </c>
      <c r="O11" s="242">
        <f t="shared" si="10"/>
        <v>226.03172602739721</v>
      </c>
      <c r="P11" s="242">
        <v>226.03172602739721</v>
      </c>
      <c r="Q11" s="242">
        <v>0</v>
      </c>
      <c r="R11" s="242">
        <f t="shared" si="11"/>
        <v>0</v>
      </c>
      <c r="S11" s="243">
        <f t="shared" si="12"/>
        <v>1</v>
      </c>
      <c r="T11" s="245">
        <f t="shared" si="9"/>
        <v>0.88</v>
      </c>
      <c r="U11" s="243">
        <f t="shared" si="13"/>
        <v>1</v>
      </c>
      <c r="V11" s="194">
        <v>150</v>
      </c>
      <c r="W11" s="231">
        <v>180</v>
      </c>
      <c r="X11" s="194">
        <v>105</v>
      </c>
      <c r="Y11" s="194">
        <v>90</v>
      </c>
      <c r="Z11" s="194">
        <v>60</v>
      </c>
      <c r="AA11" s="194"/>
      <c r="AB11" s="194"/>
      <c r="AC11" s="232">
        <f t="shared" si="1"/>
        <v>-5.4</v>
      </c>
      <c r="AD11" s="233">
        <f t="shared" si="2"/>
        <v>11079</v>
      </c>
      <c r="AE11" s="234">
        <f t="shared" si="3"/>
        <v>52.199999999998909</v>
      </c>
      <c r="AF11" s="224">
        <f t="shared" si="4"/>
        <v>0.81183299999999559</v>
      </c>
      <c r="AG11" s="225">
        <f t="shared" si="5"/>
        <v>0.89614799999972805</v>
      </c>
      <c r="AH11" s="186">
        <f t="shared" si="6"/>
        <v>1.8349999999690961E-2</v>
      </c>
    </row>
    <row r="12" spans="3:34" x14ac:dyDescent="0.25">
      <c r="C12" t="s">
        <v>494</v>
      </c>
      <c r="E12" s="194">
        <v>543.79</v>
      </c>
      <c r="F12" s="194">
        <v>0</v>
      </c>
      <c r="G12" s="194">
        <f>+E12</f>
        <v>543.79</v>
      </c>
      <c r="H12">
        <f t="shared" si="0"/>
        <v>0</v>
      </c>
      <c r="I12" s="186">
        <f t="shared" si="7"/>
        <v>1</v>
      </c>
      <c r="J12" s="186">
        <f t="shared" si="8"/>
        <v>0</v>
      </c>
      <c r="M12" s="196">
        <v>0.31709999999999999</v>
      </c>
      <c r="N12" s="194">
        <v>2099</v>
      </c>
      <c r="O12" s="242">
        <f t="shared" si="10"/>
        <v>43276.035643835618</v>
      </c>
      <c r="P12" s="242">
        <v>43276.035643835618</v>
      </c>
      <c r="Q12" s="242">
        <v>0</v>
      </c>
      <c r="R12" s="242">
        <f t="shared" si="11"/>
        <v>0</v>
      </c>
      <c r="S12" s="243">
        <f t="shared" si="12"/>
        <v>1</v>
      </c>
      <c r="T12" s="245">
        <f t="shared" si="9"/>
        <v>543.79</v>
      </c>
      <c r="U12" s="243">
        <f t="shared" si="13"/>
        <v>1</v>
      </c>
      <c r="V12" s="194">
        <v>40000</v>
      </c>
      <c r="W12" s="194"/>
      <c r="X12" s="194">
        <v>32500</v>
      </c>
      <c r="Z12" s="194">
        <v>27500</v>
      </c>
      <c r="AA12" s="194"/>
      <c r="AB12" s="194">
        <v>22500</v>
      </c>
      <c r="AC12" s="232">
        <f t="shared" si="1"/>
        <v>-575</v>
      </c>
      <c r="AD12" s="233">
        <f t="shared" si="2"/>
        <v>1200750</v>
      </c>
      <c r="AE12" s="234">
        <f t="shared" si="3"/>
        <v>-6175</v>
      </c>
      <c r="AF12" s="224">
        <f t="shared" si="4"/>
        <v>487.67193750000001</v>
      </c>
      <c r="AG12" s="225">
        <f t="shared" si="5"/>
        <v>476.8588125</v>
      </c>
      <c r="AH12" s="186">
        <f t="shared" si="6"/>
        <v>-0.1230827847146876</v>
      </c>
    </row>
    <row r="13" spans="3:34" x14ac:dyDescent="0.25">
      <c r="C13" t="s">
        <v>29</v>
      </c>
      <c r="E13" s="194">
        <v>272.89999999999998</v>
      </c>
      <c r="F13" s="194">
        <v>0</v>
      </c>
      <c r="G13" s="194">
        <v>272.29000000000002</v>
      </c>
      <c r="H13">
        <f t="shared" si="0"/>
        <v>0.6099999999999568</v>
      </c>
      <c r="I13" s="186">
        <f t="shared" si="7"/>
        <v>0.99776474899230505</v>
      </c>
      <c r="J13" s="186">
        <f t="shared" si="8"/>
        <v>2.2352510076949681E-3</v>
      </c>
      <c r="M13" s="228">
        <v>0.71530000000000005</v>
      </c>
      <c r="N13" s="194">
        <v>2036</v>
      </c>
      <c r="O13" s="242">
        <f t="shared" si="10"/>
        <v>119308.68268493151</v>
      </c>
      <c r="P13" s="242">
        <v>119308.68268493151</v>
      </c>
      <c r="Q13" s="242">
        <v>0</v>
      </c>
      <c r="R13" s="242">
        <f t="shared" si="11"/>
        <v>0</v>
      </c>
      <c r="S13" s="243">
        <f t="shared" si="12"/>
        <v>1</v>
      </c>
      <c r="T13" s="245">
        <f t="shared" si="9"/>
        <v>272.89999999999998</v>
      </c>
      <c r="U13" s="243">
        <f t="shared" si="13"/>
        <v>0.99776474899230505</v>
      </c>
      <c r="V13" s="205">
        <v>105000</v>
      </c>
      <c r="W13" s="214">
        <v>75000</v>
      </c>
      <c r="X13" s="194">
        <v>40000</v>
      </c>
      <c r="Y13" s="194">
        <v>25000</v>
      </c>
      <c r="AC13" s="232">
        <f t="shared" si="1"/>
        <v>-5500</v>
      </c>
      <c r="AD13" s="233">
        <f t="shared" si="2"/>
        <v>11212500</v>
      </c>
      <c r="AE13" s="234">
        <f t="shared" si="3"/>
        <v>14500</v>
      </c>
      <c r="AF13" s="224">
        <f t="shared" si="4"/>
        <v>348.94</v>
      </c>
      <c r="AG13" s="225">
        <f t="shared" si="5"/>
        <v>341.64</v>
      </c>
      <c r="AH13" s="186">
        <f t="shared" si="6"/>
        <v>0.25188713814584102</v>
      </c>
    </row>
    <row r="14" spans="3:34" x14ac:dyDescent="0.25">
      <c r="C14" t="s">
        <v>345</v>
      </c>
      <c r="E14" s="194">
        <v>16.52</v>
      </c>
      <c r="F14" s="194">
        <v>1.61</v>
      </c>
      <c r="G14">
        <f>+E14*98.07%</f>
        <v>16.201163999999999</v>
      </c>
      <c r="H14">
        <f t="shared" si="0"/>
        <v>0.31883600000000101</v>
      </c>
      <c r="I14" s="186">
        <f t="shared" si="7"/>
        <v>0.98069999999999991</v>
      </c>
      <c r="J14" s="186">
        <f t="shared" si="8"/>
        <v>1.930000000000006E-2</v>
      </c>
      <c r="M14" s="228">
        <v>0.73629999999999995</v>
      </c>
      <c r="N14" s="194">
        <v>2060</v>
      </c>
      <c r="O14" s="242">
        <f t="shared" si="10"/>
        <v>4154.1152328767121</v>
      </c>
      <c r="P14" s="242">
        <v>4154.1152328767121</v>
      </c>
      <c r="Q14" s="242">
        <v>0</v>
      </c>
      <c r="R14" s="242">
        <f t="shared" si="11"/>
        <v>0</v>
      </c>
      <c r="S14" s="243">
        <f t="shared" si="12"/>
        <v>1</v>
      </c>
      <c r="T14" s="245">
        <f t="shared" si="9"/>
        <v>16.52</v>
      </c>
      <c r="U14" s="243">
        <f t="shared" si="13"/>
        <v>0.98069999999999991</v>
      </c>
      <c r="V14" s="194">
        <v>4000</v>
      </c>
      <c r="W14" s="194">
        <v>3000</v>
      </c>
      <c r="X14" s="194">
        <v>1800</v>
      </c>
      <c r="Y14" s="194">
        <v>1000</v>
      </c>
      <c r="Z14" s="194">
        <v>900</v>
      </c>
      <c r="AA14" s="194">
        <v>700</v>
      </c>
      <c r="AB14" s="194">
        <v>500</v>
      </c>
      <c r="AC14" s="232">
        <f t="shared" si="1"/>
        <v>-114.28571428571429</v>
      </c>
      <c r="AD14" s="233">
        <f t="shared" si="2"/>
        <v>234271.42857142858</v>
      </c>
      <c r="AE14" s="234">
        <f t="shared" si="3"/>
        <v>-1157.1428571428696</v>
      </c>
      <c r="AF14" s="224">
        <f t="shared" si="4"/>
        <v>20.752857142857053</v>
      </c>
      <c r="AG14" s="225">
        <f t="shared" si="5"/>
        <v>16.47714285712421</v>
      </c>
      <c r="AH14" s="186">
        <f t="shared" si="6"/>
        <v>-2.5942580433286396E-3</v>
      </c>
    </row>
    <row r="15" spans="3:34" x14ac:dyDescent="0.25">
      <c r="C15" t="s">
        <v>140</v>
      </c>
      <c r="E15" s="194">
        <v>21.91</v>
      </c>
      <c r="F15" s="194">
        <v>0</v>
      </c>
      <c r="G15">
        <f>+E15</f>
        <v>21.91</v>
      </c>
      <c r="H15">
        <f t="shared" si="0"/>
        <v>0</v>
      </c>
      <c r="I15" s="186">
        <f t="shared" si="7"/>
        <v>1</v>
      </c>
      <c r="J15" s="186">
        <f t="shared" si="8"/>
        <v>0</v>
      </c>
      <c r="M15" s="228">
        <v>0.78649999999999998</v>
      </c>
      <c r="N15" s="194">
        <v>2035</v>
      </c>
      <c r="O15" s="242">
        <f t="shared" si="10"/>
        <v>10381.531479452055</v>
      </c>
      <c r="P15" s="242">
        <v>10381.531479452055</v>
      </c>
      <c r="Q15" s="242">
        <v>0</v>
      </c>
      <c r="R15" s="242">
        <f t="shared" si="11"/>
        <v>0</v>
      </c>
      <c r="S15" s="243">
        <f t="shared" si="12"/>
        <v>1</v>
      </c>
      <c r="T15" s="245">
        <f t="shared" si="9"/>
        <v>21.91</v>
      </c>
      <c r="U15" s="243">
        <f t="shared" si="13"/>
        <v>1</v>
      </c>
      <c r="V15" s="205">
        <v>10500</v>
      </c>
      <c r="W15" s="215">
        <v>6000</v>
      </c>
      <c r="X15" s="194">
        <v>2300</v>
      </c>
      <c r="Y15" s="194">
        <v>1800</v>
      </c>
      <c r="AC15" s="232">
        <f t="shared" si="1"/>
        <v>-596</v>
      </c>
      <c r="AD15" s="233">
        <f t="shared" si="2"/>
        <v>1213540</v>
      </c>
      <c r="AE15" s="234">
        <f t="shared" si="3"/>
        <v>680</v>
      </c>
      <c r="AF15" s="224">
        <f t="shared" si="4"/>
        <v>30.605250000000002</v>
      </c>
      <c r="AG15" s="225">
        <f t="shared" si="5"/>
        <v>28.196249999999999</v>
      </c>
      <c r="AH15" s="186">
        <f t="shared" si="6"/>
        <v>0.28691236878137832</v>
      </c>
    </row>
    <row r="16" spans="3:34" x14ac:dyDescent="0.25">
      <c r="C16" t="s">
        <v>495</v>
      </c>
      <c r="E16" s="194">
        <v>8.85</v>
      </c>
      <c r="F16" s="194">
        <v>0</v>
      </c>
      <c r="G16">
        <f>+E16</f>
        <v>8.85</v>
      </c>
      <c r="H16">
        <f t="shared" si="0"/>
        <v>0</v>
      </c>
      <c r="I16" s="186">
        <f t="shared" si="7"/>
        <v>1</v>
      </c>
      <c r="J16" s="186">
        <f t="shared" si="8"/>
        <v>0</v>
      </c>
      <c r="M16" s="228">
        <v>0.55530000000000002</v>
      </c>
      <c r="N16" s="194">
        <v>2052</v>
      </c>
      <c r="O16" s="242">
        <f t="shared" si="10"/>
        <v>1737.8650958904109</v>
      </c>
      <c r="P16" s="242">
        <v>1737.8650958904109</v>
      </c>
      <c r="Q16" s="242">
        <v>0</v>
      </c>
      <c r="R16" s="242">
        <f t="shared" si="11"/>
        <v>0</v>
      </c>
      <c r="S16" s="243">
        <f t="shared" si="12"/>
        <v>1</v>
      </c>
      <c r="T16" s="245">
        <f t="shared" si="9"/>
        <v>8.85</v>
      </c>
      <c r="U16" s="243">
        <f t="shared" si="13"/>
        <v>1</v>
      </c>
      <c r="V16" s="205">
        <v>1600</v>
      </c>
      <c r="W16" s="205">
        <v>1500</v>
      </c>
      <c r="X16" s="194">
        <v>1100</v>
      </c>
      <c r="Y16" s="194">
        <v>750</v>
      </c>
      <c r="Z16" s="194">
        <v>500</v>
      </c>
      <c r="AA16" s="194">
        <v>250</v>
      </c>
      <c r="AB16" s="194">
        <v>200</v>
      </c>
      <c r="AC16" s="232">
        <f t="shared" si="1"/>
        <v>-52.142857142857146</v>
      </c>
      <c r="AD16" s="233">
        <f t="shared" si="2"/>
        <v>106953.57142857143</v>
      </c>
      <c r="AE16" s="234">
        <f t="shared" si="3"/>
        <v>-43.571428571434808</v>
      </c>
      <c r="AF16" s="224">
        <f t="shared" si="4"/>
        <v>9.0895428571428205</v>
      </c>
      <c r="AG16" s="225">
        <f t="shared" si="5"/>
        <v>9.2355428571459655</v>
      </c>
      <c r="AH16" s="186">
        <f t="shared" si="6"/>
        <v>4.3564164649261675E-2</v>
      </c>
    </row>
    <row r="17" spans="3:34" x14ac:dyDescent="0.25">
      <c r="C17" t="s">
        <v>61</v>
      </c>
      <c r="E17" s="194">
        <v>146.25</v>
      </c>
      <c r="F17" s="194">
        <v>0</v>
      </c>
      <c r="G17">
        <v>146.25</v>
      </c>
      <c r="H17">
        <f t="shared" si="0"/>
        <v>0</v>
      </c>
      <c r="I17" s="186">
        <f t="shared" si="7"/>
        <v>1</v>
      </c>
      <c r="J17" s="186">
        <f t="shared" si="8"/>
        <v>0</v>
      </c>
      <c r="M17" s="228">
        <v>0.58260000000000001</v>
      </c>
      <c r="N17" s="194">
        <v>2039</v>
      </c>
      <c r="O17" s="242">
        <f t="shared" si="10"/>
        <v>48971.756410958893</v>
      </c>
      <c r="P17" s="242">
        <v>48971.756410958893</v>
      </c>
      <c r="Q17" s="242">
        <v>0</v>
      </c>
      <c r="R17" s="242">
        <f t="shared" si="11"/>
        <v>0</v>
      </c>
      <c r="S17" s="243">
        <f t="shared" si="12"/>
        <v>1</v>
      </c>
      <c r="T17" s="245">
        <f t="shared" si="9"/>
        <v>146.25</v>
      </c>
      <c r="U17" s="243">
        <f t="shared" si="13"/>
        <v>1</v>
      </c>
      <c r="V17" s="205">
        <v>50000</v>
      </c>
      <c r="W17" s="205">
        <v>35000</v>
      </c>
      <c r="X17" s="194">
        <v>20000</v>
      </c>
      <c r="Y17" s="194">
        <v>12500</v>
      </c>
      <c r="AC17" s="232">
        <f t="shared" si="1"/>
        <v>-2550</v>
      </c>
      <c r="AD17" s="233">
        <f t="shared" si="2"/>
        <v>5199500</v>
      </c>
      <c r="AE17" s="234">
        <f t="shared" si="3"/>
        <v>50</v>
      </c>
      <c r="AF17" s="224">
        <f t="shared" si="4"/>
        <v>173.54837499999999</v>
      </c>
      <c r="AG17" s="225">
        <f t="shared" si="5"/>
        <v>168.34712500000001</v>
      </c>
      <c r="AH17" s="186">
        <f t="shared" si="6"/>
        <v>0.15109145299145302</v>
      </c>
    </row>
    <row r="18" spans="3:34" x14ac:dyDescent="0.25">
      <c r="C18" t="s">
        <v>496</v>
      </c>
      <c r="E18" s="194">
        <v>89.99</v>
      </c>
      <c r="F18" s="194">
        <v>0</v>
      </c>
      <c r="G18">
        <f>+E18</f>
        <v>89.99</v>
      </c>
      <c r="H18">
        <f t="shared" si="0"/>
        <v>0</v>
      </c>
      <c r="I18" s="186">
        <f t="shared" si="7"/>
        <v>1</v>
      </c>
      <c r="J18" s="186">
        <f t="shared" si="8"/>
        <v>0</v>
      </c>
      <c r="M18" s="228">
        <v>0.42830000000000001</v>
      </c>
      <c r="N18" s="194">
        <v>2044</v>
      </c>
      <c r="O18" s="242">
        <f t="shared" si="10"/>
        <v>20119.028164383562</v>
      </c>
      <c r="P18" s="242">
        <v>20119.028164383562</v>
      </c>
      <c r="Q18" s="242">
        <v>0</v>
      </c>
      <c r="R18" s="242">
        <f t="shared" si="11"/>
        <v>0</v>
      </c>
      <c r="S18" s="243">
        <f t="shared" si="12"/>
        <v>1</v>
      </c>
      <c r="T18" s="245">
        <f t="shared" si="9"/>
        <v>89.99</v>
      </c>
      <c r="U18" s="243">
        <f t="shared" si="13"/>
        <v>1</v>
      </c>
      <c r="V18" s="205">
        <v>20000</v>
      </c>
      <c r="W18" s="205">
        <v>17500</v>
      </c>
      <c r="X18" s="194">
        <v>12500</v>
      </c>
      <c r="Y18" s="194">
        <v>7600</v>
      </c>
      <c r="Z18" s="194">
        <v>6000</v>
      </c>
      <c r="AC18" s="232">
        <f t="shared" si="1"/>
        <v>-758</v>
      </c>
      <c r="AD18" s="233">
        <f t="shared" si="2"/>
        <v>1551460</v>
      </c>
      <c r="AE18" s="234">
        <f t="shared" si="3"/>
        <v>2108</v>
      </c>
      <c r="AF18" s="224">
        <f t="shared" si="4"/>
        <v>96.833039999999997</v>
      </c>
      <c r="AG18" s="225">
        <f t="shared" si="5"/>
        <v>98.147040000000004</v>
      </c>
      <c r="AH18" s="186">
        <f t="shared" si="6"/>
        <v>9.0643849316590835E-2</v>
      </c>
    </row>
    <row r="19" spans="3:34" x14ac:dyDescent="0.25">
      <c r="C19" t="s">
        <v>497</v>
      </c>
      <c r="E19" s="194">
        <v>86.96</v>
      </c>
      <c r="F19" s="194">
        <v>357.74</v>
      </c>
      <c r="G19">
        <f>+E19*68.57%</f>
        <v>59.628471999999995</v>
      </c>
      <c r="H19">
        <f t="shared" si="0"/>
        <v>27.331527999999999</v>
      </c>
      <c r="I19" s="186">
        <f t="shared" si="7"/>
        <v>0.68569999999999998</v>
      </c>
      <c r="J19" s="186">
        <f t="shared" si="8"/>
        <v>0.31430000000000002</v>
      </c>
      <c r="M19" s="228">
        <v>0.87790000000000001</v>
      </c>
      <c r="N19" s="194">
        <v>2035</v>
      </c>
      <c r="O19" s="242">
        <f t="shared" si="10"/>
        <v>36739.649441662732</v>
      </c>
      <c r="P19" s="242">
        <v>5802.3135890410958</v>
      </c>
      <c r="Q19" s="242">
        <v>179.43654794520549</v>
      </c>
      <c r="R19" s="242">
        <f t="shared" si="11"/>
        <v>30937.335852621636</v>
      </c>
      <c r="S19" s="243">
        <f t="shared" si="12"/>
        <v>0.15793056485893622</v>
      </c>
      <c r="T19" s="245">
        <f t="shared" si="9"/>
        <v>13.733641920133094</v>
      </c>
      <c r="U19" s="243">
        <f t="shared" si="13"/>
        <v>0.68569999999999998</v>
      </c>
      <c r="V19" s="205">
        <v>42000</v>
      </c>
      <c r="W19" s="205">
        <v>22000</v>
      </c>
      <c r="X19" s="194">
        <v>16000</v>
      </c>
      <c r="Y19" s="194">
        <v>8000</v>
      </c>
      <c r="AC19" s="232">
        <f t="shared" si="1"/>
        <v>-2160</v>
      </c>
      <c r="AD19" s="233">
        <f t="shared" si="2"/>
        <v>4401400</v>
      </c>
      <c r="AE19" s="234">
        <f t="shared" si="3"/>
        <v>5800</v>
      </c>
      <c r="AF19" s="224">
        <f t="shared" si="4"/>
        <v>130.85249999999999</v>
      </c>
      <c r="AG19" s="225">
        <f t="shared" si="5"/>
        <v>120.45</v>
      </c>
      <c r="AH19" s="186">
        <f t="shared" si="6"/>
        <v>0.38511959521619149</v>
      </c>
    </row>
    <row r="20" spans="3:34" x14ac:dyDescent="0.25">
      <c r="C20" t="s">
        <v>498</v>
      </c>
      <c r="E20" s="194">
        <v>5.73</v>
      </c>
      <c r="F20" s="194">
        <v>0</v>
      </c>
      <c r="G20">
        <f>+E20</f>
        <v>5.73</v>
      </c>
      <c r="H20">
        <f t="shared" si="0"/>
        <v>0</v>
      </c>
      <c r="I20" s="186">
        <f t="shared" si="7"/>
        <v>1</v>
      </c>
      <c r="J20" s="186">
        <f t="shared" si="8"/>
        <v>0</v>
      </c>
      <c r="M20" s="228">
        <v>0.61819999999999997</v>
      </c>
      <c r="N20" s="194">
        <v>2050</v>
      </c>
      <c r="O20" s="242">
        <f t="shared" si="10"/>
        <v>3032.86197260274</v>
      </c>
      <c r="P20" s="242">
        <v>3032.86197260274</v>
      </c>
      <c r="Q20" s="242">
        <v>0</v>
      </c>
      <c r="R20" s="242">
        <f t="shared" si="11"/>
        <v>0</v>
      </c>
      <c r="S20" s="243">
        <f t="shared" si="12"/>
        <v>1</v>
      </c>
      <c r="T20" s="245">
        <f t="shared" si="9"/>
        <v>5.73</v>
      </c>
      <c r="U20" s="243">
        <f t="shared" si="13"/>
        <v>1</v>
      </c>
      <c r="V20" s="205">
        <v>2250</v>
      </c>
      <c r="W20" s="205">
        <v>1250</v>
      </c>
      <c r="X20" s="194">
        <v>600</v>
      </c>
      <c r="Y20" s="194">
        <v>400</v>
      </c>
      <c r="Z20" s="194">
        <v>200</v>
      </c>
      <c r="AA20" s="194">
        <v>150</v>
      </c>
      <c r="AB20" s="194">
        <v>100</v>
      </c>
      <c r="AC20" s="232">
        <f t="shared" si="1"/>
        <v>-64.642857142857139</v>
      </c>
      <c r="AD20" s="233">
        <f t="shared" si="2"/>
        <v>132255.35714285716</v>
      </c>
      <c r="AE20" s="234">
        <f t="shared" si="3"/>
        <v>-262.4999999999709</v>
      </c>
      <c r="AF20" s="224">
        <f t="shared" si="4"/>
        <v>10.881562500000161</v>
      </c>
      <c r="AG20" s="225">
        <f t="shared" si="5"/>
        <v>7.7432142857189472</v>
      </c>
      <c r="AH20" s="186">
        <f t="shared" si="6"/>
        <v>0.35134629768218961</v>
      </c>
    </row>
    <row r="21" spans="3:34" x14ac:dyDescent="0.25">
      <c r="C21" t="s">
        <v>499</v>
      </c>
      <c r="E21" s="194">
        <v>89.27</v>
      </c>
      <c r="F21" s="194">
        <v>504.38</v>
      </c>
      <c r="G21">
        <f>+E21*5.84%</f>
        <v>5.213368</v>
      </c>
      <c r="H21">
        <f t="shared" si="0"/>
        <v>84.056631999999993</v>
      </c>
      <c r="I21" s="186">
        <f t="shared" si="7"/>
        <v>5.8400000000000001E-2</v>
      </c>
      <c r="J21" s="186">
        <f t="shared" si="8"/>
        <v>0.94159999999999999</v>
      </c>
      <c r="M21" s="228">
        <v>0.24510000000000001</v>
      </c>
      <c r="N21" s="194">
        <v>2059</v>
      </c>
      <c r="O21" s="242">
        <f t="shared" si="10"/>
        <v>5687.8121180916396</v>
      </c>
      <c r="P21" s="242">
        <v>1396.6784383561644</v>
      </c>
      <c r="Q21" s="242">
        <v>24.888575342465753</v>
      </c>
      <c r="R21" s="242">
        <f t="shared" si="11"/>
        <v>4291.1336797354752</v>
      </c>
      <c r="S21" s="243">
        <f t="shared" si="12"/>
        <v>0.24555635969648984</v>
      </c>
      <c r="T21" s="245">
        <f t="shared" si="9"/>
        <v>21.920816230105647</v>
      </c>
      <c r="U21" s="243">
        <f t="shared" si="13"/>
        <v>5.8400000000000001E-2</v>
      </c>
      <c r="V21" s="205">
        <v>10000</v>
      </c>
      <c r="W21" s="205">
        <v>18500</v>
      </c>
      <c r="X21" s="194">
        <v>10000</v>
      </c>
      <c r="Y21" s="194">
        <v>7000</v>
      </c>
      <c r="Z21" s="194">
        <v>5000</v>
      </c>
      <c r="AA21" s="194">
        <v>3500</v>
      </c>
      <c r="AB21" s="194">
        <v>2100</v>
      </c>
      <c r="AC21" s="232">
        <f t="shared" si="1"/>
        <v>-419.28571428571439</v>
      </c>
      <c r="AD21" s="233">
        <f t="shared" si="2"/>
        <v>861260.71428571444</v>
      </c>
      <c r="AE21" s="234">
        <f t="shared" si="3"/>
        <v>-2048.5714285714785</v>
      </c>
      <c r="AF21" s="224">
        <f t="shared" si="4"/>
        <v>56.594292857142499</v>
      </c>
      <c r="AG21" s="225">
        <f t="shared" si="5"/>
        <v>87.224962500087017</v>
      </c>
      <c r="AH21" s="186">
        <f t="shared" si="6"/>
        <v>-2.2908451886557404E-2</v>
      </c>
    </row>
    <row r="22" spans="3:34" x14ac:dyDescent="0.25">
      <c r="C22" t="s">
        <v>500</v>
      </c>
      <c r="E22" s="194">
        <v>10.25</v>
      </c>
      <c r="F22" s="194">
        <v>60.26</v>
      </c>
      <c r="G22">
        <f>+E22*2%</f>
        <v>0.20500000000000002</v>
      </c>
      <c r="H22">
        <f t="shared" si="0"/>
        <v>10.045</v>
      </c>
      <c r="I22" s="186">
        <f t="shared" si="7"/>
        <v>0.02</v>
      </c>
      <c r="J22" s="186">
        <f t="shared" si="8"/>
        <v>0.98</v>
      </c>
      <c r="M22" s="228">
        <v>0.98270000000000002</v>
      </c>
      <c r="N22" s="194">
        <v>2025</v>
      </c>
      <c r="O22" s="242">
        <f t="shared" si="10"/>
        <v>13330.402025507794</v>
      </c>
      <c r="P22" s="242">
        <v>802.2064657534246</v>
      </c>
      <c r="Q22" s="242">
        <v>72.663534246575338</v>
      </c>
      <c r="R22" s="242">
        <f t="shared" si="11"/>
        <v>12528.195559754369</v>
      </c>
      <c r="S22" s="243">
        <f t="shared" si="12"/>
        <v>6.0178715106896125E-2</v>
      </c>
      <c r="T22" s="245">
        <f t="shared" si="9"/>
        <v>0.6168318298456853</v>
      </c>
      <c r="U22" s="243">
        <f t="shared" si="13"/>
        <v>0.02</v>
      </c>
      <c r="V22" s="205">
        <v>8000</v>
      </c>
      <c r="W22" s="205">
        <v>5000</v>
      </c>
      <c r="AC22" s="232">
        <f t="shared" si="1"/>
        <v>-600</v>
      </c>
      <c r="AD22" s="233">
        <f t="shared" si="2"/>
        <v>1220000</v>
      </c>
      <c r="AE22" s="234">
        <f t="shared" si="3"/>
        <v>5000</v>
      </c>
      <c r="AF22" s="224">
        <f t="shared" si="4"/>
        <v>11.862500000000001</v>
      </c>
      <c r="AG22" s="225">
        <f t="shared" si="5"/>
        <v>11.862500000000001</v>
      </c>
      <c r="AH22" s="186">
        <f t="shared" si="6"/>
        <v>0.15731707317073176</v>
      </c>
    </row>
    <row r="23" spans="3:34" x14ac:dyDescent="0.25">
      <c r="C23" t="s">
        <v>501</v>
      </c>
      <c r="E23" s="194">
        <v>17.7</v>
      </c>
      <c r="F23" s="194">
        <v>97.48</v>
      </c>
      <c r="G23">
        <f>+E23*8.23%</f>
        <v>1.4567099999999999</v>
      </c>
      <c r="H23">
        <f t="shared" si="0"/>
        <v>16.243289999999998</v>
      </c>
      <c r="I23" s="186">
        <f t="shared" si="7"/>
        <v>8.2299999999999998E-2</v>
      </c>
      <c r="J23" s="186">
        <f t="shared" si="8"/>
        <v>0.91769999999999996</v>
      </c>
      <c r="M23" s="228">
        <v>0.97750000000000004</v>
      </c>
      <c r="N23" s="194">
        <v>2025</v>
      </c>
      <c r="O23" s="242">
        <f t="shared" si="10"/>
        <v>18303.892234293809</v>
      </c>
      <c r="P23" s="242">
        <v>2380.4156164383562</v>
      </c>
      <c r="Q23" s="242">
        <v>92.356164383561648</v>
      </c>
      <c r="R23" s="242">
        <f t="shared" si="11"/>
        <v>15923.476617855455</v>
      </c>
      <c r="S23" s="243">
        <f t="shared" si="12"/>
        <v>0.13004969576790104</v>
      </c>
      <c r="T23" s="245">
        <f t="shared" si="9"/>
        <v>2.3018796150918481</v>
      </c>
      <c r="U23" s="243">
        <f t="shared" si="13"/>
        <v>8.2299999999999998E-2</v>
      </c>
      <c r="V23" s="194">
        <v>8000</v>
      </c>
      <c r="W23" s="213">
        <v>5000</v>
      </c>
      <c r="AC23" s="232">
        <f t="shared" si="1"/>
        <v>-600</v>
      </c>
      <c r="AD23" s="233">
        <f t="shared" si="2"/>
        <v>1220000</v>
      </c>
      <c r="AE23" s="234">
        <f t="shared" si="3"/>
        <v>5000</v>
      </c>
      <c r="AF23" s="224">
        <f t="shared" si="4"/>
        <v>11.862500000000001</v>
      </c>
      <c r="AG23" s="225">
        <f t="shared" si="5"/>
        <v>11.862500000000001</v>
      </c>
      <c r="AH23" s="186">
        <f t="shared" si="6"/>
        <v>-0.32980225988700557</v>
      </c>
    </row>
    <row r="24" spans="3:34" x14ac:dyDescent="0.25">
      <c r="C24" t="s">
        <v>502</v>
      </c>
      <c r="E24" s="194">
        <v>8.8000000000000007</v>
      </c>
      <c r="F24" s="194">
        <v>2.82</v>
      </c>
      <c r="G24">
        <f>+E24*94.66%</f>
        <v>8.3300800000000006</v>
      </c>
      <c r="H24">
        <f t="shared" si="0"/>
        <v>0.46992000000000012</v>
      </c>
      <c r="I24" s="186">
        <f t="shared" si="7"/>
        <v>0.9466</v>
      </c>
      <c r="J24" s="186">
        <f t="shared" si="8"/>
        <v>5.340000000000001E-2</v>
      </c>
      <c r="M24" s="228">
        <v>0.7712</v>
      </c>
      <c r="N24" s="194">
        <v>2039</v>
      </c>
      <c r="O24" s="242">
        <f t="shared" si="10"/>
        <v>3090.1880736891835</v>
      </c>
      <c r="P24" s="242">
        <v>2982.4176438356171</v>
      </c>
      <c r="Q24" s="242">
        <v>0.62506849315068491</v>
      </c>
      <c r="R24" s="242">
        <f t="shared" si="11"/>
        <v>107.77042985356636</v>
      </c>
      <c r="S24" s="243">
        <f t="shared" si="12"/>
        <v>0.96512496091381716</v>
      </c>
      <c r="T24" s="245">
        <f t="shared" si="9"/>
        <v>8.4930996560415917</v>
      </c>
      <c r="U24" s="243">
        <f t="shared" si="13"/>
        <v>0.9466</v>
      </c>
      <c r="V24" s="194">
        <v>3000</v>
      </c>
      <c r="W24" s="213">
        <v>2000</v>
      </c>
      <c r="X24" s="194">
        <v>1100</v>
      </c>
      <c r="Y24" s="194">
        <v>800</v>
      </c>
      <c r="AC24" s="232">
        <f t="shared" si="1"/>
        <v>-150</v>
      </c>
      <c r="AD24" s="233">
        <f t="shared" si="2"/>
        <v>305850</v>
      </c>
      <c r="AE24" s="234">
        <f t="shared" si="3"/>
        <v>0</v>
      </c>
      <c r="AF24" s="224">
        <f t="shared" si="4"/>
        <v>10.4025</v>
      </c>
      <c r="AG24" s="225">
        <f t="shared" si="5"/>
        <v>9.8823749999999997</v>
      </c>
      <c r="AH24" s="186">
        <f t="shared" si="6"/>
        <v>0.12299715909090897</v>
      </c>
    </row>
    <row r="25" spans="3:34" x14ac:dyDescent="0.25">
      <c r="C25" t="s">
        <v>503</v>
      </c>
      <c r="E25" s="194">
        <v>1.1399999999999999</v>
      </c>
      <c r="F25" s="194">
        <v>0.47</v>
      </c>
      <c r="G25">
        <f>+E25*93.12%</f>
        <v>1.0615679999999998</v>
      </c>
      <c r="H25">
        <f t="shared" si="0"/>
        <v>7.8432000000000057E-2</v>
      </c>
      <c r="I25" s="186">
        <f t="shared" si="7"/>
        <v>0.93119999999999992</v>
      </c>
      <c r="J25" s="186">
        <f t="shared" si="8"/>
        <v>6.8800000000000056E-2</v>
      </c>
      <c r="M25" s="228">
        <v>0.73509999999999998</v>
      </c>
      <c r="N25" s="194">
        <v>2033</v>
      </c>
      <c r="O25" s="242">
        <f t="shared" si="10"/>
        <v>1290.1837175247995</v>
      </c>
      <c r="P25" s="242">
        <v>1266.3858904109591</v>
      </c>
      <c r="Q25" s="242">
        <v>0.13802739726027391</v>
      </c>
      <c r="R25" s="242">
        <f t="shared" si="11"/>
        <v>23.797827113840331</v>
      </c>
      <c r="S25" s="243">
        <f t="shared" si="12"/>
        <v>0.98155469892342451</v>
      </c>
      <c r="T25" s="245">
        <f t="shared" si="9"/>
        <v>1.1189723567727039</v>
      </c>
      <c r="U25" s="243">
        <f t="shared" si="13"/>
        <v>0.93119999999999992</v>
      </c>
      <c r="V25" s="205">
        <v>1000</v>
      </c>
      <c r="W25" s="213">
        <v>300</v>
      </c>
      <c r="X25" s="194">
        <v>100</v>
      </c>
      <c r="AC25" s="232">
        <f t="shared" si="1"/>
        <v>-90</v>
      </c>
      <c r="AD25" s="233">
        <f t="shared" si="2"/>
        <v>182716.66666666666</v>
      </c>
      <c r="AE25" s="234">
        <f t="shared" si="3"/>
        <v>-253.33333333334303</v>
      </c>
      <c r="AF25" s="224">
        <f t="shared" si="4"/>
        <v>1.7714666666666437</v>
      </c>
      <c r="AG25" s="225">
        <f t="shared" si="5"/>
        <v>1.5737583333405851</v>
      </c>
      <c r="AH25" s="186">
        <f t="shared" si="6"/>
        <v>0.38048976608823271</v>
      </c>
    </row>
    <row r="26" spans="3:34" x14ac:dyDescent="0.25">
      <c r="C26" t="s">
        <v>504</v>
      </c>
      <c r="E26" s="194">
        <v>1.31</v>
      </c>
      <c r="F26" s="194">
        <v>0.37</v>
      </c>
      <c r="G26">
        <f>+E26*95.34%</f>
        <v>1.2489540000000001</v>
      </c>
      <c r="H26">
        <f t="shared" si="0"/>
        <v>6.1045999999999934E-2</v>
      </c>
      <c r="I26" s="186">
        <f t="shared" si="7"/>
        <v>0.95340000000000003</v>
      </c>
      <c r="J26" s="186">
        <f t="shared" si="8"/>
        <v>4.6599999999999947E-2</v>
      </c>
      <c r="M26" s="228">
        <v>0.34710000000000002</v>
      </c>
      <c r="N26" s="194">
        <v>2053</v>
      </c>
      <c r="O26" s="242">
        <f t="shared" si="10"/>
        <v>483.05330278696272</v>
      </c>
      <c r="P26" s="242">
        <v>435.87805479452061</v>
      </c>
      <c r="Q26" s="242">
        <v>0.27361643835616434</v>
      </c>
      <c r="R26" s="242">
        <f t="shared" si="11"/>
        <v>47.175247992442124</v>
      </c>
      <c r="S26" s="243">
        <f t="shared" si="12"/>
        <v>0.90233945670122573</v>
      </c>
      <c r="T26" s="245">
        <f t="shared" si="9"/>
        <v>1.1820646882786057</v>
      </c>
      <c r="U26" s="243">
        <f t="shared" si="13"/>
        <v>0.95340000000000003</v>
      </c>
      <c r="V26" s="205">
        <v>480</v>
      </c>
      <c r="W26" s="205">
        <v>280</v>
      </c>
      <c r="X26" s="194">
        <v>125</v>
      </c>
      <c r="Y26">
        <v>90</v>
      </c>
      <c r="Z26">
        <v>50</v>
      </c>
      <c r="AA26">
        <v>30</v>
      </c>
      <c r="AB26">
        <v>25</v>
      </c>
      <c r="AC26" s="232">
        <f t="shared" si="1"/>
        <v>-13.857142857142858</v>
      </c>
      <c r="AD26" s="233">
        <f t="shared" si="2"/>
        <v>28353.571428571428</v>
      </c>
      <c r="AE26" s="234">
        <f t="shared" si="3"/>
        <v>-95.142857142858702</v>
      </c>
      <c r="AF26" s="224">
        <f t="shared" si="4"/>
        <v>2.3178021428571336</v>
      </c>
      <c r="AG26" s="225">
        <f t="shared" si="5"/>
        <v>1.6080075</v>
      </c>
      <c r="AH26" s="186">
        <f t="shared" si="6"/>
        <v>0.22748664122137402</v>
      </c>
    </row>
    <row r="27" spans="3:34" x14ac:dyDescent="0.25">
      <c r="C27" t="s">
        <v>505</v>
      </c>
      <c r="E27" s="194">
        <v>4.72</v>
      </c>
      <c r="F27" s="194">
        <v>7.45</v>
      </c>
      <c r="G27">
        <f>+E27*73.7%</f>
        <v>3.47864</v>
      </c>
      <c r="H27">
        <f t="shared" si="0"/>
        <v>1.2413599999999998</v>
      </c>
      <c r="I27" s="186">
        <f t="shared" si="7"/>
        <v>0.73699999999999999</v>
      </c>
      <c r="J27" s="186">
        <f t="shared" si="8"/>
        <v>0.26299999999999996</v>
      </c>
      <c r="M27" s="228">
        <v>0.91449999999999998</v>
      </c>
      <c r="N27" s="194">
        <v>2030</v>
      </c>
      <c r="O27" s="242">
        <f t="shared" si="10"/>
        <v>4583.6177808219181</v>
      </c>
      <c r="P27" s="242">
        <v>4583.6177808219181</v>
      </c>
      <c r="Q27" s="242">
        <v>0</v>
      </c>
      <c r="R27" s="242">
        <f t="shared" si="11"/>
        <v>0</v>
      </c>
      <c r="S27" s="243">
        <f t="shared" si="12"/>
        <v>1</v>
      </c>
      <c r="T27" s="245">
        <f t="shared" si="9"/>
        <v>4.72</v>
      </c>
      <c r="U27" s="243">
        <f t="shared" si="13"/>
        <v>0.73699999999999999</v>
      </c>
      <c r="V27" s="205">
        <v>3750</v>
      </c>
      <c r="W27" s="205">
        <v>1750</v>
      </c>
      <c r="X27" s="194">
        <v>750</v>
      </c>
      <c r="AC27" s="232">
        <f t="shared" si="1"/>
        <v>-300</v>
      </c>
      <c r="AD27" s="233">
        <f t="shared" si="2"/>
        <v>609583.33333333337</v>
      </c>
      <c r="AE27" s="234">
        <f t="shared" si="3"/>
        <v>583.33333333337214</v>
      </c>
      <c r="AF27" s="224">
        <f t="shared" si="4"/>
        <v>7.9083333333334034</v>
      </c>
      <c r="AG27" s="225">
        <f t="shared" si="5"/>
        <v>7.6041666666376591</v>
      </c>
      <c r="AH27" s="186">
        <f t="shared" si="6"/>
        <v>0.61105225988086009</v>
      </c>
    </row>
    <row r="28" spans="3:34" x14ac:dyDescent="0.25">
      <c r="C28" t="s">
        <v>506</v>
      </c>
      <c r="E28" s="194">
        <v>11.27</v>
      </c>
      <c r="F28" s="194">
        <v>0</v>
      </c>
      <c r="G28">
        <v>11.27</v>
      </c>
      <c r="H28">
        <f t="shared" si="0"/>
        <v>0</v>
      </c>
      <c r="I28" s="186">
        <f t="shared" si="7"/>
        <v>1</v>
      </c>
      <c r="J28" s="186">
        <f t="shared" si="8"/>
        <v>0</v>
      </c>
      <c r="M28" s="228">
        <v>0.4148</v>
      </c>
      <c r="N28" s="194">
        <v>2067</v>
      </c>
      <c r="O28" s="242">
        <f t="shared" si="10"/>
        <v>0</v>
      </c>
      <c r="P28" s="242"/>
      <c r="Q28" s="242"/>
      <c r="R28" s="242">
        <f t="shared" si="11"/>
        <v>0</v>
      </c>
      <c r="S28" s="243" t="e">
        <f t="shared" si="12"/>
        <v>#DIV/0!</v>
      </c>
      <c r="T28" s="245"/>
      <c r="U28" s="243">
        <f t="shared" si="13"/>
        <v>1</v>
      </c>
      <c r="V28" s="205">
        <v>2500</v>
      </c>
      <c r="W28" s="214">
        <v>1750</v>
      </c>
      <c r="X28" s="194">
        <v>1250</v>
      </c>
      <c r="Y28">
        <v>800</v>
      </c>
      <c r="Z28">
        <v>600</v>
      </c>
      <c r="AA28">
        <v>400</v>
      </c>
      <c r="AB28">
        <v>300</v>
      </c>
      <c r="AC28" s="232">
        <f t="shared" si="1"/>
        <v>-71.071428571428569</v>
      </c>
      <c r="AD28" s="233">
        <f t="shared" si="2"/>
        <v>145716.07142857142</v>
      </c>
      <c r="AE28" s="234">
        <f t="shared" si="3"/>
        <v>-1188.5714285714203</v>
      </c>
      <c r="AF28" s="224">
        <f t="shared" si="4"/>
        <v>11.248778571428643</v>
      </c>
      <c r="AG28" s="225">
        <f t="shared" si="5"/>
        <v>8.2619705357080697</v>
      </c>
      <c r="AH28" s="186">
        <f t="shared" si="6"/>
        <v>-0.2669058974527001</v>
      </c>
    </row>
    <row r="29" spans="3:34" x14ac:dyDescent="0.25">
      <c r="C29" t="s">
        <v>318</v>
      </c>
      <c r="E29" s="194">
        <v>3.84</v>
      </c>
      <c r="F29" s="194">
        <v>23.03</v>
      </c>
      <c r="H29">
        <f t="shared" si="0"/>
        <v>3.84</v>
      </c>
      <c r="I29" s="186">
        <f t="shared" si="7"/>
        <v>0</v>
      </c>
      <c r="J29" s="186">
        <f t="shared" si="8"/>
        <v>1</v>
      </c>
      <c r="M29" s="228">
        <v>0.84079999999999999</v>
      </c>
      <c r="N29" s="194">
        <v>2028</v>
      </c>
      <c r="O29" s="242">
        <f t="shared" si="10"/>
        <v>5516.7123287671238</v>
      </c>
      <c r="P29" s="242">
        <v>0</v>
      </c>
      <c r="Q29" s="242">
        <v>31.996931506849318</v>
      </c>
      <c r="R29" s="242">
        <f t="shared" si="11"/>
        <v>5516.7123287671238</v>
      </c>
      <c r="S29" s="243">
        <f t="shared" si="12"/>
        <v>0</v>
      </c>
      <c r="T29" s="245">
        <f t="shared" si="9"/>
        <v>0</v>
      </c>
      <c r="U29" s="243">
        <f t="shared" si="13"/>
        <v>0</v>
      </c>
      <c r="V29" s="205">
        <v>5300</v>
      </c>
      <c r="W29" s="205">
        <v>1250</v>
      </c>
      <c r="AC29" s="232">
        <f t="shared" si="1"/>
        <v>-810</v>
      </c>
      <c r="AD29" s="233">
        <f t="shared" si="2"/>
        <v>1641500</v>
      </c>
      <c r="AE29" s="234">
        <f t="shared" si="3"/>
        <v>-1180</v>
      </c>
      <c r="AF29" s="224">
        <f t="shared" si="4"/>
        <v>6.0152000000000001</v>
      </c>
      <c r="AG29" s="225">
        <f t="shared" si="5"/>
        <v>6.0152000000000001</v>
      </c>
      <c r="AH29" s="186">
        <f t="shared" si="6"/>
        <v>0.5664583333333334</v>
      </c>
    </row>
    <row r="30" spans="3:34" x14ac:dyDescent="0.25">
      <c r="C30" t="s">
        <v>508</v>
      </c>
      <c r="E30" s="194">
        <v>14.92</v>
      </c>
      <c r="F30">
        <v>0.24</v>
      </c>
      <c r="G30">
        <f>+E30*99.74%</f>
        <v>14.881207999999999</v>
      </c>
      <c r="H30">
        <f t="shared" si="0"/>
        <v>3.8792000000000826E-2</v>
      </c>
      <c r="I30" s="186">
        <f t="shared" si="7"/>
        <v>0.99739999999999995</v>
      </c>
      <c r="J30" s="186">
        <f t="shared" si="8"/>
        <v>2.6000000000000554E-3</v>
      </c>
      <c r="M30" s="228">
        <v>0.75690000000000002</v>
      </c>
      <c r="N30" s="194">
        <v>2043</v>
      </c>
      <c r="O30" s="242">
        <f t="shared" si="10"/>
        <v>12434.820158715165</v>
      </c>
      <c r="P30" s="242">
        <v>12274.754027397263</v>
      </c>
      <c r="Q30" s="242">
        <v>0.92838356164383562</v>
      </c>
      <c r="R30" s="242">
        <f t="shared" si="11"/>
        <v>160.06613131790269</v>
      </c>
      <c r="S30" s="243">
        <f t="shared" si="12"/>
        <v>0.98712758775158338</v>
      </c>
      <c r="T30" s="245">
        <f t="shared" si="9"/>
        <v>14.727943609253623</v>
      </c>
      <c r="U30" s="243">
        <f t="shared" si="13"/>
        <v>0.99739999999999995</v>
      </c>
      <c r="V30" s="205">
        <v>10000</v>
      </c>
      <c r="W30" s="205">
        <v>4000</v>
      </c>
      <c r="X30" s="194">
        <v>1000</v>
      </c>
      <c r="Y30">
        <v>500</v>
      </c>
      <c r="Z30">
        <v>400</v>
      </c>
      <c r="AC30" s="232">
        <f t="shared" si="1"/>
        <v>-454</v>
      </c>
      <c r="AD30" s="233">
        <f t="shared" si="2"/>
        <v>924800</v>
      </c>
      <c r="AE30" s="234">
        <f t="shared" si="3"/>
        <v>-2722</v>
      </c>
      <c r="AF30" s="224">
        <f t="shared" si="4"/>
        <v>30.549405</v>
      </c>
      <c r="AG30" s="225">
        <f t="shared" si="5"/>
        <v>20.979105000000001</v>
      </c>
      <c r="AH30" s="186">
        <f t="shared" si="6"/>
        <v>0.40610623324396788</v>
      </c>
    </row>
    <row r="31" spans="3:34" x14ac:dyDescent="0.25">
      <c r="C31" t="s">
        <v>80</v>
      </c>
      <c r="E31" s="194">
        <v>43.42</v>
      </c>
      <c r="F31" s="194">
        <v>16.96</v>
      </c>
      <c r="G31">
        <f>+E31*93.49%</f>
        <v>40.593358000000002</v>
      </c>
      <c r="H31">
        <f t="shared" si="0"/>
        <v>2.8266419999999997</v>
      </c>
      <c r="I31" s="186">
        <f t="shared" si="7"/>
        <v>0.93490000000000006</v>
      </c>
      <c r="J31" s="186">
        <f t="shared" si="8"/>
        <v>6.5099999999999991E-2</v>
      </c>
      <c r="M31" s="228">
        <v>0.76190000000000002</v>
      </c>
      <c r="N31" s="194">
        <v>2042</v>
      </c>
      <c r="O31" s="242">
        <f t="shared" si="10"/>
        <v>30543.691030703827</v>
      </c>
      <c r="P31" s="242">
        <v>30059.642849315071</v>
      </c>
      <c r="Q31" s="242">
        <v>2.8074794520547948</v>
      </c>
      <c r="R31" s="242">
        <f t="shared" si="11"/>
        <v>484.04818138875771</v>
      </c>
      <c r="S31" s="243">
        <f t="shared" si="12"/>
        <v>0.98415226958319579</v>
      </c>
      <c r="T31" s="245">
        <f t="shared" si="9"/>
        <v>42.731891545302361</v>
      </c>
      <c r="U31" s="243">
        <f t="shared" si="13"/>
        <v>0.93490000000000006</v>
      </c>
      <c r="V31" s="205">
        <v>25000</v>
      </c>
      <c r="W31" s="205">
        <v>12500</v>
      </c>
      <c r="X31" s="194">
        <v>4500</v>
      </c>
      <c r="Y31">
        <v>2500</v>
      </c>
      <c r="Z31">
        <v>1000</v>
      </c>
      <c r="AC31" s="232">
        <f t="shared" si="1"/>
        <v>-1160</v>
      </c>
      <c r="AD31" s="233">
        <f t="shared" si="2"/>
        <v>2363900</v>
      </c>
      <c r="AE31" s="234">
        <f t="shared" si="3"/>
        <v>-4820</v>
      </c>
      <c r="AF31" s="224">
        <f t="shared" si="4"/>
        <v>81.0227</v>
      </c>
      <c r="AG31" s="225">
        <f t="shared" si="5"/>
        <v>63.758200000000002</v>
      </c>
      <c r="AH31" s="186">
        <f t="shared" si="6"/>
        <v>0.46840626439428834</v>
      </c>
    </row>
    <row r="32" spans="3:34" x14ac:dyDescent="0.25">
      <c r="C32" t="s">
        <v>449</v>
      </c>
      <c r="E32" s="194">
        <v>7.3</v>
      </c>
      <c r="F32" s="194">
        <v>4.54</v>
      </c>
      <c r="G32">
        <f>+E32*89.64%</f>
        <v>6.5437199999999995</v>
      </c>
      <c r="H32">
        <f t="shared" si="0"/>
        <v>0.75628000000000029</v>
      </c>
      <c r="I32" s="186">
        <f t="shared" si="7"/>
        <v>0.89639999999999997</v>
      </c>
      <c r="J32" s="186">
        <f t="shared" si="8"/>
        <v>0.10360000000000004</v>
      </c>
      <c r="M32" s="228">
        <v>0.77580000000000005</v>
      </c>
      <c r="N32" s="194">
        <v>2044</v>
      </c>
      <c r="O32" s="242">
        <f t="shared" si="10"/>
        <v>1962.0646849315069</v>
      </c>
      <c r="P32" s="242">
        <v>1962.0646849315069</v>
      </c>
      <c r="Q32" s="242">
        <v>0</v>
      </c>
      <c r="R32" s="242">
        <f t="shared" si="11"/>
        <v>0</v>
      </c>
      <c r="S32" s="243">
        <f t="shared" si="12"/>
        <v>1</v>
      </c>
      <c r="T32" s="245">
        <f t="shared" si="9"/>
        <v>7.3</v>
      </c>
      <c r="U32" s="243">
        <f t="shared" si="13"/>
        <v>0.89639999999999997</v>
      </c>
      <c r="V32" s="205">
        <v>2000</v>
      </c>
      <c r="W32" s="205">
        <v>1250</v>
      </c>
      <c r="X32" s="194">
        <v>900</v>
      </c>
      <c r="Y32">
        <v>600</v>
      </c>
      <c r="Z32">
        <v>400</v>
      </c>
      <c r="AC32" s="232">
        <f t="shared" si="1"/>
        <v>-77</v>
      </c>
      <c r="AD32" s="233">
        <f t="shared" si="2"/>
        <v>157340</v>
      </c>
      <c r="AE32" s="234">
        <f t="shared" si="3"/>
        <v>-48</v>
      </c>
      <c r="AF32" s="224">
        <f t="shared" si="4"/>
        <v>8.5497599999999991</v>
      </c>
      <c r="AG32" s="225">
        <f t="shared" si="5"/>
        <v>7.6737599999999997</v>
      </c>
      <c r="AH32" s="186">
        <f t="shared" si="6"/>
        <v>5.1199999999999982E-2</v>
      </c>
    </row>
    <row r="33" spans="3:34" x14ac:dyDescent="0.25">
      <c r="C33" t="s">
        <v>509</v>
      </c>
      <c r="E33" s="194">
        <v>0.57999999999999996</v>
      </c>
      <c r="F33" s="194">
        <v>0</v>
      </c>
      <c r="G33">
        <f>+E33</f>
        <v>0.57999999999999996</v>
      </c>
      <c r="H33">
        <f t="shared" si="0"/>
        <v>0</v>
      </c>
      <c r="I33" s="186">
        <f t="shared" si="7"/>
        <v>1</v>
      </c>
      <c r="J33" s="186">
        <f t="shared" si="8"/>
        <v>0</v>
      </c>
      <c r="M33" s="228">
        <v>0.91830000000000001</v>
      </c>
      <c r="N33" s="194">
        <v>2031</v>
      </c>
      <c r="O33" s="242">
        <f t="shared" si="10"/>
        <v>60862.479471894199</v>
      </c>
      <c r="P33" s="242">
        <v>26403.53284931507</v>
      </c>
      <c r="Q33" s="242">
        <v>199.86189041095895</v>
      </c>
      <c r="R33" s="242">
        <f t="shared" si="11"/>
        <v>34458.946622579126</v>
      </c>
      <c r="S33" s="243">
        <f t="shared" si="12"/>
        <v>0.43382282612242257</v>
      </c>
      <c r="T33" s="245">
        <f t="shared" si="9"/>
        <v>0.25161723915100509</v>
      </c>
      <c r="U33" s="243">
        <f t="shared" si="13"/>
        <v>1</v>
      </c>
      <c r="V33" s="205">
        <v>500</v>
      </c>
      <c r="W33" s="205">
        <v>200</v>
      </c>
      <c r="X33" s="194">
        <v>80</v>
      </c>
      <c r="AC33" s="232">
        <f t="shared" si="1"/>
        <v>-42</v>
      </c>
      <c r="AD33" s="233">
        <f t="shared" si="2"/>
        <v>85310</v>
      </c>
      <c r="AE33" s="234">
        <f t="shared" si="3"/>
        <v>8</v>
      </c>
      <c r="AF33" s="224">
        <f t="shared" si="4"/>
        <v>1.0198100000000001</v>
      </c>
      <c r="AG33" s="225">
        <f t="shared" si="5"/>
        <v>0.95958500000000002</v>
      </c>
      <c r="AH33" s="186">
        <f t="shared" si="6"/>
        <v>0.65445689655172434</v>
      </c>
    </row>
    <row r="34" spans="3:34" x14ac:dyDescent="0.25">
      <c r="C34" t="s">
        <v>510</v>
      </c>
      <c r="E34" s="194">
        <v>130.22</v>
      </c>
      <c r="F34" s="194">
        <v>284</v>
      </c>
      <c r="G34">
        <f>+E34*63.65%</f>
        <v>82.88503</v>
      </c>
      <c r="H34">
        <f t="shared" si="0"/>
        <v>47.334969999999998</v>
      </c>
      <c r="I34" s="186">
        <f t="shared" si="7"/>
        <v>0.63649999999999995</v>
      </c>
      <c r="J34" s="186">
        <f t="shared" si="8"/>
        <v>0.36349999999999999</v>
      </c>
      <c r="M34" s="228">
        <v>0.63759999999999994</v>
      </c>
      <c r="N34" s="194">
        <v>2018</v>
      </c>
      <c r="O34" s="242">
        <f t="shared" si="10"/>
        <v>604.87506849315071</v>
      </c>
      <c r="P34" s="242">
        <v>604.87506849315071</v>
      </c>
      <c r="Q34" s="242">
        <v>0</v>
      </c>
      <c r="R34" s="242">
        <f t="shared" si="11"/>
        <v>0</v>
      </c>
      <c r="S34" s="243">
        <f t="shared" si="12"/>
        <v>1</v>
      </c>
      <c r="T34" s="245">
        <f t="shared" si="9"/>
        <v>130.22</v>
      </c>
      <c r="U34" s="243">
        <f t="shared" si="13"/>
        <v>0.63649999999999995</v>
      </c>
      <c r="V34" s="205">
        <v>55000</v>
      </c>
      <c r="W34" s="205">
        <v>31000</v>
      </c>
      <c r="X34" s="194">
        <v>15000</v>
      </c>
      <c r="Y34">
        <v>8000</v>
      </c>
      <c r="AC34" s="232">
        <f t="shared" si="1"/>
        <v>-3140</v>
      </c>
      <c r="AD34" s="233">
        <f t="shared" si="2"/>
        <v>6393600</v>
      </c>
      <c r="AE34" s="234">
        <f t="shared" si="3"/>
        <v>57080</v>
      </c>
      <c r="AF34" s="224">
        <f t="shared" si="4"/>
        <v>-40.909199999999998</v>
      </c>
      <c r="AG34" s="225">
        <f t="shared" si="5"/>
        <v>-39.376199999999997</v>
      </c>
      <c r="AH34" s="186">
        <f t="shared" si="6"/>
        <v>-1.3023821225618186</v>
      </c>
    </row>
    <row r="35" spans="3:34" x14ac:dyDescent="0.25">
      <c r="C35" t="s">
        <v>344</v>
      </c>
      <c r="E35" s="194">
        <v>24.09</v>
      </c>
      <c r="F35" s="194">
        <v>0</v>
      </c>
      <c r="G35">
        <f>+E35</f>
        <v>24.09</v>
      </c>
      <c r="H35">
        <f t="shared" si="0"/>
        <v>0</v>
      </c>
      <c r="I35" s="186">
        <f t="shared" si="7"/>
        <v>1</v>
      </c>
      <c r="J35" s="186">
        <f t="shared" si="8"/>
        <v>0</v>
      </c>
      <c r="M35" s="228">
        <v>0.73740000000000006</v>
      </c>
      <c r="N35" s="194">
        <v>2064</v>
      </c>
      <c r="O35" s="242">
        <f t="shared" si="10"/>
        <v>4233.3403013698626</v>
      </c>
      <c r="P35" s="242">
        <v>4233.3403013698626</v>
      </c>
      <c r="Q35" s="242">
        <v>0</v>
      </c>
      <c r="R35" s="242">
        <f t="shared" si="11"/>
        <v>0</v>
      </c>
      <c r="S35" s="243">
        <f t="shared" si="12"/>
        <v>1</v>
      </c>
      <c r="T35" s="245">
        <f t="shared" si="9"/>
        <v>24.09</v>
      </c>
      <c r="U35" s="243">
        <f t="shared" si="13"/>
        <v>1</v>
      </c>
      <c r="V35" s="205">
        <v>4000</v>
      </c>
      <c r="W35" s="205">
        <v>3500</v>
      </c>
      <c r="X35" s="194">
        <v>2500</v>
      </c>
      <c r="Y35">
        <v>2000</v>
      </c>
      <c r="Z35">
        <v>1500</v>
      </c>
      <c r="AA35">
        <v>1250</v>
      </c>
      <c r="AB35">
        <v>1000</v>
      </c>
      <c r="AC35" s="232">
        <f t="shared" si="1"/>
        <v>-103.57142857142857</v>
      </c>
      <c r="AD35" s="233">
        <f t="shared" si="2"/>
        <v>213017.85714285713</v>
      </c>
      <c r="AE35" s="234">
        <f t="shared" si="3"/>
        <v>-753.57142857144936</v>
      </c>
      <c r="AF35" s="224">
        <f t="shared" si="4"/>
        <v>26.068821428571262</v>
      </c>
      <c r="AG35" s="225">
        <f t="shared" si="5"/>
        <v>24.491499999999998</v>
      </c>
      <c r="AH35" s="186">
        <f t="shared" si="6"/>
        <v>1.6666666666666611E-2</v>
      </c>
    </row>
    <row r="36" spans="3:34" x14ac:dyDescent="0.25">
      <c r="C36" t="s">
        <v>511</v>
      </c>
      <c r="E36" s="194">
        <v>5.59</v>
      </c>
      <c r="F36" s="194">
        <v>0</v>
      </c>
      <c r="G36">
        <f>+E36</f>
        <v>5.59</v>
      </c>
      <c r="H36">
        <f t="shared" si="0"/>
        <v>0</v>
      </c>
      <c r="I36" s="186">
        <f t="shared" si="7"/>
        <v>1</v>
      </c>
      <c r="J36" s="186">
        <f t="shared" si="8"/>
        <v>0</v>
      </c>
      <c r="M36" s="228">
        <v>0.69210000000000005</v>
      </c>
      <c r="N36" s="194">
        <v>2047</v>
      </c>
      <c r="O36" s="242">
        <f t="shared" si="10"/>
        <v>1476.5236986301368</v>
      </c>
      <c r="P36" s="242">
        <v>1476.5236986301368</v>
      </c>
      <c r="Q36" s="242">
        <v>0</v>
      </c>
      <c r="R36" s="242">
        <f t="shared" si="11"/>
        <v>0</v>
      </c>
      <c r="S36" s="243">
        <f t="shared" si="12"/>
        <v>1</v>
      </c>
      <c r="T36" s="245">
        <f t="shared" si="9"/>
        <v>5.59</v>
      </c>
      <c r="U36" s="243">
        <f t="shared" si="13"/>
        <v>1</v>
      </c>
      <c r="V36" s="205">
        <v>1400</v>
      </c>
      <c r="W36" s="205">
        <v>1250</v>
      </c>
      <c r="X36" s="194">
        <v>750</v>
      </c>
      <c r="Y36">
        <v>450</v>
      </c>
      <c r="Z36">
        <v>250</v>
      </c>
      <c r="AC36" s="232">
        <f t="shared" si="1"/>
        <v>-62</v>
      </c>
      <c r="AD36" s="233">
        <f t="shared" si="2"/>
        <v>126680</v>
      </c>
      <c r="AE36" s="234">
        <f t="shared" si="3"/>
        <v>-234</v>
      </c>
      <c r="AF36" s="224">
        <f t="shared" si="4"/>
        <v>5.7454650000000003</v>
      </c>
      <c r="AG36" s="225">
        <f t="shared" si="5"/>
        <v>5.9425650000000001</v>
      </c>
      <c r="AH36" s="186">
        <f t="shared" si="6"/>
        <v>6.307066189624333E-2</v>
      </c>
    </row>
    <row r="37" spans="3:34" x14ac:dyDescent="0.25">
      <c r="C37" t="s">
        <v>345</v>
      </c>
      <c r="E37" s="194">
        <v>16.52</v>
      </c>
      <c r="F37" s="194">
        <v>1.91</v>
      </c>
      <c r="G37">
        <f>+E37*98.07%</f>
        <v>16.201163999999999</v>
      </c>
      <c r="H37">
        <f t="shared" si="0"/>
        <v>0.31883600000000101</v>
      </c>
      <c r="I37" s="186">
        <f t="shared" si="7"/>
        <v>0.98069999999999991</v>
      </c>
      <c r="J37" s="186">
        <f t="shared" si="8"/>
        <v>1.930000000000006E-2</v>
      </c>
      <c r="M37" s="228">
        <v>0.73629999999999995</v>
      </c>
      <c r="N37" s="194">
        <v>2060</v>
      </c>
      <c r="O37" s="242">
        <f t="shared" si="10"/>
        <v>4154.1152328767121</v>
      </c>
      <c r="P37" s="242">
        <v>4154.1152328767121</v>
      </c>
      <c r="Q37" s="242">
        <v>0</v>
      </c>
      <c r="R37" s="242">
        <f t="shared" si="11"/>
        <v>0</v>
      </c>
      <c r="S37" s="243">
        <f t="shared" si="12"/>
        <v>1</v>
      </c>
      <c r="T37" s="245">
        <f t="shared" si="9"/>
        <v>16.52</v>
      </c>
      <c r="U37" s="243">
        <f t="shared" si="13"/>
        <v>0.98069999999999991</v>
      </c>
      <c r="V37" s="205">
        <v>4000</v>
      </c>
      <c r="W37" s="205">
        <v>3000</v>
      </c>
      <c r="X37" s="194">
        <v>1800</v>
      </c>
      <c r="Y37">
        <v>1250</v>
      </c>
      <c r="Z37">
        <v>1000</v>
      </c>
      <c r="AA37">
        <v>750</v>
      </c>
      <c r="AC37" s="232">
        <f t="shared" si="1"/>
        <v>-130.28571428571428</v>
      </c>
      <c r="AD37" s="233">
        <f t="shared" si="2"/>
        <v>266772.38095238095</v>
      </c>
      <c r="AE37" s="234">
        <f t="shared" si="3"/>
        <v>-1616.1904761904734</v>
      </c>
      <c r="AF37" s="224">
        <f t="shared" si="4"/>
        <v>17.401809523809543</v>
      </c>
      <c r="AG37" s="225">
        <f t="shared" si="5"/>
        <v>14.447047619026899</v>
      </c>
      <c r="AH37" s="186">
        <f t="shared" si="6"/>
        <v>-0.12548137899352912</v>
      </c>
    </row>
    <row r="38" spans="3:34" x14ac:dyDescent="0.25">
      <c r="C38" t="s">
        <v>512</v>
      </c>
      <c r="E38" s="194">
        <v>90.73</v>
      </c>
      <c r="F38" s="194">
        <v>10.09</v>
      </c>
      <c r="G38">
        <f>+E38*98.15%</f>
        <v>89.051495000000003</v>
      </c>
      <c r="H38">
        <f t="shared" si="0"/>
        <v>1.6785050000000012</v>
      </c>
      <c r="I38" s="186">
        <f t="shared" si="7"/>
        <v>0.98150000000000004</v>
      </c>
      <c r="J38" s="186">
        <f t="shared" si="8"/>
        <v>1.8500000000000013E-2</v>
      </c>
      <c r="M38" s="228">
        <v>0.50829999999999997</v>
      </c>
      <c r="N38" s="194">
        <v>2061</v>
      </c>
      <c r="O38" s="242">
        <f t="shared" si="10"/>
        <v>18271.22222390175</v>
      </c>
      <c r="P38" s="242">
        <v>17849.99879452055</v>
      </c>
      <c r="Q38" s="242">
        <v>2.4430958904109596</v>
      </c>
      <c r="R38" s="242">
        <f t="shared" si="11"/>
        <v>421.22342938119994</v>
      </c>
      <c r="S38" s="243">
        <f t="shared" si="12"/>
        <v>0.97694607266994049</v>
      </c>
      <c r="T38" s="245">
        <f t="shared" si="9"/>
        <v>88.638317173343708</v>
      </c>
      <c r="U38" s="243">
        <f t="shared" si="13"/>
        <v>0.98150000000000004</v>
      </c>
      <c r="V38" s="205">
        <v>19000</v>
      </c>
      <c r="W38" s="205">
        <v>16000</v>
      </c>
      <c r="X38" s="194">
        <v>10000</v>
      </c>
      <c r="Y38">
        <v>7000</v>
      </c>
      <c r="Z38">
        <v>4500</v>
      </c>
      <c r="AA38">
        <v>3000</v>
      </c>
      <c r="AB38">
        <v>2000</v>
      </c>
    </row>
    <row r="39" spans="3:34" x14ac:dyDescent="0.25">
      <c r="H39">
        <f t="shared" si="0"/>
        <v>0</v>
      </c>
      <c r="I39" s="186"/>
      <c r="J39" s="186"/>
    </row>
    <row r="40" spans="3:34" x14ac:dyDescent="0.25">
      <c r="C40" t="s">
        <v>519</v>
      </c>
      <c r="E40" s="194" t="s">
        <v>527</v>
      </c>
      <c r="F40" s="194">
        <v>23.75</v>
      </c>
      <c r="G40" t="e">
        <f>+E40*0.74%</f>
        <v>#VALUE!</v>
      </c>
      <c r="H40" t="e">
        <f t="shared" si="0"/>
        <v>#VALUE!</v>
      </c>
      <c r="I40" s="186" t="e">
        <f t="shared" si="7"/>
        <v>#VALUE!</v>
      </c>
      <c r="J40" s="186" t="e">
        <f t="shared" si="8"/>
        <v>#VALUE!</v>
      </c>
      <c r="M40" s="228">
        <v>0.30909999999999999</v>
      </c>
      <c r="N40" s="194">
        <v>2049</v>
      </c>
      <c r="O40" s="194"/>
      <c r="P40" s="194"/>
      <c r="Q40" s="194"/>
      <c r="R40" s="194"/>
      <c r="S40" s="194"/>
      <c r="T40" s="194"/>
      <c r="U40" s="194"/>
    </row>
    <row r="41" spans="3:34" x14ac:dyDescent="0.25">
      <c r="C41" t="s">
        <v>520</v>
      </c>
      <c r="E41" s="194">
        <v>6.24</v>
      </c>
      <c r="F41" s="194">
        <v>11.14</v>
      </c>
      <c r="G41">
        <f>+E41*70.26%</f>
        <v>4.3842240000000006</v>
      </c>
      <c r="H41">
        <f t="shared" si="0"/>
        <v>1.8557759999999996</v>
      </c>
      <c r="I41" s="186">
        <f t="shared" si="7"/>
        <v>0.70260000000000011</v>
      </c>
      <c r="J41" s="186">
        <f t="shared" si="8"/>
        <v>0.29739999999999994</v>
      </c>
      <c r="M41" s="228">
        <v>0.77259999999999995</v>
      </c>
      <c r="N41" s="194">
        <v>2041</v>
      </c>
      <c r="O41" s="194"/>
      <c r="P41" s="194"/>
      <c r="Q41" s="194"/>
      <c r="R41" s="194"/>
      <c r="S41" s="194"/>
      <c r="T41" s="194"/>
      <c r="U41" s="194"/>
      <c r="V41" s="205">
        <v>3700</v>
      </c>
    </row>
    <row r="42" spans="3:34" x14ac:dyDescent="0.25">
      <c r="C42" t="s">
        <v>521</v>
      </c>
      <c r="E42" s="194">
        <v>18.809999999999999</v>
      </c>
      <c r="F42" s="194">
        <v>112.29</v>
      </c>
      <c r="G42">
        <f>+E42*0.49%</f>
        <v>9.2168999999999987E-2</v>
      </c>
      <c r="H42">
        <f t="shared" si="0"/>
        <v>18.717831</v>
      </c>
      <c r="I42" s="186">
        <f t="shared" si="7"/>
        <v>4.8999999999999998E-3</v>
      </c>
      <c r="J42" s="186">
        <f t="shared" si="8"/>
        <v>0.9951000000000001</v>
      </c>
      <c r="M42" s="228">
        <v>0.29599999999999999</v>
      </c>
      <c r="N42" s="194">
        <v>2042</v>
      </c>
      <c r="O42" s="194"/>
      <c r="P42" s="194"/>
      <c r="Q42" s="194"/>
      <c r="R42" s="194"/>
      <c r="S42" s="194"/>
      <c r="T42" s="194"/>
      <c r="U42" s="194"/>
      <c r="V42" s="205">
        <v>4500</v>
      </c>
    </row>
    <row r="43" spans="3:34" x14ac:dyDescent="0.25">
      <c r="C43" t="s">
        <v>522</v>
      </c>
      <c r="E43" s="194">
        <v>9.35</v>
      </c>
      <c r="F43" s="194">
        <v>4.1900000000000004</v>
      </c>
      <c r="G43">
        <f>+E43*92.53%</f>
        <v>8.6515550000000001</v>
      </c>
      <c r="H43">
        <f t="shared" si="0"/>
        <v>0.69844499999999954</v>
      </c>
      <c r="I43" s="186">
        <f t="shared" si="7"/>
        <v>0.92530000000000001</v>
      </c>
      <c r="J43" s="186">
        <f t="shared" si="8"/>
        <v>7.4699999999999947E-2</v>
      </c>
      <c r="M43" s="228">
        <v>0.51980000000000004</v>
      </c>
      <c r="N43" s="194">
        <v>2068</v>
      </c>
      <c r="O43" s="194"/>
      <c r="P43" s="194"/>
      <c r="Q43" s="194"/>
      <c r="R43" s="194"/>
      <c r="S43" s="194"/>
      <c r="T43" s="194"/>
      <c r="U43" s="194"/>
      <c r="V43" s="194">
        <v>1800</v>
      </c>
    </row>
    <row r="45" spans="3:34" x14ac:dyDescent="0.25">
      <c r="V45">
        <f>+SUM(V6:V43)</f>
        <v>529280</v>
      </c>
      <c r="W45" t="s">
        <v>528</v>
      </c>
    </row>
    <row r="46" spans="3:34" x14ac:dyDescent="0.25">
      <c r="V46">
        <f>+V45*365</f>
        <v>193187200</v>
      </c>
      <c r="W46" t="s">
        <v>528</v>
      </c>
    </row>
    <row r="47" spans="3:34" x14ac:dyDescent="0.25">
      <c r="C47" t="s">
        <v>513</v>
      </c>
      <c r="E47" s="212">
        <f>+SUM(E5:E38)+E42</f>
        <v>1984.8899999999996</v>
      </c>
      <c r="F47" t="s">
        <v>488</v>
      </c>
      <c r="V47" s="229">
        <f>+V46/1000000</f>
        <v>193.18719999999999</v>
      </c>
      <c r="W47" t="s">
        <v>529</v>
      </c>
    </row>
    <row r="48" spans="3:34" x14ac:dyDescent="0.25">
      <c r="C48" t="s">
        <v>514</v>
      </c>
      <c r="E48">
        <f>+SUM(G5:G38)+G42</f>
        <v>1725.2950059999996</v>
      </c>
      <c r="F48" t="s">
        <v>488</v>
      </c>
      <c r="G48" s="186">
        <f>+E48/E47</f>
        <v>0.86921441792744181</v>
      </c>
      <c r="H48" s="186"/>
      <c r="I48" s="186"/>
      <c r="J48" s="186"/>
      <c r="K48" s="186"/>
      <c r="L48" s="186"/>
      <c r="M48" s="212"/>
      <c r="V48" s="219" t="s">
        <v>530</v>
      </c>
      <c r="W48" s="219" t="s">
        <v>531</v>
      </c>
    </row>
    <row r="49" spans="3:23" x14ac:dyDescent="0.25">
      <c r="C49" t="s">
        <v>517</v>
      </c>
      <c r="E49" s="212">
        <f>+E47-E48</f>
        <v>259.59499400000004</v>
      </c>
      <c r="F49" t="s">
        <v>488</v>
      </c>
      <c r="G49" s="186">
        <f>+E49/E47</f>
        <v>0.13078558207255822</v>
      </c>
      <c r="H49" s="186"/>
      <c r="I49" s="186"/>
      <c r="J49" s="186"/>
      <c r="K49" s="186"/>
      <c r="L49" s="186"/>
      <c r="V49" s="236">
        <f>+V47*V54</f>
        <v>25.114335999999998</v>
      </c>
      <c r="W49" s="237">
        <f>+V47*(100%-V54)</f>
        <v>168.07286399999998</v>
      </c>
    </row>
    <row r="50" spans="3:23" x14ac:dyDescent="0.25">
      <c r="C50" t="s">
        <v>515</v>
      </c>
      <c r="E50" s="212">
        <f>+SUM(F5:F38)</f>
        <v>1635.0453439999999</v>
      </c>
      <c r="F50" t="s">
        <v>516</v>
      </c>
      <c r="V50" s="246">
        <f>+E49/V49</f>
        <v>10.33652627726252</v>
      </c>
    </row>
    <row r="51" spans="3:23" x14ac:dyDescent="0.25">
      <c r="E51" s="212">
        <f>+E50*(1000000000)</f>
        <v>1635045344000</v>
      </c>
      <c r="F51" t="s">
        <v>526</v>
      </c>
    </row>
    <row r="52" spans="3:23" x14ac:dyDescent="0.25">
      <c r="E52" s="212">
        <f>+(E51/G1)/1000000</f>
        <v>272.62588454016498</v>
      </c>
      <c r="N52" t="s">
        <v>518</v>
      </c>
      <c r="V52" t="s">
        <v>532</v>
      </c>
    </row>
    <row r="53" spans="3:23" x14ac:dyDescent="0.25">
      <c r="N53">
        <v>71</v>
      </c>
      <c r="V53" s="235">
        <v>0.87</v>
      </c>
    </row>
    <row r="54" spans="3:23" x14ac:dyDescent="0.25">
      <c r="E54">
        <f>+E50*1000</f>
        <v>1635045.3439999998</v>
      </c>
      <c r="F54" t="s">
        <v>523</v>
      </c>
      <c r="N54">
        <v>29</v>
      </c>
      <c r="V54" s="235">
        <v>0.13</v>
      </c>
    </row>
    <row r="55" spans="3:23" x14ac:dyDescent="0.25">
      <c r="E55">
        <f>+E54/11</f>
        <v>148640.4858181818</v>
      </c>
      <c r="F55" t="s">
        <v>523</v>
      </c>
      <c r="Q55" t="s">
        <v>540</v>
      </c>
      <c r="R55" s="212">
        <f>+E47</f>
        <v>1984.8899999999996</v>
      </c>
      <c r="S55" t="s">
        <v>488</v>
      </c>
    </row>
    <row r="56" spans="3:23" x14ac:dyDescent="0.25">
      <c r="E56">
        <f>+E55/365</f>
        <v>407.234207721046</v>
      </c>
      <c r="F56" t="s">
        <v>523</v>
      </c>
      <c r="Q56" t="s">
        <v>541</v>
      </c>
      <c r="R56" s="245">
        <f>+SUM(T6:T38)</f>
        <v>1737.7836457184026</v>
      </c>
    </row>
    <row r="58" spans="3:23" x14ac:dyDescent="0.25">
      <c r="E58">
        <v>1000</v>
      </c>
      <c r="F58" t="s">
        <v>523</v>
      </c>
    </row>
    <row r="59" spans="3:23" x14ac:dyDescent="0.25">
      <c r="E59">
        <f>+E58*365</f>
        <v>365000</v>
      </c>
    </row>
    <row r="60" spans="3:23" x14ac:dyDescent="0.25">
      <c r="E60" s="229">
        <f>+E54/E59</f>
        <v>4.4795762849315066</v>
      </c>
      <c r="F60" t="s">
        <v>524</v>
      </c>
    </row>
    <row r="61" spans="3:23" x14ac:dyDescent="0.25">
      <c r="E61" s="223"/>
    </row>
  </sheetData>
  <mergeCells count="1">
    <mergeCell ref="AF3:AG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25AB-0F37-47F2-B729-BE4992C6F666}">
  <dimension ref="C1:Y61"/>
  <sheetViews>
    <sheetView showGridLines="0" topLeftCell="B14" zoomScale="115" zoomScaleNormal="115" workbookViewId="0">
      <selection activeCell="F4" sqref="F4:F43"/>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5997.3958333333339</v>
      </c>
      <c r="H1" s="229" t="s">
        <v>525</v>
      </c>
      <c r="I1" s="229"/>
      <c r="J1" s="229"/>
      <c r="N1">
        <v>1</v>
      </c>
      <c r="O1" t="s">
        <v>484</v>
      </c>
      <c r="P1">
        <v>5800</v>
      </c>
      <c r="Q1" t="s">
        <v>485</v>
      </c>
    </row>
    <row r="3" spans="3:25" x14ac:dyDescent="0.25">
      <c r="M3" s="207" t="s">
        <v>479</v>
      </c>
      <c r="N3" s="208"/>
      <c r="O3" s="208"/>
      <c r="P3" s="208"/>
      <c r="Q3" s="208"/>
      <c r="R3" s="208"/>
      <c r="S3" s="209"/>
      <c r="W3" s="272" t="s">
        <v>488</v>
      </c>
      <c r="X3" s="272"/>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301</v>
      </c>
      <c r="E5" s="197">
        <v>28.68</v>
      </c>
      <c r="F5" s="198">
        <v>172.07</v>
      </c>
      <c r="G5" s="199">
        <v>0</v>
      </c>
      <c r="H5">
        <f t="shared" ref="H5:H43" si="0">+E5-G5</f>
        <v>28.68</v>
      </c>
      <c r="I5" s="186">
        <f>+G5/E5</f>
        <v>0</v>
      </c>
      <c r="J5" s="186">
        <f>+H5/E5</f>
        <v>1</v>
      </c>
      <c r="K5" s="200">
        <v>0.96079999999999999</v>
      </c>
      <c r="L5" s="201">
        <v>2027</v>
      </c>
      <c r="M5" s="202">
        <v>20000</v>
      </c>
      <c r="N5" s="203">
        <v>12500</v>
      </c>
      <c r="O5" s="206"/>
      <c r="P5" s="206"/>
      <c r="Q5" s="206"/>
      <c r="R5" s="206"/>
      <c r="S5" s="199"/>
      <c r="T5" s="210">
        <f t="shared" ref="T5:T20" si="1">+SLOPE(M5:S5,$M$4:$S$4)</f>
        <v>-1500</v>
      </c>
      <c r="U5" s="204">
        <f t="shared" ref="U5:U20" si="2">+INTERCEPT(M5:S5,$M$4:$S$4)</f>
        <v>3050000</v>
      </c>
      <c r="V5" s="211">
        <f t="shared" ref="V5:V20" si="3">+T5*L5+U5</f>
        <v>9500</v>
      </c>
      <c r="W5" s="224">
        <f t="shared" ref="W5:W20" si="4">+((L5-$M$4)*V5+((L5-$M$4)*(M5-V5))/2)*365/1000000</f>
        <v>37.686250000000001</v>
      </c>
      <c r="X5" s="225">
        <f t="shared" ref="X5:X20" si="5">+((T5*L5*L5/2)+(U5*L5)-(T5*$M$4*$M$4/2)-(U5*$M$4))*365/1000000</f>
        <v>37.686250000000001</v>
      </c>
      <c r="Y5" s="186">
        <f t="shared" ref="Y5:Y37" si="6">+(X5-E5)/E5</f>
        <v>0.31402545327754539</v>
      </c>
    </row>
    <row r="6" spans="3:25" x14ac:dyDescent="0.25">
      <c r="C6" t="s">
        <v>342</v>
      </c>
      <c r="E6" s="194">
        <v>89.87</v>
      </c>
      <c r="F6" s="194">
        <v>0</v>
      </c>
      <c r="G6" s="194">
        <f>+E6</f>
        <v>89.87</v>
      </c>
      <c r="H6">
        <f t="shared" si="0"/>
        <v>0</v>
      </c>
      <c r="I6" s="186">
        <f t="shared" ref="I6:I43" si="7">+G6/E6</f>
        <v>1</v>
      </c>
      <c r="J6" s="186">
        <f t="shared" ref="J6:J43" si="8">+H6/E6</f>
        <v>0</v>
      </c>
      <c r="K6" s="196">
        <v>0.24629999999999999</v>
      </c>
      <c r="L6" s="194">
        <v>2048</v>
      </c>
      <c r="M6" s="194">
        <v>10000</v>
      </c>
      <c r="N6" s="194">
        <v>16000</v>
      </c>
      <c r="O6" s="194">
        <v>11000</v>
      </c>
      <c r="P6" s="194">
        <v>7500</v>
      </c>
      <c r="Q6" s="194">
        <v>5500</v>
      </c>
      <c r="R6" s="194">
        <v>4000</v>
      </c>
      <c r="S6" s="194"/>
      <c r="T6" s="210">
        <f t="shared" si="1"/>
        <v>-371.42857142857144</v>
      </c>
      <c r="U6" s="204">
        <f t="shared" si="2"/>
        <v>763928.57142857148</v>
      </c>
      <c r="V6" s="211">
        <f t="shared" si="3"/>
        <v>3242.8571428571595</v>
      </c>
      <c r="W6" s="226">
        <f t="shared" si="4"/>
        <v>67.671000000000092</v>
      </c>
      <c r="X6" s="227">
        <f t="shared" si="5"/>
        <v>86.286000000000001</v>
      </c>
      <c r="Y6" s="186">
        <f t="shared" si="6"/>
        <v>-3.9879826415934162E-2</v>
      </c>
    </row>
    <row r="7" spans="3:25"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K7" s="196">
        <v>0.62780000000000002</v>
      </c>
      <c r="L7" s="194">
        <v>2041</v>
      </c>
      <c r="M7" s="194">
        <v>400</v>
      </c>
      <c r="N7" s="194">
        <v>280</v>
      </c>
      <c r="O7" s="194">
        <v>200</v>
      </c>
      <c r="P7" s="194">
        <v>120</v>
      </c>
      <c r="Q7" s="194">
        <v>80</v>
      </c>
      <c r="R7" s="194"/>
      <c r="S7" s="194"/>
      <c r="T7" s="210">
        <f t="shared" si="1"/>
        <v>-16</v>
      </c>
      <c r="U7" s="204">
        <f t="shared" si="2"/>
        <v>32696</v>
      </c>
      <c r="V7" s="211">
        <f t="shared" si="3"/>
        <v>40</v>
      </c>
      <c r="W7" s="226">
        <f t="shared" si="4"/>
        <v>1.6862999999999999</v>
      </c>
      <c r="X7" s="227">
        <f t="shared" si="5"/>
        <v>1.59432</v>
      </c>
      <c r="Y7" s="186">
        <f t="shared" si="6"/>
        <v>0.16373722627737214</v>
      </c>
    </row>
    <row r="8" spans="3:25" x14ac:dyDescent="0.25">
      <c r="C8" t="s">
        <v>346</v>
      </c>
      <c r="E8" s="194">
        <v>2.5</v>
      </c>
      <c r="F8" s="194">
        <v>7.0000000000000007E-2</v>
      </c>
      <c r="G8" s="194">
        <f>+E8*99.53%</f>
        <v>2.4882499999999999</v>
      </c>
      <c r="H8">
        <f t="shared" si="0"/>
        <v>1.1750000000000149E-2</v>
      </c>
      <c r="I8" s="186">
        <f t="shared" si="7"/>
        <v>0.99529999999999996</v>
      </c>
      <c r="J8" s="186">
        <f t="shared" si="8"/>
        <v>4.70000000000006E-3</v>
      </c>
      <c r="K8" s="196">
        <v>0.93179999999999996</v>
      </c>
      <c r="L8" s="194">
        <v>2029</v>
      </c>
      <c r="M8" s="194">
        <v>2950</v>
      </c>
      <c r="N8" s="194">
        <v>750</v>
      </c>
      <c r="O8" s="194"/>
      <c r="P8" s="194"/>
      <c r="Q8" s="194"/>
      <c r="R8" s="194"/>
      <c r="S8" s="194"/>
      <c r="T8" s="210">
        <f t="shared" si="1"/>
        <v>-440</v>
      </c>
      <c r="U8" s="204">
        <f t="shared" si="2"/>
        <v>891750</v>
      </c>
      <c r="V8" s="211">
        <f t="shared" si="3"/>
        <v>-1010</v>
      </c>
      <c r="W8" s="226">
        <f t="shared" si="4"/>
        <v>3.1864499999999998</v>
      </c>
      <c r="X8" s="227">
        <f t="shared" si="5"/>
        <v>3.1864499999999998</v>
      </c>
      <c r="Y8" s="186">
        <f t="shared" si="6"/>
        <v>0.27457999999999994</v>
      </c>
    </row>
    <row r="9" spans="3:25" x14ac:dyDescent="0.25">
      <c r="C9" t="s">
        <v>311</v>
      </c>
      <c r="E9" s="194">
        <v>14.92</v>
      </c>
      <c r="F9" s="194">
        <v>89.54</v>
      </c>
      <c r="G9" s="194">
        <v>0</v>
      </c>
      <c r="H9">
        <f t="shared" si="0"/>
        <v>14.92</v>
      </c>
      <c r="I9" s="186">
        <f t="shared" si="7"/>
        <v>0</v>
      </c>
      <c r="J9" s="186">
        <f t="shared" si="8"/>
        <v>1</v>
      </c>
      <c r="K9" s="196">
        <v>0.69059999999999999</v>
      </c>
      <c r="L9" s="194">
        <v>2039</v>
      </c>
      <c r="M9" s="194">
        <v>2500</v>
      </c>
      <c r="N9" s="213">
        <v>3000</v>
      </c>
      <c r="O9" s="194">
        <v>2100</v>
      </c>
      <c r="P9" s="194">
        <v>1800</v>
      </c>
      <c r="Q9" s="194"/>
      <c r="R9" s="194"/>
      <c r="S9" s="194"/>
      <c r="T9" s="210">
        <f t="shared" si="1"/>
        <v>-60</v>
      </c>
      <c r="U9" s="204">
        <f t="shared" si="2"/>
        <v>124000</v>
      </c>
      <c r="V9" s="211">
        <f t="shared" si="3"/>
        <v>1660</v>
      </c>
      <c r="W9" s="226">
        <f t="shared" si="4"/>
        <v>14.424799999999999</v>
      </c>
      <c r="X9" s="227">
        <f t="shared" si="5"/>
        <v>15.46505</v>
      </c>
      <c r="Y9" s="186">
        <f t="shared" si="6"/>
        <v>3.653150134048256E-2</v>
      </c>
    </row>
    <row r="10" spans="3:25" x14ac:dyDescent="0.25">
      <c r="C10" t="s">
        <v>492</v>
      </c>
      <c r="E10" s="194">
        <v>153.29</v>
      </c>
      <c r="F10" s="194">
        <v>0</v>
      </c>
      <c r="G10" s="194">
        <v>153.29</v>
      </c>
      <c r="H10">
        <f t="shared" si="0"/>
        <v>0</v>
      </c>
      <c r="I10" s="186">
        <f t="shared" si="7"/>
        <v>1</v>
      </c>
      <c r="J10" s="186">
        <f t="shared" si="8"/>
        <v>0</v>
      </c>
      <c r="K10" s="196">
        <v>0.70950000000000002</v>
      </c>
      <c r="L10" s="194">
        <v>2036</v>
      </c>
      <c r="M10" s="194">
        <v>65000</v>
      </c>
      <c r="N10" s="213">
        <v>37500</v>
      </c>
      <c r="O10" s="194">
        <v>22500</v>
      </c>
      <c r="P10" s="194">
        <v>12500</v>
      </c>
      <c r="Q10" s="194"/>
      <c r="R10" s="194"/>
      <c r="S10" s="194"/>
      <c r="T10" s="232">
        <f t="shared" si="1"/>
        <v>-3450</v>
      </c>
      <c r="U10" s="233">
        <f t="shared" si="2"/>
        <v>7029250</v>
      </c>
      <c r="V10" s="234">
        <f t="shared" si="3"/>
        <v>5050</v>
      </c>
      <c r="W10" s="224">
        <f t="shared" si="4"/>
        <v>204.54599999999999</v>
      </c>
      <c r="X10" s="225">
        <f t="shared" si="5"/>
        <v>190.67599999999999</v>
      </c>
      <c r="Y10" s="186">
        <f t="shared" si="6"/>
        <v>0.24389066475308238</v>
      </c>
    </row>
    <row r="11" spans="3:25" x14ac:dyDescent="0.25">
      <c r="C11" t="s">
        <v>493</v>
      </c>
      <c r="E11" s="194">
        <v>0.88</v>
      </c>
      <c r="F11" s="194">
        <v>0</v>
      </c>
      <c r="G11" s="194">
        <v>0.88</v>
      </c>
      <c r="H11">
        <f t="shared" si="0"/>
        <v>0</v>
      </c>
      <c r="I11" s="186">
        <f t="shared" si="7"/>
        <v>1</v>
      </c>
      <c r="J11" s="186">
        <f t="shared" si="8"/>
        <v>0</v>
      </c>
      <c r="K11" s="196">
        <v>0.69830000000000003</v>
      </c>
      <c r="L11" s="194">
        <v>2042</v>
      </c>
      <c r="M11" s="194">
        <v>150</v>
      </c>
      <c r="N11" s="231">
        <v>180</v>
      </c>
      <c r="O11" s="194">
        <v>105</v>
      </c>
      <c r="P11" s="194">
        <v>90</v>
      </c>
      <c r="Q11" s="194">
        <v>60</v>
      </c>
      <c r="R11" s="194"/>
      <c r="S11" s="194"/>
      <c r="T11" s="232">
        <f t="shared" si="1"/>
        <v>-5.4</v>
      </c>
      <c r="U11" s="233">
        <f t="shared" si="2"/>
        <v>11079</v>
      </c>
      <c r="V11" s="234">
        <f t="shared" si="3"/>
        <v>52.199999999998909</v>
      </c>
      <c r="W11" s="224">
        <f t="shared" si="4"/>
        <v>0.81183299999999559</v>
      </c>
      <c r="X11" s="225">
        <f t="shared" si="5"/>
        <v>0.89614799999972805</v>
      </c>
      <c r="Y11" s="186">
        <f t="shared" si="6"/>
        <v>1.8349999999690961E-2</v>
      </c>
    </row>
    <row r="12" spans="3:25" x14ac:dyDescent="0.25">
      <c r="C12" t="s">
        <v>494</v>
      </c>
      <c r="E12" s="194">
        <v>543.79</v>
      </c>
      <c r="F12" s="194">
        <v>0</v>
      </c>
      <c r="G12" s="194">
        <f>+E12</f>
        <v>543.79</v>
      </c>
      <c r="H12">
        <f t="shared" si="0"/>
        <v>0</v>
      </c>
      <c r="I12" s="186">
        <f t="shared" si="7"/>
        <v>1</v>
      </c>
      <c r="J12" s="186">
        <f t="shared" si="8"/>
        <v>0</v>
      </c>
      <c r="K12" s="196">
        <v>0.31709999999999999</v>
      </c>
      <c r="L12" s="194">
        <v>2099</v>
      </c>
      <c r="M12" s="194">
        <v>40000</v>
      </c>
      <c r="N12" s="194"/>
      <c r="O12" s="194">
        <v>32500</v>
      </c>
      <c r="Q12" s="194">
        <v>27500</v>
      </c>
      <c r="R12" s="194"/>
      <c r="S12" s="194">
        <v>22500</v>
      </c>
      <c r="T12" s="232">
        <f t="shared" si="1"/>
        <v>-575</v>
      </c>
      <c r="U12" s="233">
        <f t="shared" si="2"/>
        <v>1200750</v>
      </c>
      <c r="V12" s="234">
        <f t="shared" si="3"/>
        <v>-6175</v>
      </c>
      <c r="W12" s="224">
        <f t="shared" si="4"/>
        <v>487.67193750000001</v>
      </c>
      <c r="X12" s="225">
        <f t="shared" si="5"/>
        <v>476.8588125</v>
      </c>
      <c r="Y12" s="186">
        <f t="shared" si="6"/>
        <v>-0.1230827847146876</v>
      </c>
    </row>
    <row r="13" spans="3:25" x14ac:dyDescent="0.25">
      <c r="C13" t="s">
        <v>29</v>
      </c>
      <c r="E13" s="194">
        <v>272.89999999999998</v>
      </c>
      <c r="F13" s="194">
        <v>0</v>
      </c>
      <c r="G13" s="194">
        <v>272.29000000000002</v>
      </c>
      <c r="H13">
        <f t="shared" si="0"/>
        <v>0.6099999999999568</v>
      </c>
      <c r="I13" s="186">
        <f t="shared" si="7"/>
        <v>0.99776474899230505</v>
      </c>
      <c r="J13" s="186">
        <f t="shared" si="8"/>
        <v>2.2352510076949681E-3</v>
      </c>
      <c r="K13" s="228">
        <v>0.71530000000000005</v>
      </c>
      <c r="L13" s="194">
        <v>2036</v>
      </c>
      <c r="M13" s="205">
        <v>105000</v>
      </c>
      <c r="N13" s="214">
        <v>75000</v>
      </c>
      <c r="O13" s="194">
        <v>40000</v>
      </c>
      <c r="P13" s="194">
        <v>25000</v>
      </c>
      <c r="T13" s="232">
        <f t="shared" si="1"/>
        <v>-5500</v>
      </c>
      <c r="U13" s="233">
        <f t="shared" si="2"/>
        <v>11212500</v>
      </c>
      <c r="V13" s="234">
        <f t="shared" si="3"/>
        <v>14500</v>
      </c>
      <c r="W13" s="224">
        <f t="shared" si="4"/>
        <v>348.94</v>
      </c>
      <c r="X13" s="225">
        <f t="shared" si="5"/>
        <v>341.64</v>
      </c>
      <c r="Y13" s="186">
        <f t="shared" si="6"/>
        <v>0.25188713814584102</v>
      </c>
    </row>
    <row r="14" spans="3:25" x14ac:dyDescent="0.25">
      <c r="C14" t="s">
        <v>345</v>
      </c>
      <c r="E14" s="194">
        <v>16.52</v>
      </c>
      <c r="F14" s="194">
        <v>1.61</v>
      </c>
      <c r="G14">
        <f>+E14*98.07%</f>
        <v>16.201163999999999</v>
      </c>
      <c r="H14">
        <f t="shared" si="0"/>
        <v>0.31883600000000101</v>
      </c>
      <c r="I14" s="186">
        <f t="shared" si="7"/>
        <v>0.98069999999999991</v>
      </c>
      <c r="J14" s="186">
        <f t="shared" si="8"/>
        <v>1.930000000000006E-2</v>
      </c>
      <c r="K14" s="228">
        <v>0.73629999999999995</v>
      </c>
      <c r="L14" s="194">
        <v>2060</v>
      </c>
      <c r="M14" s="194">
        <v>4000</v>
      </c>
      <c r="N14" s="194">
        <v>3000</v>
      </c>
      <c r="O14" s="194">
        <v>1800</v>
      </c>
      <c r="P14" s="194">
        <v>1000</v>
      </c>
      <c r="Q14" s="194">
        <v>900</v>
      </c>
      <c r="R14" s="194">
        <v>700</v>
      </c>
      <c r="S14" s="194">
        <v>500</v>
      </c>
      <c r="T14" s="232">
        <f t="shared" si="1"/>
        <v>-114.28571428571429</v>
      </c>
      <c r="U14" s="233">
        <f t="shared" si="2"/>
        <v>234271.42857142858</v>
      </c>
      <c r="V14" s="234">
        <f t="shared" si="3"/>
        <v>-1157.1428571428696</v>
      </c>
      <c r="W14" s="224">
        <f t="shared" si="4"/>
        <v>20.752857142857053</v>
      </c>
      <c r="X14" s="225">
        <f t="shared" si="5"/>
        <v>16.47714285712421</v>
      </c>
      <c r="Y14" s="186">
        <f t="shared" si="6"/>
        <v>-2.5942580433286396E-3</v>
      </c>
    </row>
    <row r="15" spans="3:25" x14ac:dyDescent="0.25">
      <c r="C15" t="s">
        <v>140</v>
      </c>
      <c r="E15" s="194">
        <v>21.91</v>
      </c>
      <c r="F15" s="194">
        <v>0</v>
      </c>
      <c r="G15">
        <f>+E15</f>
        <v>21.91</v>
      </c>
      <c r="H15">
        <f t="shared" si="0"/>
        <v>0</v>
      </c>
      <c r="I15" s="186">
        <f t="shared" si="7"/>
        <v>1</v>
      </c>
      <c r="J15" s="186">
        <f t="shared" si="8"/>
        <v>0</v>
      </c>
      <c r="K15" s="228">
        <v>0.78649999999999998</v>
      </c>
      <c r="L15" s="194">
        <v>2035</v>
      </c>
      <c r="M15" s="205">
        <v>10500</v>
      </c>
      <c r="N15" s="215">
        <v>6000</v>
      </c>
      <c r="O15" s="194">
        <v>2300</v>
      </c>
      <c r="P15" s="194">
        <v>1800</v>
      </c>
      <c r="T15" s="232">
        <f t="shared" si="1"/>
        <v>-596</v>
      </c>
      <c r="U15" s="233">
        <f t="shared" si="2"/>
        <v>1213540</v>
      </c>
      <c r="V15" s="234">
        <f t="shared" si="3"/>
        <v>680</v>
      </c>
      <c r="W15" s="224">
        <f t="shared" si="4"/>
        <v>30.605250000000002</v>
      </c>
      <c r="X15" s="225">
        <f t="shared" si="5"/>
        <v>28.196249999999999</v>
      </c>
      <c r="Y15" s="186">
        <f t="shared" si="6"/>
        <v>0.28691236878137832</v>
      </c>
    </row>
    <row r="16" spans="3:25" x14ac:dyDescent="0.25">
      <c r="C16" t="s">
        <v>495</v>
      </c>
      <c r="E16" s="194">
        <v>8.85</v>
      </c>
      <c r="F16" s="194">
        <v>0</v>
      </c>
      <c r="G16">
        <f>+E16</f>
        <v>8.85</v>
      </c>
      <c r="H16">
        <f t="shared" si="0"/>
        <v>0</v>
      </c>
      <c r="I16" s="186">
        <f t="shared" si="7"/>
        <v>1</v>
      </c>
      <c r="J16" s="186">
        <f t="shared" si="8"/>
        <v>0</v>
      </c>
      <c r="K16" s="228">
        <v>0.55530000000000002</v>
      </c>
      <c r="L16" s="194">
        <v>2052</v>
      </c>
      <c r="M16" s="205">
        <v>1600</v>
      </c>
      <c r="N16" s="205">
        <v>1500</v>
      </c>
      <c r="O16" s="194">
        <v>1100</v>
      </c>
      <c r="P16" s="194">
        <v>750</v>
      </c>
      <c r="Q16" s="194">
        <v>500</v>
      </c>
      <c r="R16" s="194">
        <v>250</v>
      </c>
      <c r="S16" s="194">
        <v>200</v>
      </c>
      <c r="T16" s="232">
        <f t="shared" si="1"/>
        <v>-52.142857142857146</v>
      </c>
      <c r="U16" s="233">
        <f t="shared" si="2"/>
        <v>106953.57142857143</v>
      </c>
      <c r="V16" s="234">
        <f t="shared" si="3"/>
        <v>-43.571428571434808</v>
      </c>
      <c r="W16" s="224">
        <f t="shared" si="4"/>
        <v>9.0895428571428205</v>
      </c>
      <c r="X16" s="225">
        <f t="shared" si="5"/>
        <v>9.2355428571459655</v>
      </c>
      <c r="Y16" s="186">
        <f t="shared" si="6"/>
        <v>4.3564164649261675E-2</v>
      </c>
    </row>
    <row r="17" spans="3:25" x14ac:dyDescent="0.25">
      <c r="C17" t="s">
        <v>61</v>
      </c>
      <c r="E17" s="194">
        <v>146.25</v>
      </c>
      <c r="F17" s="194">
        <v>0</v>
      </c>
      <c r="G17">
        <v>146.25</v>
      </c>
      <c r="H17">
        <f t="shared" si="0"/>
        <v>0</v>
      </c>
      <c r="I17" s="186">
        <f t="shared" si="7"/>
        <v>1</v>
      </c>
      <c r="J17" s="186">
        <f t="shared" si="8"/>
        <v>0</v>
      </c>
      <c r="K17" s="228">
        <v>0.58260000000000001</v>
      </c>
      <c r="L17" s="194">
        <v>2039</v>
      </c>
      <c r="M17" s="205">
        <v>50000</v>
      </c>
      <c r="N17" s="205">
        <v>35000</v>
      </c>
      <c r="O17" s="194">
        <v>20000</v>
      </c>
      <c r="P17" s="194">
        <v>12500</v>
      </c>
      <c r="T17" s="232">
        <f t="shared" si="1"/>
        <v>-2550</v>
      </c>
      <c r="U17" s="233">
        <f t="shared" si="2"/>
        <v>5199500</v>
      </c>
      <c r="V17" s="234">
        <f t="shared" si="3"/>
        <v>50</v>
      </c>
      <c r="W17" s="224">
        <f t="shared" si="4"/>
        <v>173.54837499999999</v>
      </c>
      <c r="X17" s="225">
        <f t="shared" si="5"/>
        <v>168.34712500000001</v>
      </c>
      <c r="Y17" s="186">
        <f t="shared" si="6"/>
        <v>0.15109145299145302</v>
      </c>
    </row>
    <row r="18" spans="3:25" x14ac:dyDescent="0.25">
      <c r="C18" t="s">
        <v>496</v>
      </c>
      <c r="E18" s="194">
        <v>89.99</v>
      </c>
      <c r="F18" s="194">
        <v>0</v>
      </c>
      <c r="G18">
        <f>+E18</f>
        <v>89.99</v>
      </c>
      <c r="H18">
        <f t="shared" si="0"/>
        <v>0</v>
      </c>
      <c r="I18" s="186">
        <f t="shared" si="7"/>
        <v>1</v>
      </c>
      <c r="J18" s="186">
        <f t="shared" si="8"/>
        <v>0</v>
      </c>
      <c r="K18" s="228">
        <v>0.42830000000000001</v>
      </c>
      <c r="L18" s="194">
        <v>2044</v>
      </c>
      <c r="M18" s="205">
        <v>20000</v>
      </c>
      <c r="N18" s="205">
        <v>17500</v>
      </c>
      <c r="O18" s="194">
        <v>12500</v>
      </c>
      <c r="P18" s="194">
        <v>7600</v>
      </c>
      <c r="Q18" s="194">
        <v>6000</v>
      </c>
      <c r="T18" s="232">
        <f t="shared" si="1"/>
        <v>-758</v>
      </c>
      <c r="U18" s="233">
        <f t="shared" si="2"/>
        <v>1551460</v>
      </c>
      <c r="V18" s="234">
        <f t="shared" si="3"/>
        <v>2108</v>
      </c>
      <c r="W18" s="224">
        <f t="shared" si="4"/>
        <v>96.833039999999997</v>
      </c>
      <c r="X18" s="225">
        <f t="shared" si="5"/>
        <v>98.147040000000004</v>
      </c>
      <c r="Y18" s="186">
        <f t="shared" si="6"/>
        <v>9.0643849316590835E-2</v>
      </c>
    </row>
    <row r="19" spans="3:25" x14ac:dyDescent="0.25">
      <c r="C19" t="s">
        <v>497</v>
      </c>
      <c r="E19" s="194">
        <v>86.96</v>
      </c>
      <c r="F19" s="194">
        <v>357.74</v>
      </c>
      <c r="G19">
        <f>+E19*68.57%</f>
        <v>59.628471999999995</v>
      </c>
      <c r="H19">
        <f t="shared" si="0"/>
        <v>27.331527999999999</v>
      </c>
      <c r="I19" s="186">
        <f t="shared" si="7"/>
        <v>0.68569999999999998</v>
      </c>
      <c r="J19" s="186">
        <f t="shared" si="8"/>
        <v>0.31430000000000002</v>
      </c>
      <c r="K19" s="228">
        <v>0.87790000000000001</v>
      </c>
      <c r="L19" s="194">
        <v>2035</v>
      </c>
      <c r="M19" s="205">
        <v>42000</v>
      </c>
      <c r="N19" s="205">
        <v>22000</v>
      </c>
      <c r="O19" s="194">
        <v>16000</v>
      </c>
      <c r="P19" s="194">
        <v>8000</v>
      </c>
      <c r="T19" s="232">
        <f t="shared" si="1"/>
        <v>-2160</v>
      </c>
      <c r="U19" s="233">
        <f t="shared" si="2"/>
        <v>4401400</v>
      </c>
      <c r="V19" s="234">
        <f t="shared" si="3"/>
        <v>5800</v>
      </c>
      <c r="W19" s="224">
        <f t="shared" si="4"/>
        <v>130.85249999999999</v>
      </c>
      <c r="X19" s="225">
        <f t="shared" si="5"/>
        <v>120.45</v>
      </c>
      <c r="Y19" s="186">
        <f t="shared" si="6"/>
        <v>0.38511959521619149</v>
      </c>
    </row>
    <row r="20" spans="3:25" x14ac:dyDescent="0.25">
      <c r="C20" t="s">
        <v>498</v>
      </c>
      <c r="E20" s="194">
        <v>5.73</v>
      </c>
      <c r="F20" s="194">
        <v>0</v>
      </c>
      <c r="G20">
        <f>+E20</f>
        <v>5.73</v>
      </c>
      <c r="H20">
        <f t="shared" si="0"/>
        <v>0</v>
      </c>
      <c r="I20" s="186">
        <f t="shared" si="7"/>
        <v>1</v>
      </c>
      <c r="J20" s="186">
        <f t="shared" si="8"/>
        <v>0</v>
      </c>
      <c r="K20" s="228">
        <v>0.61819999999999997</v>
      </c>
      <c r="L20" s="194">
        <v>2050</v>
      </c>
      <c r="M20" s="205">
        <v>2250</v>
      </c>
      <c r="N20" s="205">
        <v>1250</v>
      </c>
      <c r="O20" s="194">
        <v>600</v>
      </c>
      <c r="P20" s="194">
        <v>400</v>
      </c>
      <c r="Q20" s="194">
        <v>200</v>
      </c>
      <c r="R20" s="194">
        <v>150</v>
      </c>
      <c r="S20" s="194">
        <v>100</v>
      </c>
      <c r="T20" s="232">
        <f t="shared" si="1"/>
        <v>-64.642857142857139</v>
      </c>
      <c r="U20" s="233">
        <f t="shared" si="2"/>
        <v>132255.35714285716</v>
      </c>
      <c r="V20" s="234">
        <f t="shared" si="3"/>
        <v>-262.4999999999709</v>
      </c>
      <c r="W20" s="224">
        <f t="shared" si="4"/>
        <v>10.881562500000161</v>
      </c>
      <c r="X20" s="225">
        <f t="shared" si="5"/>
        <v>7.7432142857189472</v>
      </c>
      <c r="Y20" s="186">
        <f t="shared" si="6"/>
        <v>0.35134629768218961</v>
      </c>
    </row>
    <row r="21" spans="3:25" x14ac:dyDescent="0.25">
      <c r="C21" t="s">
        <v>499</v>
      </c>
      <c r="E21" s="194">
        <v>89.27</v>
      </c>
      <c r="F21" s="194">
        <v>504.38</v>
      </c>
      <c r="G21">
        <f>+E21*5.84%</f>
        <v>5.213368</v>
      </c>
      <c r="H21">
        <f t="shared" si="0"/>
        <v>84.056631999999993</v>
      </c>
      <c r="I21" s="186">
        <f t="shared" si="7"/>
        <v>5.8400000000000001E-2</v>
      </c>
      <c r="J21" s="186">
        <f t="shared" si="8"/>
        <v>0.94159999999999999</v>
      </c>
      <c r="K21" s="228">
        <v>0.24510000000000001</v>
      </c>
      <c r="L21" s="194">
        <v>2059</v>
      </c>
      <c r="M21" s="205">
        <v>10000</v>
      </c>
      <c r="N21" s="205">
        <v>18500</v>
      </c>
      <c r="O21" s="194">
        <v>10000</v>
      </c>
      <c r="P21" s="194">
        <v>7000</v>
      </c>
      <c r="Q21" s="194">
        <v>5000</v>
      </c>
      <c r="R21" s="194">
        <v>3500</v>
      </c>
      <c r="S21" s="194">
        <v>2100</v>
      </c>
      <c r="T21" s="232">
        <f t="shared" ref="T21:T24" si="9">+SLOPE(M21:S21,$M$4:$S$4)</f>
        <v>-419.28571428571439</v>
      </c>
      <c r="U21" s="233">
        <f t="shared" ref="U21:U24" si="10">+INTERCEPT(M21:S21,$M$4:$S$4)</f>
        <v>861260.71428571444</v>
      </c>
      <c r="V21" s="234">
        <f t="shared" ref="V21:V24" si="11">+T21*L21+U21</f>
        <v>-2048.5714285714785</v>
      </c>
      <c r="W21" s="224">
        <f t="shared" ref="W21:W24" si="12">+((L21-$M$4)*V21+((L21-$M$4)*(M21-V21))/2)*365/1000000</f>
        <v>56.594292857142499</v>
      </c>
      <c r="X21" s="225">
        <f t="shared" ref="X21:X24" si="13">+((T21*L21*L21/2)+(U21*L21)-(T21*$M$4*$M$4/2)-(U21*$M$4))*365/1000000</f>
        <v>87.224962500087017</v>
      </c>
      <c r="Y21" s="186">
        <f t="shared" si="6"/>
        <v>-2.2908451886557404E-2</v>
      </c>
    </row>
    <row r="22" spans="3:25" x14ac:dyDescent="0.25">
      <c r="C22" t="s">
        <v>500</v>
      </c>
      <c r="E22" s="194">
        <v>10.25</v>
      </c>
      <c r="F22" s="194">
        <v>60.26</v>
      </c>
      <c r="G22">
        <f>+E22*2%</f>
        <v>0.20500000000000002</v>
      </c>
      <c r="H22">
        <f t="shared" si="0"/>
        <v>10.045</v>
      </c>
      <c r="I22" s="186">
        <f t="shared" si="7"/>
        <v>0.02</v>
      </c>
      <c r="J22" s="186">
        <f t="shared" si="8"/>
        <v>0.98</v>
      </c>
      <c r="K22" s="228">
        <v>0.98270000000000002</v>
      </c>
      <c r="L22" s="194">
        <v>2025</v>
      </c>
      <c r="M22" s="205">
        <v>8000</v>
      </c>
      <c r="N22" s="205">
        <v>5000</v>
      </c>
      <c r="T22" s="232">
        <f t="shared" si="9"/>
        <v>-600</v>
      </c>
      <c r="U22" s="233">
        <f t="shared" si="10"/>
        <v>1220000</v>
      </c>
      <c r="V22" s="234">
        <f t="shared" si="11"/>
        <v>5000</v>
      </c>
      <c r="W22" s="224">
        <f t="shared" si="12"/>
        <v>11.862500000000001</v>
      </c>
      <c r="X22" s="225">
        <f t="shared" si="13"/>
        <v>11.862500000000001</v>
      </c>
      <c r="Y22" s="186">
        <f t="shared" si="6"/>
        <v>0.15731707317073176</v>
      </c>
    </row>
    <row r="23" spans="3:25" x14ac:dyDescent="0.25">
      <c r="C23" t="s">
        <v>501</v>
      </c>
      <c r="E23" s="194">
        <v>17.7</v>
      </c>
      <c r="F23" s="194">
        <v>97.48</v>
      </c>
      <c r="G23">
        <f>+E23*8.23%</f>
        <v>1.4567099999999999</v>
      </c>
      <c r="H23">
        <f t="shared" si="0"/>
        <v>16.243289999999998</v>
      </c>
      <c r="I23" s="186">
        <f t="shared" si="7"/>
        <v>8.2299999999999998E-2</v>
      </c>
      <c r="J23" s="186">
        <f t="shared" si="8"/>
        <v>0.91769999999999996</v>
      </c>
      <c r="K23" s="228">
        <v>0.97750000000000004</v>
      </c>
      <c r="L23" s="194">
        <v>2025</v>
      </c>
      <c r="M23" s="194">
        <v>8000</v>
      </c>
      <c r="N23" s="213">
        <v>5000</v>
      </c>
      <c r="T23" s="232">
        <f t="shared" si="9"/>
        <v>-600</v>
      </c>
      <c r="U23" s="233">
        <f t="shared" si="10"/>
        <v>1220000</v>
      </c>
      <c r="V23" s="234">
        <f t="shared" si="11"/>
        <v>5000</v>
      </c>
      <c r="W23" s="224">
        <f t="shared" si="12"/>
        <v>11.862500000000001</v>
      </c>
      <c r="X23" s="225">
        <f t="shared" si="13"/>
        <v>11.862500000000001</v>
      </c>
      <c r="Y23" s="186">
        <f t="shared" si="6"/>
        <v>-0.32980225988700557</v>
      </c>
    </row>
    <row r="24" spans="3:25" x14ac:dyDescent="0.25">
      <c r="C24" t="s">
        <v>502</v>
      </c>
      <c r="E24" s="194">
        <v>8.8000000000000007</v>
      </c>
      <c r="F24" s="194">
        <v>2.82</v>
      </c>
      <c r="G24">
        <f>+E24*94.66%</f>
        <v>8.3300800000000006</v>
      </c>
      <c r="H24">
        <f t="shared" si="0"/>
        <v>0.46992000000000012</v>
      </c>
      <c r="I24" s="186">
        <f t="shared" si="7"/>
        <v>0.9466</v>
      </c>
      <c r="J24" s="186">
        <f t="shared" si="8"/>
        <v>5.340000000000001E-2</v>
      </c>
      <c r="K24" s="228">
        <v>0.7712</v>
      </c>
      <c r="L24" s="194">
        <v>2039</v>
      </c>
      <c r="M24" s="194">
        <v>3000</v>
      </c>
      <c r="N24" s="213">
        <v>2000</v>
      </c>
      <c r="O24" s="194">
        <v>1100</v>
      </c>
      <c r="P24" s="194">
        <v>800</v>
      </c>
      <c r="T24" s="232">
        <f t="shared" si="9"/>
        <v>-150</v>
      </c>
      <c r="U24" s="233">
        <f t="shared" si="10"/>
        <v>305850</v>
      </c>
      <c r="V24" s="234">
        <f t="shared" si="11"/>
        <v>0</v>
      </c>
      <c r="W24" s="224">
        <f t="shared" si="12"/>
        <v>10.4025</v>
      </c>
      <c r="X24" s="225">
        <f t="shared" si="13"/>
        <v>9.8823749999999997</v>
      </c>
      <c r="Y24" s="186">
        <f t="shared" si="6"/>
        <v>0.12299715909090897</v>
      </c>
    </row>
    <row r="25" spans="3:25" x14ac:dyDescent="0.25">
      <c r="C25" t="s">
        <v>503</v>
      </c>
      <c r="E25" s="194">
        <v>1.1399999999999999</v>
      </c>
      <c r="F25" s="194">
        <v>0.47</v>
      </c>
      <c r="G25">
        <f>+E25*93.12%</f>
        <v>1.0615679999999998</v>
      </c>
      <c r="H25">
        <f t="shared" si="0"/>
        <v>7.8432000000000057E-2</v>
      </c>
      <c r="I25" s="186">
        <f t="shared" si="7"/>
        <v>0.93119999999999992</v>
      </c>
      <c r="J25" s="186">
        <f t="shared" si="8"/>
        <v>6.8800000000000056E-2</v>
      </c>
      <c r="K25" s="228">
        <v>0.73509999999999998</v>
      </c>
      <c r="L25" s="194">
        <v>2033</v>
      </c>
      <c r="M25" s="205">
        <v>1000</v>
      </c>
      <c r="N25" s="213">
        <v>300</v>
      </c>
      <c r="O25" s="194">
        <v>100</v>
      </c>
      <c r="T25" s="232">
        <f t="shared" ref="T25:T26" si="14">+SLOPE(M25:S25,$M$4:$S$4)</f>
        <v>-90</v>
      </c>
      <c r="U25" s="233">
        <f t="shared" ref="U25:U26" si="15">+INTERCEPT(M25:S25,$M$4:$S$4)</f>
        <v>182716.66666666666</v>
      </c>
      <c r="V25" s="234">
        <f t="shared" ref="V25:V26" si="16">+T25*L25+U25</f>
        <v>-253.33333333334303</v>
      </c>
      <c r="W25" s="224">
        <f t="shared" ref="W25:W26" si="17">+((L25-$M$4)*V25+((L25-$M$4)*(M25-V25))/2)*365/1000000</f>
        <v>1.7714666666666437</v>
      </c>
      <c r="X25" s="225">
        <f t="shared" ref="X25:X26" si="18">+((T25*L25*L25/2)+(U25*L25)-(T25*$M$4*$M$4/2)-(U25*$M$4))*365/1000000</f>
        <v>1.5737583333405851</v>
      </c>
      <c r="Y25" s="186">
        <f t="shared" si="6"/>
        <v>0.38048976608823271</v>
      </c>
    </row>
    <row r="26" spans="3:25" x14ac:dyDescent="0.25">
      <c r="C26" t="s">
        <v>504</v>
      </c>
      <c r="E26" s="194">
        <v>1.31</v>
      </c>
      <c r="F26" s="194">
        <v>0.37</v>
      </c>
      <c r="G26">
        <f>+E26*95.34%</f>
        <v>1.2489540000000001</v>
      </c>
      <c r="H26">
        <f t="shared" si="0"/>
        <v>6.1045999999999934E-2</v>
      </c>
      <c r="I26" s="186">
        <f t="shared" si="7"/>
        <v>0.95340000000000003</v>
      </c>
      <c r="J26" s="186">
        <f t="shared" si="8"/>
        <v>4.6599999999999947E-2</v>
      </c>
      <c r="K26" s="228">
        <v>0.34710000000000002</v>
      </c>
      <c r="L26" s="194">
        <v>2053</v>
      </c>
      <c r="M26" s="205">
        <v>480</v>
      </c>
      <c r="N26" s="205">
        <v>280</v>
      </c>
      <c r="O26" s="194">
        <v>125</v>
      </c>
      <c r="P26">
        <v>90</v>
      </c>
      <c r="Q26">
        <v>50</v>
      </c>
      <c r="R26">
        <v>30</v>
      </c>
      <c r="S26">
        <v>25</v>
      </c>
      <c r="T26" s="232">
        <f t="shared" si="14"/>
        <v>-13.857142857142858</v>
      </c>
      <c r="U26" s="233">
        <f t="shared" si="15"/>
        <v>28353.571428571428</v>
      </c>
      <c r="V26" s="234">
        <f t="shared" si="16"/>
        <v>-95.142857142858702</v>
      </c>
      <c r="W26" s="224">
        <f t="shared" si="17"/>
        <v>2.3178021428571336</v>
      </c>
      <c r="X26" s="225">
        <f t="shared" si="18"/>
        <v>1.6080075</v>
      </c>
      <c r="Y26" s="186">
        <f t="shared" si="6"/>
        <v>0.22748664122137402</v>
      </c>
    </row>
    <row r="27" spans="3:25" x14ac:dyDescent="0.25">
      <c r="C27" t="s">
        <v>505</v>
      </c>
      <c r="E27" s="194">
        <v>4.72</v>
      </c>
      <c r="F27" s="194">
        <v>7.45</v>
      </c>
      <c r="G27">
        <f>+E27*73.7%</f>
        <v>3.47864</v>
      </c>
      <c r="H27">
        <f t="shared" si="0"/>
        <v>1.2413599999999998</v>
      </c>
      <c r="I27" s="186">
        <f t="shared" si="7"/>
        <v>0.73699999999999999</v>
      </c>
      <c r="J27" s="186">
        <f t="shared" si="8"/>
        <v>0.26299999999999996</v>
      </c>
      <c r="K27" s="228">
        <v>0.91449999999999998</v>
      </c>
      <c r="L27" s="194">
        <v>2030</v>
      </c>
      <c r="M27" s="205">
        <v>3750</v>
      </c>
      <c r="N27" s="205">
        <v>1750</v>
      </c>
      <c r="O27" s="194">
        <v>750</v>
      </c>
      <c r="T27" s="232">
        <f t="shared" ref="T27:T28" si="19">+SLOPE(M27:S27,$M$4:$S$4)</f>
        <v>-300</v>
      </c>
      <c r="U27" s="233">
        <f t="shared" ref="U27:U28" si="20">+INTERCEPT(M27:S27,$M$4:$S$4)</f>
        <v>609583.33333333337</v>
      </c>
      <c r="V27" s="234">
        <f t="shared" ref="V27:V28" si="21">+T27*L27+U27</f>
        <v>583.33333333337214</v>
      </c>
      <c r="W27" s="224">
        <f t="shared" ref="W27:W28" si="22">+((L27-$M$4)*V27+((L27-$M$4)*(M27-V27))/2)*365/1000000</f>
        <v>7.9083333333334034</v>
      </c>
      <c r="X27" s="225">
        <f t="shared" ref="X27:X28" si="23">+((T27*L27*L27/2)+(U27*L27)-(T27*$M$4*$M$4/2)-(U27*$M$4))*365/1000000</f>
        <v>7.6041666666376591</v>
      </c>
      <c r="Y27" s="186">
        <f t="shared" si="6"/>
        <v>0.61105225988086009</v>
      </c>
    </row>
    <row r="28" spans="3:25" x14ac:dyDescent="0.25">
      <c r="C28" t="s">
        <v>506</v>
      </c>
      <c r="E28" s="194">
        <v>11.27</v>
      </c>
      <c r="F28" s="194">
        <v>0</v>
      </c>
      <c r="G28">
        <v>11.27</v>
      </c>
      <c r="H28">
        <f t="shared" si="0"/>
        <v>0</v>
      </c>
      <c r="I28" s="186">
        <f t="shared" si="7"/>
        <v>1</v>
      </c>
      <c r="J28" s="186">
        <f t="shared" si="8"/>
        <v>0</v>
      </c>
      <c r="K28" s="228">
        <v>0.4148</v>
      </c>
      <c r="L28" s="194">
        <v>2067</v>
      </c>
      <c r="M28" s="205">
        <v>2500</v>
      </c>
      <c r="N28" s="214">
        <v>1750</v>
      </c>
      <c r="O28" s="194">
        <v>1250</v>
      </c>
      <c r="P28">
        <v>800</v>
      </c>
      <c r="Q28">
        <v>600</v>
      </c>
      <c r="R28">
        <v>400</v>
      </c>
      <c r="S28">
        <v>300</v>
      </c>
      <c r="T28" s="232">
        <f t="shared" si="19"/>
        <v>-71.071428571428569</v>
      </c>
      <c r="U28" s="233">
        <f t="shared" si="20"/>
        <v>145716.07142857142</v>
      </c>
      <c r="V28" s="234">
        <f t="shared" si="21"/>
        <v>-1188.5714285714203</v>
      </c>
      <c r="W28" s="224">
        <f t="shared" si="22"/>
        <v>11.248778571428643</v>
      </c>
      <c r="X28" s="225">
        <f t="shared" si="23"/>
        <v>8.2619705357080697</v>
      </c>
      <c r="Y28" s="186">
        <f t="shared" si="6"/>
        <v>-0.2669058974527001</v>
      </c>
    </row>
    <row r="29" spans="3:25" x14ac:dyDescent="0.25">
      <c r="C29" t="s">
        <v>318</v>
      </c>
      <c r="E29" s="194">
        <v>3.84</v>
      </c>
      <c r="F29" s="194">
        <v>23.03</v>
      </c>
      <c r="H29">
        <f t="shared" si="0"/>
        <v>3.84</v>
      </c>
      <c r="I29" s="186">
        <f t="shared" si="7"/>
        <v>0</v>
      </c>
      <c r="J29" s="186">
        <f t="shared" si="8"/>
        <v>1</v>
      </c>
      <c r="K29" s="228">
        <v>0.84079999999999999</v>
      </c>
      <c r="L29" s="194">
        <v>2028</v>
      </c>
      <c r="M29" s="205">
        <v>5300</v>
      </c>
      <c r="N29" s="205">
        <v>1250</v>
      </c>
      <c r="T29" s="232">
        <f t="shared" ref="T29:T32" si="24">+SLOPE(M29:S29,$M$4:$S$4)</f>
        <v>-810</v>
      </c>
      <c r="U29" s="233">
        <f t="shared" ref="U29:U32" si="25">+INTERCEPT(M29:S29,$M$4:$S$4)</f>
        <v>1641500</v>
      </c>
      <c r="V29" s="234">
        <f t="shared" ref="V29:V32" si="26">+T29*L29+U29</f>
        <v>-1180</v>
      </c>
      <c r="W29" s="224">
        <f t="shared" ref="W29:W32" si="27">+((L29-$M$4)*V29+((L29-$M$4)*(M29-V29))/2)*365/1000000</f>
        <v>6.0152000000000001</v>
      </c>
      <c r="X29" s="225">
        <f t="shared" ref="X29:X32" si="28">+((T29*L29*L29/2)+(U29*L29)-(T29*$M$4*$M$4/2)-(U29*$M$4))*365/1000000</f>
        <v>6.0152000000000001</v>
      </c>
      <c r="Y29" s="186">
        <f t="shared" si="6"/>
        <v>0.5664583333333334</v>
      </c>
    </row>
    <row r="30" spans="3:25" x14ac:dyDescent="0.25">
      <c r="C30" t="s">
        <v>508</v>
      </c>
      <c r="E30" s="194">
        <v>14.92</v>
      </c>
      <c r="F30">
        <v>0.24</v>
      </c>
      <c r="G30">
        <f>+E30*99.74%</f>
        <v>14.881207999999999</v>
      </c>
      <c r="H30">
        <f t="shared" si="0"/>
        <v>3.8792000000000826E-2</v>
      </c>
      <c r="I30" s="186">
        <f t="shared" si="7"/>
        <v>0.99739999999999995</v>
      </c>
      <c r="J30" s="186">
        <f t="shared" si="8"/>
        <v>2.6000000000000554E-3</v>
      </c>
      <c r="K30" s="228">
        <v>0.75690000000000002</v>
      </c>
      <c r="L30" s="194">
        <v>2043</v>
      </c>
      <c r="M30" s="205">
        <v>10000</v>
      </c>
      <c r="N30" s="205">
        <v>4000</v>
      </c>
      <c r="O30" s="194">
        <v>1000</v>
      </c>
      <c r="P30">
        <v>500</v>
      </c>
      <c r="Q30">
        <v>400</v>
      </c>
      <c r="T30" s="232">
        <f t="shared" si="24"/>
        <v>-454</v>
      </c>
      <c r="U30" s="233">
        <f t="shared" si="25"/>
        <v>924800</v>
      </c>
      <c r="V30" s="234">
        <f t="shared" si="26"/>
        <v>-2722</v>
      </c>
      <c r="W30" s="224">
        <f t="shared" si="27"/>
        <v>30.549405</v>
      </c>
      <c r="X30" s="225">
        <f t="shared" si="28"/>
        <v>20.979105000000001</v>
      </c>
      <c r="Y30" s="186">
        <f t="shared" si="6"/>
        <v>0.40610623324396788</v>
      </c>
    </row>
    <row r="31" spans="3:25" x14ac:dyDescent="0.25">
      <c r="C31" t="s">
        <v>80</v>
      </c>
      <c r="E31" s="194">
        <v>43.42</v>
      </c>
      <c r="F31" s="194">
        <v>16.96</v>
      </c>
      <c r="G31">
        <f>+E31*93.49%</f>
        <v>40.593358000000002</v>
      </c>
      <c r="H31">
        <f t="shared" si="0"/>
        <v>2.8266419999999997</v>
      </c>
      <c r="I31" s="186">
        <f t="shared" si="7"/>
        <v>0.93490000000000006</v>
      </c>
      <c r="J31" s="186">
        <f t="shared" si="8"/>
        <v>6.5099999999999991E-2</v>
      </c>
      <c r="K31" s="228">
        <v>0.76190000000000002</v>
      </c>
      <c r="L31" s="194">
        <v>2042</v>
      </c>
      <c r="M31" s="205">
        <v>25000</v>
      </c>
      <c r="N31" s="205">
        <v>12500</v>
      </c>
      <c r="O31" s="194">
        <v>4500</v>
      </c>
      <c r="P31">
        <v>2500</v>
      </c>
      <c r="Q31">
        <v>1000</v>
      </c>
      <c r="T31" s="232">
        <f t="shared" si="24"/>
        <v>-1160</v>
      </c>
      <c r="U31" s="233">
        <f t="shared" si="25"/>
        <v>2363900</v>
      </c>
      <c r="V31" s="234">
        <f t="shared" si="26"/>
        <v>-4820</v>
      </c>
      <c r="W31" s="224">
        <f t="shared" si="27"/>
        <v>81.0227</v>
      </c>
      <c r="X31" s="225">
        <f t="shared" si="28"/>
        <v>63.758200000000002</v>
      </c>
      <c r="Y31" s="186">
        <f t="shared" si="6"/>
        <v>0.46840626439428834</v>
      </c>
    </row>
    <row r="32" spans="3:25" x14ac:dyDescent="0.25">
      <c r="C32" t="s">
        <v>449</v>
      </c>
      <c r="E32" s="194">
        <v>7.3</v>
      </c>
      <c r="F32" s="194">
        <v>4.54</v>
      </c>
      <c r="G32">
        <f>+E32*89.64%</f>
        <v>6.5437199999999995</v>
      </c>
      <c r="H32">
        <f t="shared" si="0"/>
        <v>0.75628000000000029</v>
      </c>
      <c r="I32" s="186">
        <f t="shared" si="7"/>
        <v>0.89639999999999997</v>
      </c>
      <c r="J32" s="186">
        <f t="shared" si="8"/>
        <v>0.10360000000000004</v>
      </c>
      <c r="K32" s="228">
        <v>0.77580000000000005</v>
      </c>
      <c r="L32" s="194">
        <v>2044</v>
      </c>
      <c r="M32" s="205">
        <v>2000</v>
      </c>
      <c r="N32" s="205">
        <v>1250</v>
      </c>
      <c r="O32" s="194">
        <v>900</v>
      </c>
      <c r="P32">
        <v>600</v>
      </c>
      <c r="Q32">
        <v>400</v>
      </c>
      <c r="T32" s="232">
        <f t="shared" si="24"/>
        <v>-77</v>
      </c>
      <c r="U32" s="233">
        <f t="shared" si="25"/>
        <v>157340</v>
      </c>
      <c r="V32" s="234">
        <f t="shared" si="26"/>
        <v>-48</v>
      </c>
      <c r="W32" s="224">
        <f t="shared" si="27"/>
        <v>8.5497599999999991</v>
      </c>
      <c r="X32" s="225">
        <f t="shared" si="28"/>
        <v>7.6737599999999997</v>
      </c>
      <c r="Y32" s="186">
        <f t="shared" si="6"/>
        <v>5.1199999999999982E-2</v>
      </c>
    </row>
    <row r="33" spans="3:25" x14ac:dyDescent="0.25">
      <c r="C33" t="s">
        <v>509</v>
      </c>
      <c r="E33" s="194">
        <v>0.57999999999999996</v>
      </c>
      <c r="F33" s="194">
        <v>0</v>
      </c>
      <c r="G33">
        <f>+E33</f>
        <v>0.57999999999999996</v>
      </c>
      <c r="H33">
        <f t="shared" si="0"/>
        <v>0</v>
      </c>
      <c r="I33" s="186">
        <f t="shared" si="7"/>
        <v>1</v>
      </c>
      <c r="J33" s="186">
        <f t="shared" si="8"/>
        <v>0</v>
      </c>
      <c r="K33" s="228">
        <v>0.91830000000000001</v>
      </c>
      <c r="L33" s="194">
        <v>2031</v>
      </c>
      <c r="M33" s="205">
        <v>500</v>
      </c>
      <c r="N33" s="205">
        <v>200</v>
      </c>
      <c r="O33" s="194">
        <v>80</v>
      </c>
      <c r="T33" s="232">
        <f t="shared" ref="T33:T37" si="29">+SLOPE(M33:S33,$M$4:$S$4)</f>
        <v>-42</v>
      </c>
      <c r="U33" s="233">
        <f t="shared" ref="U33:U37" si="30">+INTERCEPT(M33:S33,$M$4:$S$4)</f>
        <v>85310</v>
      </c>
      <c r="V33" s="234">
        <f t="shared" ref="V33:V37" si="31">+T33*L33+U33</f>
        <v>8</v>
      </c>
      <c r="W33" s="224">
        <f t="shared" ref="W33:W37" si="32">+((L33-$M$4)*V33+((L33-$M$4)*(M33-V33))/2)*365/1000000</f>
        <v>1.0198100000000001</v>
      </c>
      <c r="X33" s="225">
        <f t="shared" ref="X33:X37" si="33">+((T33*L33*L33/2)+(U33*L33)-(T33*$M$4*$M$4/2)-(U33*$M$4))*365/1000000</f>
        <v>0.95958500000000002</v>
      </c>
      <c r="Y33" s="186">
        <f t="shared" si="6"/>
        <v>0.65445689655172434</v>
      </c>
    </row>
    <row r="34" spans="3:25" x14ac:dyDescent="0.25">
      <c r="C34" t="s">
        <v>510</v>
      </c>
      <c r="E34" s="194">
        <v>130.22</v>
      </c>
      <c r="F34" s="194">
        <v>284</v>
      </c>
      <c r="G34">
        <f>+E34*63.65%</f>
        <v>82.88503</v>
      </c>
      <c r="H34">
        <f t="shared" si="0"/>
        <v>47.334969999999998</v>
      </c>
      <c r="I34" s="186">
        <f t="shared" si="7"/>
        <v>0.63649999999999995</v>
      </c>
      <c r="J34" s="186">
        <f t="shared" si="8"/>
        <v>0.36349999999999999</v>
      </c>
      <c r="K34" s="228">
        <v>0.63759999999999994</v>
      </c>
      <c r="L34" s="194">
        <v>2018</v>
      </c>
      <c r="M34" s="205">
        <v>55000</v>
      </c>
      <c r="N34" s="205">
        <v>31000</v>
      </c>
      <c r="O34" s="194">
        <v>15000</v>
      </c>
      <c r="P34">
        <v>8000</v>
      </c>
      <c r="T34" s="232">
        <f t="shared" si="29"/>
        <v>-3140</v>
      </c>
      <c r="U34" s="233">
        <f t="shared" si="30"/>
        <v>6393600</v>
      </c>
      <c r="V34" s="234">
        <f t="shared" si="31"/>
        <v>57080</v>
      </c>
      <c r="W34" s="224">
        <f t="shared" si="32"/>
        <v>-40.909199999999998</v>
      </c>
      <c r="X34" s="225">
        <f t="shared" si="33"/>
        <v>-39.376199999999997</v>
      </c>
      <c r="Y34" s="186">
        <f t="shared" si="6"/>
        <v>-1.3023821225618186</v>
      </c>
    </row>
    <row r="35" spans="3:25" x14ac:dyDescent="0.25">
      <c r="C35" t="s">
        <v>344</v>
      </c>
      <c r="E35" s="194">
        <v>24.09</v>
      </c>
      <c r="F35" s="194">
        <v>0</v>
      </c>
      <c r="G35">
        <f>+E35</f>
        <v>24.09</v>
      </c>
      <c r="H35">
        <f t="shared" si="0"/>
        <v>0</v>
      </c>
      <c r="I35" s="186">
        <f t="shared" si="7"/>
        <v>1</v>
      </c>
      <c r="J35" s="186">
        <f t="shared" si="8"/>
        <v>0</v>
      </c>
      <c r="K35" s="228">
        <v>0.73740000000000006</v>
      </c>
      <c r="L35" s="194">
        <v>2064</v>
      </c>
      <c r="M35" s="205">
        <v>4000</v>
      </c>
      <c r="N35" s="205">
        <v>3500</v>
      </c>
      <c r="O35" s="194">
        <v>2500</v>
      </c>
      <c r="P35">
        <v>2000</v>
      </c>
      <c r="Q35">
        <v>1500</v>
      </c>
      <c r="R35">
        <v>1250</v>
      </c>
      <c r="S35">
        <v>1000</v>
      </c>
      <c r="T35" s="232">
        <f t="shared" si="29"/>
        <v>-103.57142857142857</v>
      </c>
      <c r="U35" s="233">
        <f t="shared" si="30"/>
        <v>213017.85714285713</v>
      </c>
      <c r="V35" s="234">
        <f t="shared" si="31"/>
        <v>-753.57142857144936</v>
      </c>
      <c r="W35" s="224">
        <f t="shared" si="32"/>
        <v>26.068821428571262</v>
      </c>
      <c r="X35" s="225">
        <f t="shared" si="33"/>
        <v>24.491499999999998</v>
      </c>
      <c r="Y35" s="186">
        <f t="shared" si="6"/>
        <v>1.6666666666666611E-2</v>
      </c>
    </row>
    <row r="36" spans="3:25" x14ac:dyDescent="0.25">
      <c r="C36" t="s">
        <v>511</v>
      </c>
      <c r="E36" s="194">
        <v>5.59</v>
      </c>
      <c r="F36" s="194">
        <v>0</v>
      </c>
      <c r="G36">
        <f>+E36</f>
        <v>5.59</v>
      </c>
      <c r="H36">
        <f t="shared" si="0"/>
        <v>0</v>
      </c>
      <c r="I36" s="186">
        <f t="shared" si="7"/>
        <v>1</v>
      </c>
      <c r="J36" s="186">
        <f t="shared" si="8"/>
        <v>0</v>
      </c>
      <c r="K36" s="228">
        <v>0.69210000000000005</v>
      </c>
      <c r="L36" s="194">
        <v>2047</v>
      </c>
      <c r="M36" s="205">
        <v>1400</v>
      </c>
      <c r="N36" s="205">
        <v>1250</v>
      </c>
      <c r="O36" s="194">
        <v>750</v>
      </c>
      <c r="P36">
        <v>450</v>
      </c>
      <c r="Q36">
        <v>250</v>
      </c>
      <c r="T36" s="232">
        <f t="shared" si="29"/>
        <v>-62</v>
      </c>
      <c r="U36" s="233">
        <f t="shared" si="30"/>
        <v>126680</v>
      </c>
      <c r="V36" s="234">
        <f t="shared" si="31"/>
        <v>-234</v>
      </c>
      <c r="W36" s="224">
        <f t="shared" si="32"/>
        <v>5.7454650000000003</v>
      </c>
      <c r="X36" s="225">
        <f t="shared" si="33"/>
        <v>5.9425650000000001</v>
      </c>
      <c r="Y36" s="186">
        <f t="shared" si="6"/>
        <v>6.307066189624333E-2</v>
      </c>
    </row>
    <row r="37" spans="3:25" x14ac:dyDescent="0.25">
      <c r="C37" t="s">
        <v>345</v>
      </c>
      <c r="E37" s="194">
        <v>16.52</v>
      </c>
      <c r="F37" s="194">
        <v>1.91</v>
      </c>
      <c r="G37">
        <f>+E37*98.07%</f>
        <v>16.201163999999999</v>
      </c>
      <c r="H37">
        <f t="shared" si="0"/>
        <v>0.31883600000000101</v>
      </c>
      <c r="I37" s="186">
        <f t="shared" si="7"/>
        <v>0.98069999999999991</v>
      </c>
      <c r="J37" s="186">
        <f t="shared" si="8"/>
        <v>1.930000000000006E-2</v>
      </c>
      <c r="K37" s="228">
        <v>0.73629999999999995</v>
      </c>
      <c r="L37" s="194">
        <v>2060</v>
      </c>
      <c r="M37" s="205">
        <v>4000</v>
      </c>
      <c r="N37" s="205">
        <v>3000</v>
      </c>
      <c r="O37" s="194">
        <v>1800</v>
      </c>
      <c r="P37">
        <v>1250</v>
      </c>
      <c r="Q37">
        <v>1000</v>
      </c>
      <c r="R37">
        <v>750</v>
      </c>
      <c r="T37" s="232">
        <f t="shared" si="29"/>
        <v>-130.28571428571428</v>
      </c>
      <c r="U37" s="233">
        <f t="shared" si="30"/>
        <v>266772.38095238095</v>
      </c>
      <c r="V37" s="234">
        <f t="shared" si="31"/>
        <v>-1616.1904761904734</v>
      </c>
      <c r="W37" s="224">
        <f t="shared" si="32"/>
        <v>17.401809523809543</v>
      </c>
      <c r="X37" s="225">
        <f t="shared" si="33"/>
        <v>14.447047619026899</v>
      </c>
      <c r="Y37" s="186">
        <f t="shared" si="6"/>
        <v>-0.12548137899352912</v>
      </c>
    </row>
    <row r="38" spans="3:25" x14ac:dyDescent="0.25">
      <c r="C38" t="s">
        <v>512</v>
      </c>
      <c r="E38" s="194">
        <v>90.73</v>
      </c>
      <c r="F38" s="194">
        <v>10.09</v>
      </c>
      <c r="G38">
        <f>+E38*98.15%</f>
        <v>89.051495000000003</v>
      </c>
      <c r="H38">
        <f t="shared" si="0"/>
        <v>1.6785050000000012</v>
      </c>
      <c r="I38" s="186">
        <f t="shared" si="7"/>
        <v>0.98150000000000004</v>
      </c>
      <c r="J38" s="186">
        <f t="shared" si="8"/>
        <v>1.8500000000000013E-2</v>
      </c>
      <c r="K38" s="228">
        <v>0.50829999999999997</v>
      </c>
      <c r="L38" s="194">
        <v>2061</v>
      </c>
      <c r="M38" s="205">
        <v>19000</v>
      </c>
      <c r="N38" s="205">
        <v>16000</v>
      </c>
      <c r="O38" s="194">
        <v>10000</v>
      </c>
      <c r="P38">
        <v>7000</v>
      </c>
      <c r="Q38">
        <v>4500</v>
      </c>
      <c r="R38">
        <v>3000</v>
      </c>
      <c r="S38">
        <v>2000</v>
      </c>
    </row>
    <row r="39" spans="3:25" x14ac:dyDescent="0.25">
      <c r="H39">
        <f t="shared" si="0"/>
        <v>0</v>
      </c>
      <c r="I39" s="186"/>
      <c r="J39" s="186"/>
    </row>
    <row r="40" spans="3:25" x14ac:dyDescent="0.25">
      <c r="C40" t="s">
        <v>519</v>
      </c>
      <c r="E40" s="194" t="s">
        <v>527</v>
      </c>
      <c r="F40" s="194">
        <v>23.75</v>
      </c>
      <c r="G40" t="e">
        <f>+E40*0.74%</f>
        <v>#VALUE!</v>
      </c>
      <c r="H40" t="e">
        <f t="shared" si="0"/>
        <v>#VALUE!</v>
      </c>
      <c r="I40" s="186" t="e">
        <f t="shared" si="7"/>
        <v>#VALUE!</v>
      </c>
      <c r="J40" s="186" t="e">
        <f t="shared" si="8"/>
        <v>#VALUE!</v>
      </c>
      <c r="K40" s="228">
        <v>0.30909999999999999</v>
      </c>
      <c r="L40" s="194">
        <v>2049</v>
      </c>
    </row>
    <row r="41" spans="3:25" x14ac:dyDescent="0.25">
      <c r="C41" t="s">
        <v>520</v>
      </c>
      <c r="E41" s="194">
        <v>6.24</v>
      </c>
      <c r="F41" s="194">
        <v>11.14</v>
      </c>
      <c r="G41">
        <f>+E41*70.26%</f>
        <v>4.3842240000000006</v>
      </c>
      <c r="H41">
        <f t="shared" si="0"/>
        <v>1.8557759999999996</v>
      </c>
      <c r="I41" s="186">
        <f t="shared" si="7"/>
        <v>0.70260000000000011</v>
      </c>
      <c r="J41" s="186">
        <f t="shared" si="8"/>
        <v>0.29739999999999994</v>
      </c>
      <c r="K41" s="228">
        <v>0.77259999999999995</v>
      </c>
      <c r="L41" s="194">
        <v>2041</v>
      </c>
      <c r="M41" s="205">
        <v>3700</v>
      </c>
    </row>
    <row r="42" spans="3:25" x14ac:dyDescent="0.25">
      <c r="C42" t="s">
        <v>521</v>
      </c>
      <c r="E42" s="194">
        <v>18.809999999999999</v>
      </c>
      <c r="F42" s="194">
        <v>112.29</v>
      </c>
      <c r="G42">
        <f>+E42*0.49%</f>
        <v>9.2168999999999987E-2</v>
      </c>
      <c r="H42">
        <f t="shared" si="0"/>
        <v>18.717831</v>
      </c>
      <c r="I42" s="186">
        <f t="shared" si="7"/>
        <v>4.8999999999999998E-3</v>
      </c>
      <c r="J42" s="186">
        <f t="shared" si="8"/>
        <v>0.9951000000000001</v>
      </c>
      <c r="K42" s="228">
        <v>0.29599999999999999</v>
      </c>
      <c r="L42" s="194">
        <v>2042</v>
      </c>
      <c r="M42" s="205">
        <v>4500</v>
      </c>
    </row>
    <row r="43" spans="3:25" x14ac:dyDescent="0.25">
      <c r="C43" t="s">
        <v>522</v>
      </c>
      <c r="E43" s="194">
        <v>9.35</v>
      </c>
      <c r="F43" s="194">
        <v>4.1900000000000004</v>
      </c>
      <c r="G43">
        <f>+E43*92.53%</f>
        <v>8.6515550000000001</v>
      </c>
      <c r="H43">
        <f t="shared" si="0"/>
        <v>0.69844499999999954</v>
      </c>
      <c r="I43" s="186">
        <f t="shared" si="7"/>
        <v>0.92530000000000001</v>
      </c>
      <c r="J43" s="186">
        <f t="shared" si="8"/>
        <v>7.4699999999999947E-2</v>
      </c>
      <c r="K43" s="228">
        <v>0.51980000000000004</v>
      </c>
      <c r="L43" s="194">
        <v>2068</v>
      </c>
      <c r="M43" s="194">
        <v>1800</v>
      </c>
    </row>
    <row r="45" spans="3:25" x14ac:dyDescent="0.25">
      <c r="M45">
        <f>+SUM(M6:M43)</f>
        <v>529280</v>
      </c>
      <c r="N45" t="s">
        <v>528</v>
      </c>
    </row>
    <row r="46" spans="3:25" x14ac:dyDescent="0.25">
      <c r="M46">
        <f>+M45*365</f>
        <v>193187200</v>
      </c>
      <c r="N46" t="s">
        <v>528</v>
      </c>
    </row>
    <row r="47" spans="3:25" x14ac:dyDescent="0.25">
      <c r="C47" t="s">
        <v>513</v>
      </c>
      <c r="E47" s="212">
        <f>+SUM(E5:E38)+E42</f>
        <v>1984.8899999999996</v>
      </c>
      <c r="F47" t="s">
        <v>488</v>
      </c>
      <c r="M47" s="229">
        <f>+M46/1000000</f>
        <v>193.18719999999999</v>
      </c>
      <c r="N47" t="s">
        <v>529</v>
      </c>
    </row>
    <row r="48" spans="3:25" x14ac:dyDescent="0.25">
      <c r="C48" t="s">
        <v>514</v>
      </c>
      <c r="E48">
        <f>+SUM(G5:G38)+G42</f>
        <v>1725.2950059999996</v>
      </c>
      <c r="F48" t="s">
        <v>488</v>
      </c>
      <c r="G48" s="186">
        <f>+E48/E47</f>
        <v>0.86921441792744181</v>
      </c>
      <c r="H48" s="186"/>
      <c r="I48" s="186"/>
      <c r="J48" s="186"/>
      <c r="K48" s="212"/>
      <c r="M48" s="219" t="s">
        <v>530</v>
      </c>
      <c r="N48" s="219" t="s">
        <v>531</v>
      </c>
    </row>
    <row r="49" spans="3:14" x14ac:dyDescent="0.25">
      <c r="C49" t="s">
        <v>517</v>
      </c>
      <c r="E49" s="212">
        <f>+E47-E48</f>
        <v>259.59499400000004</v>
      </c>
      <c r="F49" t="s">
        <v>488</v>
      </c>
      <c r="G49" s="186">
        <f>+E49/E47</f>
        <v>0.13078558207255822</v>
      </c>
      <c r="H49" s="186"/>
      <c r="I49" s="186"/>
      <c r="J49" s="186"/>
      <c r="M49" s="236">
        <f>+M47*M54</f>
        <v>25.114335999999998</v>
      </c>
      <c r="N49" s="237">
        <f>+M47*(100%-M54)</f>
        <v>168.07286399999998</v>
      </c>
    </row>
    <row r="50" spans="3:14" x14ac:dyDescent="0.25">
      <c r="C50" t="s">
        <v>515</v>
      </c>
      <c r="E50" s="212">
        <f>+SUM(F5:F38)</f>
        <v>1635.0453439999999</v>
      </c>
      <c r="F50" t="s">
        <v>516</v>
      </c>
    </row>
    <row r="51" spans="3:14" x14ac:dyDescent="0.25">
      <c r="E51" s="212">
        <f>+E50*(1000000000)</f>
        <v>1635045344000</v>
      </c>
      <c r="F51" t="s">
        <v>526</v>
      </c>
    </row>
    <row r="52" spans="3:14" x14ac:dyDescent="0.25">
      <c r="E52" s="212">
        <f>+(E51/G1)/1000000</f>
        <v>272.62588454016498</v>
      </c>
      <c r="L52" t="s">
        <v>518</v>
      </c>
      <c r="M52" t="s">
        <v>532</v>
      </c>
    </row>
    <row r="53" spans="3:14" x14ac:dyDescent="0.25">
      <c r="L53">
        <v>71</v>
      </c>
      <c r="M53" s="235">
        <v>0.87</v>
      </c>
    </row>
    <row r="54" spans="3:14" x14ac:dyDescent="0.25">
      <c r="E54">
        <f>+E50*1000</f>
        <v>1635045.3439999998</v>
      </c>
      <c r="F54" t="s">
        <v>523</v>
      </c>
      <c r="L54">
        <v>29</v>
      </c>
      <c r="M54" s="235">
        <v>0.13</v>
      </c>
    </row>
    <row r="55" spans="3:14" x14ac:dyDescent="0.25">
      <c r="E55">
        <f>+E54/11</f>
        <v>148640.4858181818</v>
      </c>
      <c r="F55" t="s">
        <v>523</v>
      </c>
    </row>
    <row r="56" spans="3:14" x14ac:dyDescent="0.25">
      <c r="E56">
        <f>+E55/365</f>
        <v>407.234207721046</v>
      </c>
      <c r="F56" t="s">
        <v>523</v>
      </c>
    </row>
    <row r="58" spans="3:14" x14ac:dyDescent="0.25">
      <c r="E58">
        <v>1000</v>
      </c>
      <c r="F58" t="s">
        <v>523</v>
      </c>
    </row>
    <row r="59" spans="3:14" x14ac:dyDescent="0.25">
      <c r="E59">
        <f>+E58*365</f>
        <v>365000</v>
      </c>
    </row>
    <row r="60" spans="3:14" x14ac:dyDescent="0.25">
      <c r="E60" s="229">
        <f>+E54/E59</f>
        <v>4.4795762849315066</v>
      </c>
      <c r="F60" t="s">
        <v>524</v>
      </c>
    </row>
    <row r="61" spans="3:14" x14ac:dyDescent="0.25">
      <c r="E61" s="223"/>
    </row>
  </sheetData>
  <mergeCells count="1">
    <mergeCell ref="W3:X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2A72-AF19-4504-9414-6F61CF25CDA8}">
  <dimension ref="B1:U47"/>
  <sheetViews>
    <sheetView showGridLines="0" tabSelected="1" topLeftCell="A3" workbookViewId="0">
      <selection activeCell="G3" sqref="G3:G37"/>
    </sheetView>
  </sheetViews>
  <sheetFormatPr baseColWidth="10" defaultRowHeight="15" x14ac:dyDescent="0.25"/>
  <cols>
    <col min="2" max="2" width="30.28515625" customWidth="1"/>
    <col min="4" max="5" width="11.42578125" style="194"/>
    <col min="20" max="20" width="12" bestFit="1" customWidth="1"/>
  </cols>
  <sheetData>
    <row r="1" spans="2:21" x14ac:dyDescent="0.25">
      <c r="D1" s="250">
        <v>6.0871741676095334</v>
      </c>
      <c r="E1" s="194" t="s">
        <v>545</v>
      </c>
      <c r="L1">
        <v>1.01</v>
      </c>
      <c r="M1" t="s">
        <v>548</v>
      </c>
      <c r="N1">
        <f>+L1/1000</f>
        <v>1.01E-3</v>
      </c>
      <c r="O1" t="s">
        <v>549</v>
      </c>
      <c r="T1">
        <f>6.1178632*1000000000</f>
        <v>6117863200</v>
      </c>
      <c r="U1" t="s">
        <v>550</v>
      </c>
    </row>
    <row r="2" spans="2:21" x14ac:dyDescent="0.25">
      <c r="C2" s="194"/>
      <c r="T2">
        <f>+T1/(1000000000000000)</f>
        <v>6.1178631999999998E-6</v>
      </c>
      <c r="U2" t="s">
        <v>551</v>
      </c>
    </row>
    <row r="3" spans="2:21" x14ac:dyDescent="0.25">
      <c r="C3" s="247" t="s">
        <v>475</v>
      </c>
      <c r="E3" s="247" t="s">
        <v>542</v>
      </c>
      <c r="F3" s="194" t="s">
        <v>543</v>
      </c>
      <c r="G3" s="247" t="s">
        <v>478</v>
      </c>
      <c r="L3" s="251" t="s">
        <v>544</v>
      </c>
      <c r="M3" s="205" t="s">
        <v>547</v>
      </c>
      <c r="N3" t="s">
        <v>554</v>
      </c>
      <c r="P3" s="205" t="s">
        <v>552</v>
      </c>
      <c r="Q3" t="s">
        <v>552</v>
      </c>
      <c r="R3" t="s">
        <v>553</v>
      </c>
    </row>
    <row r="4" spans="2:21" x14ac:dyDescent="0.25">
      <c r="B4" t="s">
        <v>301</v>
      </c>
      <c r="C4" s="254">
        <v>28.68</v>
      </c>
      <c r="E4" s="255">
        <v>0</v>
      </c>
      <c r="F4" s="249">
        <f>+C4-E4</f>
        <v>28.68</v>
      </c>
      <c r="G4" s="183">
        <v>172.07</v>
      </c>
      <c r="I4">
        <f>+F4/G4</f>
        <v>0.16667635264717848</v>
      </c>
      <c r="L4" s="252">
        <f>+E4*1000*$D$1/1000</f>
        <v>0</v>
      </c>
      <c r="M4" s="248">
        <f>+G4*1000*$N$1</f>
        <v>173.79070000000002</v>
      </c>
      <c r="N4" s="253">
        <f>+IF(L4=0,0,M4/L4)</f>
        <v>0</v>
      </c>
      <c r="P4" s="248">
        <f>+M4+L4</f>
        <v>173.79070000000002</v>
      </c>
      <c r="Q4" s="229">
        <f>+C4*1000000*$T$2</f>
        <v>175.460316576</v>
      </c>
      <c r="R4" s="186">
        <f>+(P4-Q4)/P4</f>
        <v>-9.6070536340551096E-3</v>
      </c>
    </row>
    <row r="5" spans="2:21" x14ac:dyDescent="0.25">
      <c r="B5" t="s">
        <v>342</v>
      </c>
      <c r="C5" s="247">
        <v>89.87</v>
      </c>
      <c r="E5" s="255">
        <f>+C5</f>
        <v>89.87</v>
      </c>
      <c r="F5" s="249">
        <f t="shared" ref="F5:F37" si="0">+C5-E5</f>
        <v>0</v>
      </c>
      <c r="G5" s="183">
        <v>0</v>
      </c>
      <c r="I5" t="e">
        <f t="shared" ref="I5:I37" si="1">+F5/G5</f>
        <v>#DIV/0!</v>
      </c>
      <c r="L5" s="252">
        <f t="shared" ref="L5:L37" si="2">+E5*1000*$D$1/1000</f>
        <v>547.05434244306878</v>
      </c>
      <c r="M5" s="248">
        <f t="shared" ref="M5:M37" si="3">+G5*1000*$N$1</f>
        <v>0</v>
      </c>
      <c r="N5" s="253">
        <f t="shared" ref="N5:N37" si="4">+IF(L5=0,0,M5/L5)</f>
        <v>0</v>
      </c>
      <c r="P5" s="248">
        <f t="shared" ref="P5:P36" si="5">+M5+L5</f>
        <v>547.05434244306878</v>
      </c>
      <c r="Q5" s="229">
        <f t="shared" ref="Q5:Q37" si="6">+C5*1000000*$T$2</f>
        <v>549.81236578400001</v>
      </c>
      <c r="R5" s="186">
        <f t="shared" ref="R5:R37" si="7">+(P5-Q5)/P5</f>
        <v>-5.0415893393959401E-3</v>
      </c>
    </row>
    <row r="6" spans="2:21" x14ac:dyDescent="0.25">
      <c r="B6" t="s">
        <v>491</v>
      </c>
      <c r="C6" s="247">
        <v>1.37</v>
      </c>
      <c r="E6" s="256">
        <f>+C6*98.88%</f>
        <v>1.3546559999999999</v>
      </c>
      <c r="F6" s="249">
        <f t="shared" si="0"/>
        <v>1.5344000000000246E-2</v>
      </c>
      <c r="G6" s="183">
        <v>1.5344000000000003E-2</v>
      </c>
      <c r="I6">
        <f t="shared" si="1"/>
        <v>1.0000000000000158</v>
      </c>
      <c r="L6" s="252">
        <f t="shared" si="2"/>
        <v>8.2460270091972596</v>
      </c>
      <c r="M6" s="248">
        <f t="shared" si="3"/>
        <v>1.5497440000000003E-2</v>
      </c>
      <c r="N6" s="253">
        <f t="shared" si="4"/>
        <v>1.8793826387804495E-3</v>
      </c>
      <c r="P6" s="248">
        <f t="shared" si="5"/>
        <v>8.2615244491972604</v>
      </c>
      <c r="Q6" s="229">
        <f t="shared" si="6"/>
        <v>8.3814725839999991</v>
      </c>
      <c r="R6" s="186">
        <f t="shared" si="7"/>
        <v>-1.4518886379909409E-2</v>
      </c>
    </row>
    <row r="7" spans="2:21" x14ac:dyDescent="0.25">
      <c r="B7" t="s">
        <v>346</v>
      </c>
      <c r="C7" s="247">
        <v>2.5</v>
      </c>
      <c r="E7" s="255">
        <f>+C7*99.53%</f>
        <v>2.4882499999999999</v>
      </c>
      <c r="F7" s="249">
        <f t="shared" si="0"/>
        <v>1.1750000000000149E-2</v>
      </c>
      <c r="G7" s="183">
        <v>7.0000000000000007E-2</v>
      </c>
      <c r="I7">
        <f t="shared" si="1"/>
        <v>0.16785714285714498</v>
      </c>
      <c r="L7" s="252">
        <f t="shared" si="2"/>
        <v>15.146411122554422</v>
      </c>
      <c r="M7" s="248">
        <f t="shared" si="3"/>
        <v>7.0699999999999999E-2</v>
      </c>
      <c r="N7" s="253">
        <f t="shared" si="4"/>
        <v>4.6677724134082882E-3</v>
      </c>
      <c r="P7" s="248">
        <f t="shared" si="5"/>
        <v>15.217111122554423</v>
      </c>
      <c r="Q7" s="229">
        <f t="shared" si="6"/>
        <v>15.294658</v>
      </c>
      <c r="R7" s="186">
        <f t="shared" si="7"/>
        <v>-5.0960314885681139E-3</v>
      </c>
    </row>
    <row r="8" spans="2:21" x14ac:dyDescent="0.25">
      <c r="B8" t="s">
        <v>311</v>
      </c>
      <c r="C8" s="247">
        <v>14.92</v>
      </c>
      <c r="E8" s="255">
        <v>0</v>
      </c>
      <c r="F8" s="249">
        <f t="shared" si="0"/>
        <v>14.92</v>
      </c>
      <c r="G8" s="183">
        <v>89.54</v>
      </c>
      <c r="I8">
        <f t="shared" si="1"/>
        <v>0.16662943935671207</v>
      </c>
      <c r="L8" s="252">
        <f t="shared" si="2"/>
        <v>0</v>
      </c>
      <c r="M8" s="248">
        <f t="shared" si="3"/>
        <v>90.435400000000001</v>
      </c>
      <c r="N8" s="253">
        <f t="shared" si="4"/>
        <v>0</v>
      </c>
      <c r="P8" s="248">
        <f t="shared" si="5"/>
        <v>90.435400000000001</v>
      </c>
      <c r="Q8" s="229">
        <f t="shared" si="6"/>
        <v>91.278518943999998</v>
      </c>
      <c r="R8" s="186">
        <f t="shared" si="7"/>
        <v>-9.3228862149113828E-3</v>
      </c>
    </row>
    <row r="9" spans="2:21" x14ac:dyDescent="0.25">
      <c r="B9" t="s">
        <v>492</v>
      </c>
      <c r="C9" s="247">
        <v>153.29</v>
      </c>
      <c r="E9" s="255">
        <v>153.29</v>
      </c>
      <c r="F9" s="249">
        <f t="shared" si="0"/>
        <v>0</v>
      </c>
      <c r="G9" s="183">
        <v>0</v>
      </c>
      <c r="I9" t="e">
        <f t="shared" si="1"/>
        <v>#DIV/0!</v>
      </c>
      <c r="L9" s="252">
        <f t="shared" si="2"/>
        <v>933.10292815286539</v>
      </c>
      <c r="M9" s="248">
        <f t="shared" si="3"/>
        <v>0</v>
      </c>
      <c r="N9" s="253">
        <f t="shared" si="4"/>
        <v>0</v>
      </c>
      <c r="P9" s="248">
        <f t="shared" si="5"/>
        <v>933.10292815286539</v>
      </c>
      <c r="Q9" s="229">
        <f t="shared" si="6"/>
        <v>937.80724992799992</v>
      </c>
      <c r="R9" s="186">
        <f t="shared" si="7"/>
        <v>-5.041589339395843E-3</v>
      </c>
    </row>
    <row r="10" spans="2:21" x14ac:dyDescent="0.25">
      <c r="B10" t="s">
        <v>493</v>
      </c>
      <c r="C10" s="247">
        <v>0.88</v>
      </c>
      <c r="E10" s="255">
        <v>0.88</v>
      </c>
      <c r="F10" s="249">
        <f t="shared" si="0"/>
        <v>0</v>
      </c>
      <c r="G10" s="183">
        <v>0</v>
      </c>
      <c r="I10" t="e">
        <f t="shared" si="1"/>
        <v>#DIV/0!</v>
      </c>
      <c r="L10" s="252">
        <f t="shared" si="2"/>
        <v>5.3567132674963895</v>
      </c>
      <c r="M10" s="248">
        <f t="shared" si="3"/>
        <v>0</v>
      </c>
      <c r="N10" s="253">
        <f t="shared" si="4"/>
        <v>0</v>
      </c>
      <c r="P10" s="248">
        <f t="shared" si="5"/>
        <v>5.3567132674963895</v>
      </c>
      <c r="Q10" s="229">
        <f t="shared" si="6"/>
        <v>5.3837196159999996</v>
      </c>
      <c r="R10" s="186">
        <f t="shared" si="7"/>
        <v>-5.0415893393958404E-3</v>
      </c>
    </row>
    <row r="11" spans="2:21" x14ac:dyDescent="0.25">
      <c r="B11" t="s">
        <v>494</v>
      </c>
      <c r="C11" s="247">
        <v>543.79</v>
      </c>
      <c r="E11" s="255">
        <f>+C11</f>
        <v>543.79</v>
      </c>
      <c r="F11" s="249">
        <f t="shared" si="0"/>
        <v>0</v>
      </c>
      <c r="G11" s="183">
        <v>0</v>
      </c>
      <c r="I11" t="e">
        <f t="shared" si="1"/>
        <v>#DIV/0!</v>
      </c>
      <c r="L11" s="252">
        <f t="shared" si="2"/>
        <v>3310.1444406043884</v>
      </c>
      <c r="M11" s="248">
        <f t="shared" si="3"/>
        <v>0</v>
      </c>
      <c r="N11" s="253">
        <f t="shared" si="4"/>
        <v>0</v>
      </c>
      <c r="P11" s="248">
        <f t="shared" si="5"/>
        <v>3310.1444406043884</v>
      </c>
      <c r="Q11" s="229">
        <f t="shared" si="6"/>
        <v>3326.8328295279998</v>
      </c>
      <c r="R11" s="186">
        <f t="shared" si="7"/>
        <v>-5.0415893393958291E-3</v>
      </c>
    </row>
    <row r="12" spans="2:21" x14ac:dyDescent="0.25">
      <c r="B12" t="s">
        <v>29</v>
      </c>
      <c r="C12" s="247">
        <v>272.89999999999998</v>
      </c>
      <c r="E12" s="255">
        <v>272.29000000000002</v>
      </c>
      <c r="F12" s="249">
        <f t="shared" si="0"/>
        <v>0.6099999999999568</v>
      </c>
      <c r="G12" s="183">
        <v>0</v>
      </c>
      <c r="I12" t="e">
        <f t="shared" si="1"/>
        <v>#DIV/0!</v>
      </c>
      <c r="L12" s="252">
        <f t="shared" si="2"/>
        <v>1657.4766540983999</v>
      </c>
      <c r="M12" s="248">
        <f t="shared" si="3"/>
        <v>0</v>
      </c>
      <c r="N12" s="253">
        <f t="shared" si="4"/>
        <v>0</v>
      </c>
      <c r="P12" s="248">
        <f t="shared" si="5"/>
        <v>1657.4766540983999</v>
      </c>
      <c r="Q12" s="229">
        <f t="shared" si="6"/>
        <v>1669.56486728</v>
      </c>
      <c r="R12" s="186">
        <f t="shared" si="7"/>
        <v>-7.2931423508801486E-3</v>
      </c>
    </row>
    <row r="13" spans="2:21" x14ac:dyDescent="0.25">
      <c r="B13" t="s">
        <v>345</v>
      </c>
      <c r="C13" s="247">
        <v>16.52</v>
      </c>
      <c r="E13" s="255">
        <f>+C13*98.07%</f>
        <v>16.201163999999999</v>
      </c>
      <c r="F13" s="249">
        <f t="shared" si="0"/>
        <v>0.31883600000000101</v>
      </c>
      <c r="G13" s="183">
        <v>1.61</v>
      </c>
      <c r="I13">
        <f t="shared" si="1"/>
        <v>0.19803478260869625</v>
      </c>
      <c r="L13" s="252">
        <f t="shared" si="2"/>
        <v>98.619306986005526</v>
      </c>
      <c r="M13" s="248">
        <f t="shared" si="3"/>
        <v>1.6261000000000001</v>
      </c>
      <c r="N13" s="253">
        <f t="shared" si="4"/>
        <v>1.6488657745594888E-2</v>
      </c>
      <c r="P13" s="248">
        <f t="shared" si="5"/>
        <v>100.24540698600552</v>
      </c>
      <c r="Q13" s="229">
        <f t="shared" si="6"/>
        <v>101.067100064</v>
      </c>
      <c r="R13" s="186">
        <f t="shared" si="7"/>
        <v>-8.1968152227582056E-3</v>
      </c>
    </row>
    <row r="14" spans="2:21" x14ac:dyDescent="0.25">
      <c r="B14" t="s">
        <v>140</v>
      </c>
      <c r="C14" s="247">
        <v>21.91</v>
      </c>
      <c r="E14" s="255">
        <f>+C14</f>
        <v>21.91</v>
      </c>
      <c r="F14" s="249">
        <f t="shared" si="0"/>
        <v>0</v>
      </c>
      <c r="G14" s="183">
        <v>0</v>
      </c>
      <c r="I14" t="e">
        <f t="shared" si="1"/>
        <v>#DIV/0!</v>
      </c>
      <c r="L14" s="252">
        <f t="shared" si="2"/>
        <v>133.36998601232486</v>
      </c>
      <c r="M14" s="248">
        <f t="shared" si="3"/>
        <v>0</v>
      </c>
      <c r="N14" s="253">
        <f t="shared" si="4"/>
        <v>0</v>
      </c>
      <c r="P14" s="248">
        <f t="shared" si="5"/>
        <v>133.36998601232486</v>
      </c>
      <c r="Q14" s="229">
        <f t="shared" si="6"/>
        <v>134.04238271200001</v>
      </c>
      <c r="R14" s="186">
        <f t="shared" si="7"/>
        <v>-5.041589339396124E-3</v>
      </c>
    </row>
    <row r="15" spans="2:21" x14ac:dyDescent="0.25">
      <c r="B15" t="s">
        <v>495</v>
      </c>
      <c r="C15" s="247">
        <v>8.85</v>
      </c>
      <c r="E15" s="255">
        <f>+C15</f>
        <v>8.85</v>
      </c>
      <c r="F15" s="249">
        <f t="shared" si="0"/>
        <v>0</v>
      </c>
      <c r="G15" s="183">
        <v>0</v>
      </c>
      <c r="I15" t="e">
        <f t="shared" si="1"/>
        <v>#DIV/0!</v>
      </c>
      <c r="L15" s="252">
        <f t="shared" si="2"/>
        <v>53.87149138334437</v>
      </c>
      <c r="M15" s="248">
        <f t="shared" si="3"/>
        <v>0</v>
      </c>
      <c r="N15" s="253">
        <f t="shared" si="4"/>
        <v>0</v>
      </c>
      <c r="P15" s="248">
        <f t="shared" si="5"/>
        <v>53.87149138334437</v>
      </c>
      <c r="Q15" s="229">
        <f t="shared" si="6"/>
        <v>54.143089320000001</v>
      </c>
      <c r="R15" s="186">
        <f t="shared" si="7"/>
        <v>-5.0415893393959757E-3</v>
      </c>
    </row>
    <row r="16" spans="2:21" x14ac:dyDescent="0.25">
      <c r="B16" t="s">
        <v>61</v>
      </c>
      <c r="C16" s="247">
        <v>146.25</v>
      </c>
      <c r="E16" s="255">
        <v>146.25</v>
      </c>
      <c r="F16" s="249">
        <f t="shared" si="0"/>
        <v>0</v>
      </c>
      <c r="G16" s="183">
        <v>0</v>
      </c>
      <c r="I16" t="e">
        <f t="shared" si="1"/>
        <v>#DIV/0!</v>
      </c>
      <c r="L16" s="252">
        <f t="shared" si="2"/>
        <v>890.24922201289428</v>
      </c>
      <c r="M16" s="248">
        <f t="shared" si="3"/>
        <v>0</v>
      </c>
      <c r="N16" s="253">
        <f t="shared" si="4"/>
        <v>0</v>
      </c>
      <c r="P16" s="248">
        <f t="shared" si="5"/>
        <v>890.24922201289428</v>
      </c>
      <c r="Q16" s="229">
        <f t="shared" si="6"/>
        <v>894.73749299999997</v>
      </c>
      <c r="R16" s="186">
        <f t="shared" si="7"/>
        <v>-5.0415893393958907E-3</v>
      </c>
    </row>
    <row r="17" spans="2:18" x14ac:dyDescent="0.25">
      <c r="B17" t="s">
        <v>496</v>
      </c>
      <c r="C17" s="247">
        <v>89.99</v>
      </c>
      <c r="E17" s="255">
        <f>+C17</f>
        <v>89.99</v>
      </c>
      <c r="F17" s="249">
        <f t="shared" si="0"/>
        <v>0</v>
      </c>
      <c r="G17" s="183">
        <v>0</v>
      </c>
      <c r="I17" t="e">
        <f t="shared" si="1"/>
        <v>#DIV/0!</v>
      </c>
      <c r="L17" s="252">
        <f t="shared" si="2"/>
        <v>547.78480334318192</v>
      </c>
      <c r="M17" s="248">
        <f t="shared" si="3"/>
        <v>0</v>
      </c>
      <c r="N17" s="253">
        <f t="shared" si="4"/>
        <v>0</v>
      </c>
      <c r="P17" s="248">
        <f t="shared" si="5"/>
        <v>547.78480334318192</v>
      </c>
      <c r="Q17" s="229">
        <f t="shared" si="6"/>
        <v>550.54650936799999</v>
      </c>
      <c r="R17" s="186">
        <f t="shared" si="7"/>
        <v>-5.0415893393959046E-3</v>
      </c>
    </row>
    <row r="18" spans="2:18" x14ac:dyDescent="0.25">
      <c r="B18" t="s">
        <v>497</v>
      </c>
      <c r="C18" s="247">
        <v>86.96</v>
      </c>
      <c r="E18" s="255">
        <f>+C18*68.57%</f>
        <v>59.628471999999995</v>
      </c>
      <c r="F18" s="249">
        <f t="shared" si="0"/>
        <v>27.331527999999999</v>
      </c>
      <c r="G18" s="183">
        <v>357.74</v>
      </c>
      <c r="I18">
        <f t="shared" si="1"/>
        <v>7.6400536702633193E-2</v>
      </c>
      <c r="L18" s="252">
        <f t="shared" si="2"/>
        <v>362.96889441242831</v>
      </c>
      <c r="M18" s="248">
        <f t="shared" si="3"/>
        <v>361.31740000000002</v>
      </c>
      <c r="N18" s="253">
        <f t="shared" si="4"/>
        <v>0.995450038728245</v>
      </c>
      <c r="P18" s="248">
        <f t="shared" si="5"/>
        <v>724.28629441242833</v>
      </c>
      <c r="Q18" s="229">
        <f t="shared" si="6"/>
        <v>532.00938387199994</v>
      </c>
      <c r="R18" s="186">
        <f t="shared" si="7"/>
        <v>0.26547086700903483</v>
      </c>
    </row>
    <row r="19" spans="2:18" x14ac:dyDescent="0.25">
      <c r="B19" t="s">
        <v>498</v>
      </c>
      <c r="C19" s="247">
        <v>5.73</v>
      </c>
      <c r="E19" s="255">
        <f>+C19</f>
        <v>5.73</v>
      </c>
      <c r="F19" s="249">
        <f t="shared" si="0"/>
        <v>0</v>
      </c>
      <c r="G19" s="183">
        <v>0</v>
      </c>
      <c r="I19" t="e">
        <f t="shared" si="1"/>
        <v>#DIV/0!</v>
      </c>
      <c r="L19" s="252">
        <f t="shared" si="2"/>
        <v>34.879507980402622</v>
      </c>
      <c r="M19" s="248">
        <f t="shared" si="3"/>
        <v>0</v>
      </c>
      <c r="N19" s="253">
        <f t="shared" si="4"/>
        <v>0</v>
      </c>
      <c r="P19" s="248">
        <f t="shared" si="5"/>
        <v>34.879507980402622</v>
      </c>
      <c r="Q19" s="229">
        <f t="shared" si="6"/>
        <v>35.055356136</v>
      </c>
      <c r="R19" s="186">
        <f t="shared" si="7"/>
        <v>-5.0415893393960919E-3</v>
      </c>
    </row>
    <row r="20" spans="2:18" x14ac:dyDescent="0.25">
      <c r="B20" t="s">
        <v>499</v>
      </c>
      <c r="C20" s="247">
        <v>89.27</v>
      </c>
      <c r="E20" s="255">
        <f>+C20*5.84%</f>
        <v>5.213368</v>
      </c>
      <c r="F20" s="249">
        <f t="shared" si="0"/>
        <v>84.056631999999993</v>
      </c>
      <c r="G20" s="183">
        <v>504.38</v>
      </c>
      <c r="I20">
        <f t="shared" si="1"/>
        <v>0.16665338038780284</v>
      </c>
      <c r="L20" s="252">
        <f t="shared" si="2"/>
        <v>31.734679015842179</v>
      </c>
      <c r="M20" s="248">
        <f t="shared" si="3"/>
        <v>509.42380000000003</v>
      </c>
      <c r="N20" s="253">
        <f t="shared" si="4"/>
        <v>16.052590282879244</v>
      </c>
      <c r="P20" s="248">
        <f t="shared" si="5"/>
        <v>541.1584790158422</v>
      </c>
      <c r="Q20" s="229">
        <f t="shared" si="6"/>
        <v>546.14164786399999</v>
      </c>
      <c r="R20" s="186">
        <f t="shared" si="7"/>
        <v>-9.2083355271828024E-3</v>
      </c>
    </row>
    <row r="21" spans="2:18" x14ac:dyDescent="0.25">
      <c r="B21" t="s">
        <v>500</v>
      </c>
      <c r="C21" s="247">
        <v>10.25</v>
      </c>
      <c r="E21" s="255">
        <f>+C21*2%</f>
        <v>0.20500000000000002</v>
      </c>
      <c r="F21" s="249">
        <f t="shared" si="0"/>
        <v>10.045</v>
      </c>
      <c r="G21" s="183">
        <v>60.26</v>
      </c>
      <c r="I21">
        <f t="shared" si="1"/>
        <v>0.16669432459342848</v>
      </c>
      <c r="L21" s="252">
        <f t="shared" si="2"/>
        <v>1.2478707043599546</v>
      </c>
      <c r="M21" s="248">
        <f t="shared" si="3"/>
        <v>60.8626</v>
      </c>
      <c r="N21" s="253">
        <f t="shared" si="4"/>
        <v>48.773161984932592</v>
      </c>
      <c r="P21" s="248">
        <f t="shared" si="5"/>
        <v>62.110470704359955</v>
      </c>
      <c r="Q21" s="229">
        <f t="shared" si="6"/>
        <v>62.708097799999997</v>
      </c>
      <c r="R21" s="186">
        <f t="shared" si="7"/>
        <v>-9.6220023590658631E-3</v>
      </c>
    </row>
    <row r="22" spans="2:18" x14ac:dyDescent="0.25">
      <c r="B22" t="s">
        <v>501</v>
      </c>
      <c r="C22" s="247">
        <v>17.7</v>
      </c>
      <c r="E22" s="255">
        <f>+C22*8.23%</f>
        <v>1.4567099999999999</v>
      </c>
      <c r="F22" s="249">
        <f t="shared" si="0"/>
        <v>16.243289999999998</v>
      </c>
      <c r="G22" s="183">
        <v>97.48</v>
      </c>
      <c r="I22">
        <f t="shared" si="1"/>
        <v>0.16663202708247843</v>
      </c>
      <c r="L22" s="252">
        <f t="shared" si="2"/>
        <v>8.8672474816984828</v>
      </c>
      <c r="M22" s="248">
        <f t="shared" si="3"/>
        <v>98.454800000000006</v>
      </c>
      <c r="N22" s="253">
        <f t="shared" si="4"/>
        <v>11.103197492029558</v>
      </c>
      <c r="P22" s="248">
        <f t="shared" si="5"/>
        <v>107.32204748169849</v>
      </c>
      <c r="Q22" s="229">
        <f t="shared" si="6"/>
        <v>108.28617864</v>
      </c>
      <c r="R22" s="186">
        <f t="shared" si="7"/>
        <v>-8.9835330290910127E-3</v>
      </c>
    </row>
    <row r="23" spans="2:18" x14ac:dyDescent="0.25">
      <c r="B23" t="s">
        <v>502</v>
      </c>
      <c r="C23" s="247">
        <v>8.8000000000000007</v>
      </c>
      <c r="E23" s="255">
        <f>+C23*94.66%</f>
        <v>8.3300800000000006</v>
      </c>
      <c r="F23" s="249">
        <f t="shared" si="0"/>
        <v>0.46992000000000012</v>
      </c>
      <c r="G23" s="183">
        <v>2.82</v>
      </c>
      <c r="I23">
        <f t="shared" si="1"/>
        <v>0.16663829787234047</v>
      </c>
      <c r="L23" s="252">
        <f t="shared" si="2"/>
        <v>50.706647790120819</v>
      </c>
      <c r="M23" s="248">
        <f t="shared" si="3"/>
        <v>2.8482000000000003</v>
      </c>
      <c r="N23" s="253">
        <f t="shared" si="4"/>
        <v>5.6170149756082186E-2</v>
      </c>
      <c r="P23" s="248">
        <f t="shared" si="5"/>
        <v>53.554847790120817</v>
      </c>
      <c r="Q23" s="229">
        <f t="shared" si="6"/>
        <v>53.837196159999998</v>
      </c>
      <c r="R23" s="186">
        <f t="shared" si="7"/>
        <v>-5.2721346718357176E-3</v>
      </c>
    </row>
    <row r="24" spans="2:18" x14ac:dyDescent="0.25">
      <c r="B24" t="s">
        <v>503</v>
      </c>
      <c r="C24" s="247">
        <v>1.1399999999999999</v>
      </c>
      <c r="E24" s="255">
        <f>+C24*93.12%</f>
        <v>1.0615679999999998</v>
      </c>
      <c r="F24" s="249">
        <f t="shared" si="0"/>
        <v>7.8432000000000057E-2</v>
      </c>
      <c r="G24" s="183">
        <v>0.47</v>
      </c>
      <c r="I24">
        <f t="shared" si="1"/>
        <v>0.16687659574468097</v>
      </c>
      <c r="L24" s="252">
        <f t="shared" si="2"/>
        <v>6.4619493067609159</v>
      </c>
      <c r="M24" s="248">
        <f t="shared" si="3"/>
        <v>0.47470000000000001</v>
      </c>
      <c r="N24" s="253">
        <f t="shared" si="4"/>
        <v>7.3460805318193642E-2</v>
      </c>
      <c r="P24" s="248">
        <f t="shared" si="5"/>
        <v>6.9366493067609163</v>
      </c>
      <c r="Q24" s="229">
        <f t="shared" si="6"/>
        <v>6.974364048</v>
      </c>
      <c r="R24" s="186">
        <f t="shared" si="7"/>
        <v>-5.4370257989436507E-3</v>
      </c>
    </row>
    <row r="25" spans="2:18" x14ac:dyDescent="0.25">
      <c r="B25" t="s">
        <v>504</v>
      </c>
      <c r="C25" s="247">
        <v>1.31</v>
      </c>
      <c r="E25" s="255">
        <f>+C25*95.34%</f>
        <v>1.2489540000000001</v>
      </c>
      <c r="F25" s="249">
        <f t="shared" si="0"/>
        <v>6.1045999999999934E-2</v>
      </c>
      <c r="G25" s="183">
        <v>0.37</v>
      </c>
      <c r="I25">
        <f t="shared" si="1"/>
        <v>0.16498918918918901</v>
      </c>
      <c r="L25" s="252">
        <f t="shared" si="2"/>
        <v>7.6026005253325986</v>
      </c>
      <c r="M25" s="248">
        <f t="shared" si="3"/>
        <v>0.37370000000000003</v>
      </c>
      <c r="N25" s="253">
        <f t="shared" si="4"/>
        <v>4.9154233311982598E-2</v>
      </c>
      <c r="P25" s="248">
        <f t="shared" si="5"/>
        <v>7.9763005253325989</v>
      </c>
      <c r="Q25" s="229">
        <f t="shared" si="6"/>
        <v>8.014400792</v>
      </c>
      <c r="R25" s="186">
        <f t="shared" si="7"/>
        <v>-4.7766839459465263E-3</v>
      </c>
    </row>
    <row r="26" spans="2:18" x14ac:dyDescent="0.25">
      <c r="B26" t="s">
        <v>505</v>
      </c>
      <c r="C26" s="247">
        <v>4.72</v>
      </c>
      <c r="E26" s="255">
        <f>+C26*73.7%</f>
        <v>3.47864</v>
      </c>
      <c r="F26" s="249">
        <f t="shared" si="0"/>
        <v>1.2413599999999998</v>
      </c>
      <c r="G26" s="183">
        <v>7.45</v>
      </c>
      <c r="I26">
        <f t="shared" si="1"/>
        <v>0.16662550335570467</v>
      </c>
      <c r="L26" s="252">
        <f t="shared" si="2"/>
        <v>21.175087546413227</v>
      </c>
      <c r="M26" s="248">
        <f t="shared" si="3"/>
        <v>7.5245000000000006</v>
      </c>
      <c r="N26" s="253">
        <f t="shared" si="4"/>
        <v>0.35534681892139564</v>
      </c>
      <c r="P26" s="248">
        <f t="shared" si="5"/>
        <v>28.699587546413227</v>
      </c>
      <c r="Q26" s="229">
        <f t="shared" si="6"/>
        <v>28.876314303999997</v>
      </c>
      <c r="R26" s="186">
        <f t="shared" si="7"/>
        <v>-6.1578152404095183E-3</v>
      </c>
    </row>
    <row r="27" spans="2:18" x14ac:dyDescent="0.25">
      <c r="B27" t="s">
        <v>506</v>
      </c>
      <c r="C27" s="247">
        <v>11.27</v>
      </c>
      <c r="E27" s="255">
        <v>11.27</v>
      </c>
      <c r="F27" s="249">
        <f t="shared" si="0"/>
        <v>0</v>
      </c>
      <c r="G27" s="183">
        <v>0</v>
      </c>
      <c r="I27" t="e">
        <f t="shared" si="1"/>
        <v>#DIV/0!</v>
      </c>
      <c r="L27" s="252">
        <f t="shared" si="2"/>
        <v>68.602452868959446</v>
      </c>
      <c r="M27" s="248">
        <f t="shared" si="3"/>
        <v>0</v>
      </c>
      <c r="N27" s="253">
        <f t="shared" si="4"/>
        <v>0</v>
      </c>
      <c r="P27" s="248">
        <f t="shared" si="5"/>
        <v>68.602452868959446</v>
      </c>
      <c r="Q27" s="229">
        <f t="shared" si="6"/>
        <v>68.948318263999994</v>
      </c>
      <c r="R27" s="186">
        <f t="shared" si="7"/>
        <v>-5.0415893393957849E-3</v>
      </c>
    </row>
    <row r="28" spans="2:18" x14ac:dyDescent="0.25">
      <c r="B28" t="s">
        <v>318</v>
      </c>
      <c r="C28" s="247">
        <v>3.84</v>
      </c>
      <c r="E28" s="255"/>
      <c r="F28" s="249">
        <f t="shared" si="0"/>
        <v>3.84</v>
      </c>
      <c r="G28" s="183">
        <v>23.03</v>
      </c>
      <c r="I28">
        <f t="shared" si="1"/>
        <v>0.16673903603994789</v>
      </c>
      <c r="L28" s="252">
        <f t="shared" si="2"/>
        <v>0</v>
      </c>
      <c r="M28" s="248">
        <f t="shared" si="3"/>
        <v>23.260300000000001</v>
      </c>
      <c r="N28" s="253">
        <f t="shared" si="4"/>
        <v>0</v>
      </c>
      <c r="P28" s="248">
        <f t="shared" si="5"/>
        <v>23.260300000000001</v>
      </c>
      <c r="Q28" s="229">
        <f t="shared" si="6"/>
        <v>23.492594688000001</v>
      </c>
      <c r="R28" s="186">
        <f t="shared" si="7"/>
        <v>-9.9867451408623114E-3</v>
      </c>
    </row>
    <row r="29" spans="2:18" x14ac:dyDescent="0.25">
      <c r="B29" t="s">
        <v>508</v>
      </c>
      <c r="C29" s="247">
        <v>14.92</v>
      </c>
      <c r="E29" s="255">
        <f>+C29*99.74%</f>
        <v>14.881207999999999</v>
      </c>
      <c r="F29" s="249">
        <f t="shared" si="0"/>
        <v>3.8792000000000826E-2</v>
      </c>
      <c r="G29" s="183">
        <v>0.24</v>
      </c>
      <c r="I29">
        <f t="shared" si="1"/>
        <v>0.16163333333333679</v>
      </c>
      <c r="L29" s="252">
        <f t="shared" si="2"/>
        <v>90.584504920424322</v>
      </c>
      <c r="M29" s="248">
        <f t="shared" si="3"/>
        <v>0.2424</v>
      </c>
      <c r="N29" s="253">
        <f t="shared" si="4"/>
        <v>2.6759543501721503E-3</v>
      </c>
      <c r="P29" s="248">
        <f t="shared" si="5"/>
        <v>90.826904920424326</v>
      </c>
      <c r="Q29" s="229">
        <f t="shared" si="6"/>
        <v>91.278518943999998</v>
      </c>
      <c r="R29" s="186">
        <f t="shared" si="7"/>
        <v>-4.9722494008943973E-3</v>
      </c>
    </row>
    <row r="30" spans="2:18" x14ac:dyDescent="0.25">
      <c r="B30" t="s">
        <v>80</v>
      </c>
      <c r="C30" s="247">
        <v>43.42</v>
      </c>
      <c r="E30" s="255">
        <f>+C30*93.49%</f>
        <v>40.593358000000002</v>
      </c>
      <c r="F30" s="249">
        <f t="shared" si="0"/>
        <v>2.8266419999999997</v>
      </c>
      <c r="G30" s="183">
        <v>16.96</v>
      </c>
      <c r="I30">
        <f t="shared" si="1"/>
        <v>0.1666652122641509</v>
      </c>
      <c r="L30" s="252">
        <f t="shared" si="2"/>
        <v>247.09884019412581</v>
      </c>
      <c r="M30" s="248">
        <f t="shared" si="3"/>
        <v>17.1296</v>
      </c>
      <c r="N30" s="253">
        <f t="shared" si="4"/>
        <v>6.9322866859847024E-2</v>
      </c>
      <c r="P30" s="248">
        <f t="shared" si="5"/>
        <v>264.22844019412582</v>
      </c>
      <c r="Q30" s="229">
        <f t="shared" si="6"/>
        <v>265.63762014399998</v>
      </c>
      <c r="R30" s="186">
        <f t="shared" si="7"/>
        <v>-5.3331880127621707E-3</v>
      </c>
    </row>
    <row r="31" spans="2:18" x14ac:dyDescent="0.25">
      <c r="B31" t="s">
        <v>449</v>
      </c>
      <c r="C31" s="247">
        <v>7.3</v>
      </c>
      <c r="E31" s="255">
        <f>+C31*89.64%</f>
        <v>6.5437199999999995</v>
      </c>
      <c r="F31" s="249">
        <f t="shared" si="0"/>
        <v>0.75628000000000029</v>
      </c>
      <c r="G31" s="183">
        <v>4.54</v>
      </c>
      <c r="I31">
        <f t="shared" si="1"/>
        <v>0.1665814977973569</v>
      </c>
      <c r="L31" s="252">
        <f t="shared" si="2"/>
        <v>39.832763344069853</v>
      </c>
      <c r="M31" s="248">
        <f t="shared" si="3"/>
        <v>4.5853999999999999</v>
      </c>
      <c r="N31" s="253">
        <f t="shared" si="4"/>
        <v>0.11511629159121987</v>
      </c>
      <c r="P31" s="248">
        <f t="shared" si="5"/>
        <v>44.418163344069853</v>
      </c>
      <c r="Q31" s="229">
        <f t="shared" si="6"/>
        <v>44.660401360000002</v>
      </c>
      <c r="R31" s="186">
        <f t="shared" si="7"/>
        <v>-5.4535801954199619E-3</v>
      </c>
    </row>
    <row r="32" spans="2:18" x14ac:dyDescent="0.25">
      <c r="B32" t="s">
        <v>509</v>
      </c>
      <c r="C32" s="247">
        <v>0.57999999999999996</v>
      </c>
      <c r="E32" s="255">
        <f>+C32</f>
        <v>0.57999999999999996</v>
      </c>
      <c r="F32" s="249">
        <f t="shared" si="0"/>
        <v>0</v>
      </c>
      <c r="G32" s="183">
        <v>0</v>
      </c>
      <c r="I32" t="e">
        <f t="shared" si="1"/>
        <v>#DIV/0!</v>
      </c>
      <c r="L32" s="252">
        <f t="shared" si="2"/>
        <v>3.5305610172135293</v>
      </c>
      <c r="M32" s="248">
        <f t="shared" si="3"/>
        <v>0</v>
      </c>
      <c r="N32" s="253">
        <f t="shared" si="4"/>
        <v>0</v>
      </c>
      <c r="P32" s="248">
        <f t="shared" si="5"/>
        <v>3.5305610172135293</v>
      </c>
      <c r="Q32" s="229">
        <f t="shared" si="6"/>
        <v>3.5483606559999998</v>
      </c>
      <c r="R32" s="186">
        <f t="shared" si="7"/>
        <v>-5.0415893393959089E-3</v>
      </c>
    </row>
    <row r="33" spans="2:18" x14ac:dyDescent="0.25">
      <c r="B33" t="s">
        <v>510</v>
      </c>
      <c r="C33" s="247">
        <v>130.22</v>
      </c>
      <c r="E33" s="255">
        <f>+C33*63.65%</f>
        <v>82.88503</v>
      </c>
      <c r="F33" s="249">
        <f t="shared" si="0"/>
        <v>47.334969999999998</v>
      </c>
      <c r="G33" s="183">
        <v>284</v>
      </c>
      <c r="I33">
        <f t="shared" si="1"/>
        <v>0.16667242957746478</v>
      </c>
      <c r="L33" s="252">
        <f t="shared" si="2"/>
        <v>504.53561349754125</v>
      </c>
      <c r="M33" s="248">
        <f t="shared" si="3"/>
        <v>286.84000000000003</v>
      </c>
      <c r="N33" s="253">
        <f t="shared" si="4"/>
        <v>0.56852280062366278</v>
      </c>
      <c r="P33" s="248">
        <f t="shared" si="5"/>
        <v>791.37561349754128</v>
      </c>
      <c r="Q33" s="229">
        <f t="shared" si="6"/>
        <v>796.66814590399997</v>
      </c>
      <c r="R33" s="186">
        <f t="shared" si="7"/>
        <v>-6.6877628223442013E-3</v>
      </c>
    </row>
    <row r="34" spans="2:18" x14ac:dyDescent="0.25">
      <c r="B34" t="s">
        <v>344</v>
      </c>
      <c r="C34" s="247">
        <v>24.09</v>
      </c>
      <c r="E34" s="255">
        <f>+C34</f>
        <v>24.09</v>
      </c>
      <c r="F34" s="249">
        <f t="shared" si="0"/>
        <v>0</v>
      </c>
      <c r="G34" s="183">
        <v>0</v>
      </c>
      <c r="I34" t="e">
        <f t="shared" si="1"/>
        <v>#DIV/0!</v>
      </c>
      <c r="L34" s="252">
        <f t="shared" si="2"/>
        <v>146.64002569771367</v>
      </c>
      <c r="M34" s="248">
        <f t="shared" si="3"/>
        <v>0</v>
      </c>
      <c r="N34" s="253">
        <f t="shared" si="4"/>
        <v>0</v>
      </c>
      <c r="P34" s="248">
        <f t="shared" si="5"/>
        <v>146.64002569771367</v>
      </c>
      <c r="Q34" s="229">
        <f t="shared" si="6"/>
        <v>147.37932448800001</v>
      </c>
      <c r="R34" s="186">
        <f t="shared" si="7"/>
        <v>-5.0415893393959479E-3</v>
      </c>
    </row>
    <row r="35" spans="2:18" x14ac:dyDescent="0.25">
      <c r="B35" t="s">
        <v>511</v>
      </c>
      <c r="C35" s="247">
        <v>5.59</v>
      </c>
      <c r="E35" s="255">
        <f>+C35</f>
        <v>5.59</v>
      </c>
      <c r="F35" s="249">
        <f t="shared" si="0"/>
        <v>0</v>
      </c>
      <c r="G35" s="183">
        <v>0</v>
      </c>
      <c r="I35" t="e">
        <f t="shared" si="1"/>
        <v>#DIV/0!</v>
      </c>
      <c r="L35" s="252">
        <f t="shared" si="2"/>
        <v>34.027303596937294</v>
      </c>
      <c r="M35" s="248">
        <f t="shared" si="3"/>
        <v>0</v>
      </c>
      <c r="N35" s="253">
        <f t="shared" si="4"/>
        <v>0</v>
      </c>
      <c r="P35" s="248">
        <f t="shared" si="5"/>
        <v>34.027303596937294</v>
      </c>
      <c r="Q35" s="229">
        <f t="shared" si="6"/>
        <v>34.198855287999997</v>
      </c>
      <c r="R35" s="186">
        <f t="shared" si="7"/>
        <v>-5.0415893393957901E-3</v>
      </c>
    </row>
    <row r="36" spans="2:18" x14ac:dyDescent="0.25">
      <c r="B36" t="s">
        <v>345</v>
      </c>
      <c r="C36" s="247">
        <v>16.52</v>
      </c>
      <c r="E36" s="255">
        <f>+C36*98.07%</f>
        <v>16.201163999999999</v>
      </c>
      <c r="F36" s="249">
        <f t="shared" si="0"/>
        <v>0.31883600000000101</v>
      </c>
      <c r="G36" s="183">
        <v>1.91</v>
      </c>
      <c r="I36">
        <f t="shared" si="1"/>
        <v>0.16692984293193772</v>
      </c>
      <c r="L36" s="252">
        <f t="shared" si="2"/>
        <v>98.619306986005526</v>
      </c>
      <c r="M36" s="248">
        <f t="shared" si="3"/>
        <v>1.9291</v>
      </c>
      <c r="N36" s="253">
        <f t="shared" si="4"/>
        <v>1.9561078443531825E-2</v>
      </c>
      <c r="P36" s="248">
        <f t="shared" si="5"/>
        <v>100.54840698600553</v>
      </c>
      <c r="Q36" s="229">
        <f t="shared" si="6"/>
        <v>101.067100064</v>
      </c>
      <c r="R36" s="186">
        <f t="shared" si="7"/>
        <v>-5.158640435413986E-3</v>
      </c>
    </row>
    <row r="37" spans="2:18" x14ac:dyDescent="0.25">
      <c r="B37" t="s">
        <v>512</v>
      </c>
      <c r="C37" s="247">
        <v>90.73</v>
      </c>
      <c r="E37" s="255">
        <f>+C37*98.15%</f>
        <v>89.051495000000003</v>
      </c>
      <c r="F37" s="249">
        <f t="shared" si="0"/>
        <v>1.6785050000000012</v>
      </c>
      <c r="G37" s="183">
        <v>10.09</v>
      </c>
      <c r="I37">
        <f t="shared" si="1"/>
        <v>0.16635332011892975</v>
      </c>
      <c r="L37" s="252">
        <f t="shared" si="2"/>
        <v>542.0719599510096</v>
      </c>
      <c r="M37" s="248">
        <f t="shared" si="3"/>
        <v>10.190900000000001</v>
      </c>
      <c r="N37" s="253">
        <f t="shared" si="4"/>
        <v>1.879990250910786E-2</v>
      </c>
      <c r="P37" s="248">
        <f>+M37+L37</f>
        <v>552.26285995100966</v>
      </c>
      <c r="Q37" s="229">
        <f t="shared" si="6"/>
        <v>555.073728136</v>
      </c>
      <c r="R37" s="186">
        <f t="shared" si="7"/>
        <v>-5.0897288027655675E-3</v>
      </c>
    </row>
    <row r="38" spans="2:18" x14ac:dyDescent="0.25">
      <c r="C38" s="194"/>
    </row>
    <row r="39" spans="2:18" x14ac:dyDescent="0.25">
      <c r="C39" s="194"/>
      <c r="E39" s="194">
        <f>+C39*0.74%</f>
        <v>0</v>
      </c>
      <c r="G39">
        <v>23.75</v>
      </c>
    </row>
    <row r="40" spans="2:18" x14ac:dyDescent="0.25">
      <c r="E40" s="194">
        <f>+C40*70.26%</f>
        <v>0</v>
      </c>
      <c r="G40">
        <v>11.14</v>
      </c>
    </row>
    <row r="41" spans="2:18" x14ac:dyDescent="0.25">
      <c r="E41" s="194">
        <f>+C41*0.49%</f>
        <v>0</v>
      </c>
      <c r="G41">
        <v>112.29</v>
      </c>
    </row>
    <row r="42" spans="2:18" x14ac:dyDescent="0.25">
      <c r="E42" s="194">
        <f>+C42*92.53%</f>
        <v>0</v>
      </c>
      <c r="G42">
        <v>4.1900000000000004</v>
      </c>
    </row>
    <row r="47" spans="2:18" x14ac:dyDescent="0.25">
      <c r="D47" s="230">
        <f>+SUM(L4:L37)</f>
        <v>10501.610143273077</v>
      </c>
      <c r="E47" s="194" t="s">
        <v>546</v>
      </c>
    </row>
  </sheetData>
  <conditionalFormatting sqref="N4:N37">
    <cfRule type="cellIs" dxfId="0" priority="1" operator="equal">
      <formula>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9CF0-41E5-42A6-A8D5-CF8C8AC8C48F}">
  <dimension ref="A1:B14"/>
  <sheetViews>
    <sheetView workbookViewId="0"/>
  </sheetViews>
  <sheetFormatPr baseColWidth="10" defaultRowHeight="15" x14ac:dyDescent="0.25"/>
  <cols>
    <col min="1" max="2" width="12" bestFit="1" customWidth="1"/>
  </cols>
  <sheetData>
    <row r="1" spans="1:2" x14ac:dyDescent="0.25">
      <c r="A1" t="s">
        <v>569</v>
      </c>
      <c r="B1" t="s">
        <v>570</v>
      </c>
    </row>
    <row r="2" spans="1:2" x14ac:dyDescent="0.25">
      <c r="A2">
        <v>2018.0231850117098</v>
      </c>
      <c r="B2">
        <v>8114.7540983606559</v>
      </c>
    </row>
    <row r="3" spans="1:2" x14ac:dyDescent="0.25">
      <c r="A3">
        <v>2018.9135831381734</v>
      </c>
      <c r="B3">
        <v>19754.098360655738</v>
      </c>
    </row>
    <row r="4" spans="1:2" x14ac:dyDescent="0.25">
      <c r="A4">
        <v>2020.027400468384</v>
      </c>
      <c r="B4">
        <v>9590.163934426233</v>
      </c>
    </row>
    <row r="5" spans="1:2" x14ac:dyDescent="0.25">
      <c r="A5">
        <v>2021.0482435597191</v>
      </c>
      <c r="B5">
        <v>16885.245901639348</v>
      </c>
    </row>
    <row r="6" spans="1:2" x14ac:dyDescent="0.25">
      <c r="A6">
        <v>2022.0573770491803</v>
      </c>
      <c r="B6">
        <v>20081.967213114756</v>
      </c>
    </row>
    <row r="7" spans="1:2" x14ac:dyDescent="0.25">
      <c r="A7">
        <v>2023.1257611241219</v>
      </c>
      <c r="B7">
        <v>19016.393442622953</v>
      </c>
    </row>
    <row r="8" spans="1:2" x14ac:dyDescent="0.25">
      <c r="A8">
        <v>2023.9777517564403</v>
      </c>
      <c r="B8">
        <v>17213.114754098362</v>
      </c>
    </row>
    <row r="9" spans="1:2" x14ac:dyDescent="0.25">
      <c r="A9">
        <v>2024.9744730679158</v>
      </c>
      <c r="B9">
        <v>16065.573770491805</v>
      </c>
    </row>
    <row r="10" spans="1:2" x14ac:dyDescent="0.25">
      <c r="A10">
        <v>2029.9601873536301</v>
      </c>
      <c r="B10">
        <v>11065.573770491806</v>
      </c>
    </row>
    <row r="11" spans="1:2" x14ac:dyDescent="0.25">
      <c r="A11">
        <v>2035.0222482435597</v>
      </c>
      <c r="B11">
        <v>7786.8852459016416</v>
      </c>
    </row>
    <row r="12" spans="1:2" x14ac:dyDescent="0.25">
      <c r="A12">
        <v>2039.9440281030445</v>
      </c>
      <c r="B12">
        <v>5409.8360655737706</v>
      </c>
    </row>
    <row r="13" spans="1:2" x14ac:dyDescent="0.25">
      <c r="A13">
        <v>2045.0110070257613</v>
      </c>
      <c r="B13">
        <v>3852.4590163934445</v>
      </c>
    </row>
    <row r="14" spans="1:2" x14ac:dyDescent="0.25">
      <c r="A14">
        <v>2047.9374707259954</v>
      </c>
      <c r="B14">
        <v>3114.7540983606559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4BD2A-EC50-4959-85F2-E5E23D1683AA}">
  <dimension ref="B3:B16"/>
  <sheetViews>
    <sheetView showGridLines="0" zoomScale="145" zoomScaleNormal="145" workbookViewId="0">
      <selection activeCell="F4" sqref="F4"/>
    </sheetView>
  </sheetViews>
  <sheetFormatPr baseColWidth="10" defaultRowHeight="15" x14ac:dyDescent="0.25"/>
  <sheetData>
    <row r="3" spans="2:2" x14ac:dyDescent="0.25">
      <c r="B3" t="s">
        <v>555</v>
      </c>
    </row>
    <row r="4" spans="2:2" x14ac:dyDescent="0.25">
      <c r="B4" t="s">
        <v>556</v>
      </c>
    </row>
    <row r="5" spans="2:2" x14ac:dyDescent="0.25">
      <c r="B5" t="s">
        <v>557</v>
      </c>
    </row>
    <row r="6" spans="2:2" x14ac:dyDescent="0.25">
      <c r="B6" t="s">
        <v>558</v>
      </c>
    </row>
    <row r="7" spans="2:2" x14ac:dyDescent="0.25">
      <c r="B7" t="s">
        <v>559</v>
      </c>
    </row>
    <row r="8" spans="2:2" x14ac:dyDescent="0.25">
      <c r="B8" t="s">
        <v>560</v>
      </c>
    </row>
    <row r="9" spans="2:2" x14ac:dyDescent="0.25">
      <c r="B9" t="s">
        <v>561</v>
      </c>
    </row>
    <row r="10" spans="2:2" x14ac:dyDescent="0.25">
      <c r="B10" t="s">
        <v>562</v>
      </c>
    </row>
    <row r="11" spans="2:2" x14ac:dyDescent="0.25">
      <c r="B11" t="s">
        <v>563</v>
      </c>
    </row>
    <row r="12" spans="2:2" x14ac:dyDescent="0.25">
      <c r="B12" t="s">
        <v>564</v>
      </c>
    </row>
    <row r="13" spans="2:2" x14ac:dyDescent="0.25">
      <c r="B13" t="s">
        <v>565</v>
      </c>
    </row>
    <row r="14" spans="2:2" x14ac:dyDescent="0.25">
      <c r="B14" t="s">
        <v>566</v>
      </c>
    </row>
    <row r="15" spans="2:2" x14ac:dyDescent="0.25">
      <c r="B15" t="s">
        <v>567</v>
      </c>
    </row>
    <row r="16" spans="2:2" x14ac:dyDescent="0.25">
      <c r="B16" t="s">
        <v>568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96D657-DB62-4DE6-B95C-0D6EA3A783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Gasfield</vt:lpstr>
      <vt:lpstr>Oilfields</vt:lpstr>
      <vt:lpstr>General Oil_Gas_fields</vt:lpstr>
      <vt:lpstr>BD</vt:lpstr>
      <vt:lpstr>Compracion (2)</vt:lpstr>
      <vt:lpstr>Compracion</vt:lpstr>
      <vt:lpstr>GlobalData</vt:lpstr>
      <vt:lpstr>Datos de Imagenes</vt:lpstr>
      <vt:lpstr>Akacias_</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2022-11-09T20:51:36Z</dcterms:modified>
</cp:coreProperties>
</file>