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5.xml" ContentType="application/vnd.openxmlformats-officedocument.spreadsheetml.comments+xml"/>
  <Override PartName="/xl/threadedComments/threadedComment1.xml" ContentType="application/vnd.ms-excel.threaded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threadedComments/threadedComment2.xml" ContentType="application/vnd.ms-excel.threaded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F1233B54-942E-40C5-AD6C-8B7E53C5FE18}" xr6:coauthVersionLast="47" xr6:coauthVersionMax="47" xr10:uidLastSave="{00000000-0000-0000-0000-000000000000}"/>
  <bookViews>
    <workbookView xWindow="-120" yWindow="-120" windowWidth="29040" windowHeight="15840" firstSheet="2" activeTab="7" xr2:uid="{00000000-000D-0000-FFFF-FFFF00000000}"/>
  </bookViews>
  <sheets>
    <sheet name="COMM" sheetId="1" r:id="rId1"/>
    <sheet name="PROCESS" sheetId="4" r:id="rId2"/>
    <sheet name="Bases de Cálculo" sheetId="10" r:id="rId3"/>
    <sheet name="1. EXP_IMP" sheetId="5" r:id="rId4"/>
    <sheet name="2. DEM" sheetId="3" r:id="rId5"/>
    <sheet name="3. Scope3" sheetId="11" r:id="rId6"/>
    <sheet name="4. Refinery's Data" sheetId="16" r:id="rId7"/>
    <sheet name="Ref_Cart" sheetId="19" r:id="rId8"/>
    <sheet name="4. Refinery_Bar" sheetId="18" r:id="rId9"/>
  </sheets>
  <externalReferences>
    <externalReference r:id="rId10"/>
    <externalReference r:id="rId11"/>
  </externalReferences>
  <definedNames>
    <definedName name="ADDITIVE">[1]Definitions!$C$35</definedName>
    <definedName name="AGRICULT">[1]Definitions!$C$167</definedName>
    <definedName name="ANTCOAL">[1]Definitions!$C$13</definedName>
    <definedName name="AUTOCHP">[1]Definitions!$C$103</definedName>
    <definedName name="AUTOELEC">[1]Definitions!$C$101</definedName>
    <definedName name="AUTOHEAT">[1]Definitions!$C$105</definedName>
    <definedName name="AVBUNK">[1]Definitions!$C$92</definedName>
    <definedName name="AVGAS">[1]Definitions!$C$42</definedName>
    <definedName name="BIODIESEL">[1]Definitions!$C$65</definedName>
    <definedName name="BIOGASES">[1]Definitions!$C$62</definedName>
    <definedName name="BIOGASOL">[1]Definitions!$C$63</definedName>
    <definedName name="BIOJETKERO">[1]Definitions!$C$64</definedName>
    <definedName name="BITCOAL">[1]Definitions!$C$15</definedName>
    <definedName name="BITUMEN">[1]Definitions!$C$51</definedName>
    <definedName name="BKB">[1]Definitions!$C$22</definedName>
    <definedName name="BLFURGS">[1]Definitions!$C$25</definedName>
    <definedName name="CFHeadings">'[1]Conversion factors'!$B$4:$Q$4</definedName>
    <definedName name="CHARCOAL">[1]Definitions!$C$68</definedName>
    <definedName name="CHEMICAL">[1]Definitions!$C$145</definedName>
    <definedName name="COALTAR">[1]Definitions!$C$21</definedName>
    <definedName name="COKCOAL">[1]Definitions!$C$14</definedName>
    <definedName name="COKEOVGS">[1]Definitions!$C$24</definedName>
    <definedName name="COMMPUB">[1]Definitions!$C$166</definedName>
    <definedName name="CONSTRUC">[1]Definitions!$C$154</definedName>
    <definedName name="ConversionFactors">OFFSET('[1]Conversion factors'!$B$5,0,0,100,16)</definedName>
    <definedName name="CountryName">'[1]Main Menu'!$D$10</definedName>
    <definedName name="CRUDEOIL">[1]Definitions!$C$32</definedName>
    <definedName name="DataYear">'[1]Main Menu'!$D$12</definedName>
    <definedName name="DISTLOSS">[1]Definitions!$C$140</definedName>
    <definedName name="DOMESAIR">[1]Definitions!$C$158</definedName>
    <definedName name="DOMESNAV">[1]Definitions!$C$162</definedName>
    <definedName name="DOMSUP">[1]Definitions!$C$94</definedName>
    <definedName name="EBIOGAS">[1]Definitions!$C$128</definedName>
    <definedName name="EBKB">[1]Definitions!$C$130</definedName>
    <definedName name="EBLASTFUR">[1]Definitions!$C$129</definedName>
    <definedName name="ECHARCOAL">[1]Definitions!$C$138</definedName>
    <definedName name="ECOALLIQ">[1]Definitions!$C$132</definedName>
    <definedName name="ECOKEOVS">[1]Definitions!$C$126</definedName>
    <definedName name="EGASWKS">[1]Definitions!$C$127</definedName>
    <definedName name="EGTL">[1]Definitions!$C$134</definedName>
    <definedName name="ELECTR">[1]Definitions!$C$81</definedName>
    <definedName name="ELNG">[1]Definitions!$C$133</definedName>
    <definedName name="ELOUTPUT">[1]Definitions!$C$176</definedName>
    <definedName name="EMINES">[1]Definitions!$C$123</definedName>
    <definedName name="ENONSPEC">[1]Definitions!$C$139</definedName>
    <definedName name="ENUC">[1]Definitions!$C$137</definedName>
    <definedName name="EOILGASEX">[1]Definitions!$C$124</definedName>
    <definedName name="EPATFUEL">[1]Definitions!$C$125</definedName>
    <definedName name="EPOWERPLT">[1]Definitions!$C$135</definedName>
    <definedName name="EPUMPST">[1]Definitions!$C$136</definedName>
    <definedName name="EREFINER">[1]Definitions!$C$131</definedName>
    <definedName name="ETHANE">[1]Definitions!$C$39</definedName>
    <definedName name="EXPORTS">[1]Definitions!$C$90</definedName>
    <definedName name="FID_1">[2]AGR_Fuels!$A$2</definedName>
    <definedName name="FINCONS">[1]Definitions!$C$142</definedName>
    <definedName name="FISHING">[1]Definitions!$C$168</definedName>
    <definedName name="FOODPRO">[1]Definitions!$C$151</definedName>
    <definedName name="GASCOKE">[1]Definitions!$C$20</definedName>
    <definedName name="GASWKSGS">[1]Definitions!$C$23</definedName>
    <definedName name="GEOTHERM">[1]Definitions!$C$72</definedName>
    <definedName name="GWh_to_ktoe">'[1]Conversion factors'!$C$58</definedName>
    <definedName name="HEAT">[1]Definitions!$C$82</definedName>
    <definedName name="HEATNS">[1]Definitions!$C$83</definedName>
    <definedName name="HEATOUT">[1]Definitions!$C$177</definedName>
    <definedName name="HEATPUMP">[1]Definitions!$C$77</definedName>
    <definedName name="HYDRO">[1]Definitions!$C$71</definedName>
    <definedName name="IMPORTS">[1]Definitions!$C$89</definedName>
    <definedName name="INDPROD">[1]Definitions!$C$87</definedName>
    <definedName name="INDWASTE">[1]Definitions!$C$58</definedName>
    <definedName name="INONSPEC">[1]Definitions!$C$156</definedName>
    <definedName name="IRONSTL">[1]Definitions!$C$144</definedName>
    <definedName name="JETGAS">[1]Definitions!$C$43</definedName>
    <definedName name="LangChoice">'[1]Main Menu'!$L$3</definedName>
    <definedName name="LIGNITE">[1]Definitions!$C$17</definedName>
    <definedName name="LPG">[1]Definitions!$C$40</definedName>
    <definedName name="LUBRIC">[1]Definitions!$C$50</definedName>
    <definedName name="MACHINE">[1]Definitions!$C$149</definedName>
    <definedName name="MAINCHP">[1]Definitions!$C$102</definedName>
    <definedName name="MAINELEC">[1]Definitions!$C$100</definedName>
    <definedName name="MAINHEAT">[1]Definitions!$C$104</definedName>
    <definedName name="MANGAS">[1]Definitions!$C$27</definedName>
    <definedName name="MARBUNK">[1]Definitions!$C$91</definedName>
    <definedName name="MINING">[1]Definitions!$C$150</definedName>
    <definedName name="MJ_per_toe">41868</definedName>
    <definedName name="MUNWASTEN">[1]Definitions!$C$60</definedName>
    <definedName name="MUNWASTER">[1]Definitions!$C$59</definedName>
    <definedName name="NAPHTHA">[1]Definitions!$C$48</definedName>
    <definedName name="NATGAS">[1]Definitions!$C$56</definedName>
    <definedName name="NECHEM">[1]Definitions!$C$174</definedName>
    <definedName name="NEINTREN">[1]Definitions!$C$171</definedName>
    <definedName name="NEOTHER">[1]Definitions!$C$173</definedName>
    <definedName name="NETRANS">[1]Definitions!$C$172</definedName>
    <definedName name="NGL">[1]Definitions!$C$33</definedName>
    <definedName name="NONBIODIES">[1]Definitions!$C$46</definedName>
    <definedName name="NONBIOGASO">[1]Definitions!$C$41</definedName>
    <definedName name="NONBIOJETK">[1]Definitions!$C$44</definedName>
    <definedName name="NONCRUDE">[1]Definitions!$C$36</definedName>
    <definedName name="NONENUSE">[1]Definitions!$C$170</definedName>
    <definedName name="NONFERR">[1]Definitions!$C$146</definedName>
    <definedName name="NONMET">[1]Definitions!$C$147</definedName>
    <definedName name="NUCLEAR">[1]Definitions!$C$70</definedName>
    <definedName name="OBIOLIQ">[1]Definitions!$C$66</definedName>
    <definedName name="OGASES">[1]Definitions!$C$26</definedName>
    <definedName name="OILSHALE">[1]Definitions!$C$30</definedName>
    <definedName name="ONONSPEC">[1]Definitions!$C$54</definedName>
    <definedName name="OTHER">[1]Definitions!$C$80</definedName>
    <definedName name="OTHKERO">[1]Definitions!$C$45</definedName>
    <definedName name="OTHNONSPEC">[1]Definitions!$C$169</definedName>
    <definedName name="OVENCOKE">[1]Definitions!$C$19</definedName>
    <definedName name="PAPERPRO">[1]Definitions!$C$152</definedName>
    <definedName name="PARWAX">[1]Definitions!$C$52</definedName>
    <definedName name="PATFUEL">[1]Definitions!$C$18</definedName>
    <definedName name="PEAT">[1]Definitions!$C$28</definedName>
    <definedName name="PEATPROD">[1]Definitions!$C$29</definedName>
    <definedName name="PETCOKE">[1]Definitions!$C$53</definedName>
    <definedName name="PIPELINE">[1]Definitions!$C$161</definedName>
    <definedName name="PRIMSBIO">[1]Definitions!$C$61</definedName>
    <definedName name="RAIL">[1]Definitions!$C$160</definedName>
    <definedName name="RawData">'[1]Data in physical units'!$B$5:$BP$106</definedName>
    <definedName name="RawDataHeadings">'[1]Data in physical units'!$B$4:$BP$4</definedName>
    <definedName name="REFFEEDS">[1]Definitions!$C$34</definedName>
    <definedName name="REFINGAS">[1]Definitions!$C$38</definedName>
    <definedName name="RENEWNS">[1]Definitions!$C$67</definedName>
    <definedName name="RESFUEL">[1]Definitions!$C$47</definedName>
    <definedName name="RESIDENT">[1]Definitions!$C$165</definedName>
    <definedName name="ROAD">[1]Definitions!$C$159</definedName>
    <definedName name="SOLARPV">[1]Definitions!$C$73</definedName>
    <definedName name="SOLARTH">[1]Definitions!$C$74</definedName>
    <definedName name="STATDIFF">[1]Definitions!$C$97</definedName>
    <definedName name="STOCKCHA">[1]Definitions!$C$93</definedName>
    <definedName name="SUBCOAL">[1]Definitions!$C$16</definedName>
    <definedName name="TBKB">[1]Definitions!$C$114</definedName>
    <definedName name="TBLASTFUR">[1]Definitions!$C$112</definedName>
    <definedName name="TBLENDGAS">[1]Definitions!$C$118</definedName>
    <definedName name="TBOILER">[1]Definitions!$C$107</definedName>
    <definedName name="TCHARCOAL">[1]Definitions!$C$119</definedName>
    <definedName name="TCOALLIQ">[1]Definitions!$C$116</definedName>
    <definedName name="TCOKEOVS">[1]Definitions!$C$110</definedName>
    <definedName name="TELE">[1]Definitions!$C$108</definedName>
    <definedName name="TEXTILES">[1]Definitions!$C$155</definedName>
    <definedName name="TGASWKS">[1]Definitions!$C$111</definedName>
    <definedName name="TGTL">[1]Definitions!$C$117</definedName>
    <definedName name="THEAT">[1]Definitions!$C$106</definedName>
    <definedName name="TIDE">[1]Definitions!$C$75</definedName>
    <definedName name="TJ_to_ktoe">'[1]Conversion factors'!$C$56</definedName>
    <definedName name="TNONSPEC">[1]Definitions!$C$120</definedName>
    <definedName name="TOTENGY">[1]Definitions!$C$122</definedName>
    <definedName name="TOTIND">[1]Definitions!$C$143</definedName>
    <definedName name="TOTOTHER">[1]Definitions!$C$164</definedName>
    <definedName name="TOTTRANF">[1]Definitions!$C$99</definedName>
    <definedName name="TOTTRANS">[1]Definitions!$C$157</definedName>
    <definedName name="TPATFUEL">[1]Definitions!$C$109</definedName>
    <definedName name="TPES">[1]Definitions!$C$95</definedName>
    <definedName name="TPETCHEM">[1]Definitions!$C$113</definedName>
    <definedName name="TRANSEQ">[1]Definitions!$C$148</definedName>
    <definedName name="TRANSFER">[1]Definitions!$C$96</definedName>
    <definedName name="TREFINER">[1]Definitions!$C$115</definedName>
    <definedName name="TRNONSPE">[1]Definitions!$C$163</definedName>
    <definedName name="WHITESP">[1]Definitions!$C$49</definedName>
    <definedName name="WIND">[1]Definitions!$C$76</definedName>
    <definedName name="WOODPRO">[1]Definitions!$C$153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50" i="19" l="1"/>
  <c r="P149" i="19"/>
  <c r="R144" i="19"/>
  <c r="Q143" i="19"/>
  <c r="O136" i="19"/>
  <c r="Q132" i="19"/>
  <c r="Q130" i="19"/>
  <c r="O130" i="19"/>
  <c r="O131" i="19"/>
  <c r="O110" i="19" l="1"/>
  <c r="P110" i="19" s="1"/>
  <c r="O107" i="19"/>
  <c r="P107" i="19" s="1"/>
  <c r="R117" i="19" s="1"/>
  <c r="O85" i="19"/>
  <c r="O62" i="19"/>
  <c r="P54" i="19" s="1"/>
  <c r="N62" i="19"/>
  <c r="Q58" i="19" s="1"/>
  <c r="O34" i="19"/>
  <c r="X107" i="19" s="1"/>
  <c r="E81" i="18"/>
  <c r="E79" i="18"/>
  <c r="E78" i="18"/>
  <c r="G75" i="18"/>
  <c r="O194" i="19"/>
  <c r="O195" i="19" s="1"/>
  <c r="B125" i="19"/>
  <c r="B126" i="19" s="1"/>
  <c r="B127" i="19" s="1"/>
  <c r="D127" i="19" s="1"/>
  <c r="Q57" i="19" l="1"/>
  <c r="X109" i="19"/>
  <c r="X110" i="19" s="1"/>
  <c r="X111" i="19" s="1"/>
  <c r="X112" i="19" s="1"/>
  <c r="Q56" i="19"/>
  <c r="O89" i="19"/>
  <c r="P89" i="19"/>
  <c r="B129" i="19"/>
  <c r="Q54" i="19"/>
  <c r="Q59" i="19"/>
  <c r="Q55" i="19"/>
  <c r="N63" i="19"/>
  <c r="N64" i="19" s="1"/>
  <c r="O88" i="19" s="1"/>
  <c r="P34" i="19"/>
  <c r="S34" i="19"/>
  <c r="F72" i="19"/>
  <c r="F73" i="19" s="1"/>
  <c r="F63" i="19"/>
  <c r="Q62" i="19" l="1"/>
  <c r="P59" i="19"/>
  <c r="P71" i="19" s="1"/>
  <c r="F53" i="19"/>
  <c r="E53" i="19"/>
  <c r="F48" i="19"/>
  <c r="E48" i="19"/>
  <c r="O42" i="19"/>
  <c r="R35" i="18"/>
  <c r="O11" i="19"/>
  <c r="Q22" i="19" s="1"/>
  <c r="F94" i="19"/>
  <c r="D89" i="19"/>
  <c r="D85" i="19"/>
  <c r="D86" i="19" s="1"/>
  <c r="D94" i="19" s="1"/>
  <c r="O33" i="19"/>
  <c r="R99" i="19"/>
  <c r="O97" i="19"/>
  <c r="N97" i="19"/>
  <c r="O41" i="19"/>
  <c r="O40" i="19"/>
  <c r="N22" i="19"/>
  <c r="F17" i="19"/>
  <c r="E17" i="19"/>
  <c r="D17" i="19"/>
  <c r="F16" i="19"/>
  <c r="E16" i="19"/>
  <c r="D16" i="19"/>
  <c r="F15" i="19"/>
  <c r="E15" i="19"/>
  <c r="D15" i="19"/>
  <c r="C15" i="19"/>
  <c r="F14" i="19"/>
  <c r="E14" i="19"/>
  <c r="D14" i="19"/>
  <c r="C14" i="19"/>
  <c r="F13" i="19"/>
  <c r="E13" i="19"/>
  <c r="D13" i="19"/>
  <c r="C13" i="19"/>
  <c r="F12" i="19"/>
  <c r="E12" i="19"/>
  <c r="D12" i="19"/>
  <c r="C12" i="19"/>
  <c r="F11" i="19"/>
  <c r="E11" i="19"/>
  <c r="D11" i="19"/>
  <c r="C11" i="19"/>
  <c r="D10" i="19"/>
  <c r="C10" i="19"/>
  <c r="O22" i="19" s="1"/>
  <c r="D9" i="19"/>
  <c r="C9" i="19"/>
  <c r="O23" i="19" s="1"/>
  <c r="F8" i="19"/>
  <c r="F9" i="19" s="1"/>
  <c r="F10" i="19" s="1"/>
  <c r="E8" i="19"/>
  <c r="D8" i="19"/>
  <c r="C8" i="19"/>
  <c r="O24" i="19" s="1"/>
  <c r="F7" i="19"/>
  <c r="E7" i="19"/>
  <c r="D7" i="19"/>
  <c r="C7" i="19"/>
  <c r="F6" i="19"/>
  <c r="E6" i="19"/>
  <c r="D6" i="19"/>
  <c r="F5" i="19"/>
  <c r="F4" i="19"/>
  <c r="E4" i="19"/>
  <c r="Q77" i="18"/>
  <c r="Q76" i="18"/>
  <c r="Q69" i="18"/>
  <c r="T69" i="18"/>
  <c r="Q68" i="18"/>
  <c r="Q67" i="18"/>
  <c r="Q66" i="18"/>
  <c r="Q65" i="18"/>
  <c r="F62" i="19" l="1"/>
  <c r="F65" i="19" s="1"/>
  <c r="F67" i="19" s="1"/>
  <c r="F69" i="19" s="1"/>
  <c r="S33" i="19"/>
  <c r="Q131" i="19"/>
  <c r="P33" i="19"/>
  <c r="O63" i="19"/>
  <c r="O64" i="19" s="1"/>
  <c r="P88" i="19" s="1"/>
  <c r="P58" i="19"/>
  <c r="P75" i="19" s="1"/>
  <c r="P57" i="19"/>
  <c r="P74" i="19" s="1"/>
  <c r="P56" i="19"/>
  <c r="P73" i="19" s="1"/>
  <c r="P60" i="19"/>
  <c r="P76" i="19" s="1"/>
  <c r="P55" i="19"/>
  <c r="E9" i="19"/>
  <c r="E10" i="19" s="1"/>
  <c r="P32" i="19"/>
  <c r="P41" i="19" s="1"/>
  <c r="P72" i="19" l="1"/>
  <c r="P78" i="19" s="1"/>
  <c r="P62" i="19"/>
  <c r="P84" i="19"/>
  <c r="R96" i="19" s="1"/>
  <c r="P83" i="19"/>
  <c r="Q97" i="19" s="1"/>
  <c r="P40" i="19"/>
  <c r="R98" i="19" s="1"/>
  <c r="R34" i="19"/>
  <c r="P42" i="19"/>
  <c r="R33" i="19"/>
  <c r="P44" i="19" l="1"/>
  <c r="D93" i="19"/>
  <c r="T51" i="18"/>
  <c r="H52" i="16"/>
  <c r="E52" i="16"/>
  <c r="E51" i="16"/>
  <c r="D51" i="16"/>
  <c r="I47" i="16"/>
  <c r="P53" i="18"/>
  <c r="P52" i="18"/>
  <c r="P49" i="18"/>
  <c r="P56" i="18" s="1"/>
  <c r="O64" i="18"/>
  <c r="O65" i="18" s="1"/>
  <c r="O63" i="18"/>
  <c r="O62" i="18"/>
  <c r="R33" i="18"/>
  <c r="N42" i="18"/>
  <c r="N43" i="18"/>
  <c r="N44" i="18"/>
  <c r="N41" i="18"/>
  <c r="N35" i="18"/>
  <c r="R37" i="18" s="1"/>
  <c r="M85" i="18"/>
  <c r="N85" i="18"/>
  <c r="Q87" i="18"/>
  <c r="N73" i="18"/>
  <c r="P22" i="18"/>
  <c r="C7" i="18"/>
  <c r="C8" i="18"/>
  <c r="N24" i="18" s="1"/>
  <c r="C9" i="18"/>
  <c r="N23" i="18" s="1"/>
  <c r="C10" i="18"/>
  <c r="N22" i="18" s="1"/>
  <c r="C11" i="18"/>
  <c r="C12" i="18"/>
  <c r="C13" i="18"/>
  <c r="C14" i="18"/>
  <c r="C15" i="18"/>
  <c r="M22" i="18"/>
  <c r="E5" i="18"/>
  <c r="F5" i="18"/>
  <c r="D6" i="18"/>
  <c r="E6" i="18"/>
  <c r="F6" i="18"/>
  <c r="D7" i="18"/>
  <c r="E7" i="18"/>
  <c r="F7" i="18"/>
  <c r="D8" i="18"/>
  <c r="E8" i="18"/>
  <c r="E9" i="18" s="1"/>
  <c r="E10" i="18" s="1"/>
  <c r="R72" i="18" s="1"/>
  <c r="Q84" i="18" s="1"/>
  <c r="F8" i="18"/>
  <c r="F9" i="18" s="1"/>
  <c r="F10" i="18" s="1"/>
  <c r="D9" i="18"/>
  <c r="D10" i="18"/>
  <c r="D11" i="18"/>
  <c r="E11" i="18"/>
  <c r="R51" i="18" s="1"/>
  <c r="F11" i="18"/>
  <c r="D12" i="18"/>
  <c r="E12" i="18"/>
  <c r="R52" i="18" s="1"/>
  <c r="T52" i="18" s="1"/>
  <c r="F12" i="18"/>
  <c r="D13" i="18"/>
  <c r="E13" i="18"/>
  <c r="R53" i="18" s="1"/>
  <c r="T53" i="18" s="1"/>
  <c r="F13" i="18"/>
  <c r="D14" i="18"/>
  <c r="E14" i="18"/>
  <c r="F14" i="18"/>
  <c r="D15" i="18"/>
  <c r="E15" i="18"/>
  <c r="F15" i="18"/>
  <c r="D16" i="18"/>
  <c r="E16" i="18"/>
  <c r="F16" i="18"/>
  <c r="D17" i="18"/>
  <c r="E17" i="18"/>
  <c r="F17" i="18"/>
  <c r="F96" i="19" l="1"/>
  <c r="D96" i="19"/>
  <c r="O66" i="18"/>
  <c r="O68" i="18"/>
  <c r="P55" i="18"/>
  <c r="P51" i="18"/>
  <c r="R32" i="18"/>
  <c r="O41" i="18" s="1"/>
  <c r="O67" i="18"/>
  <c r="R50" i="18"/>
  <c r="R58" i="18" s="1"/>
  <c r="R71" i="18"/>
  <c r="P85" i="18" s="1"/>
  <c r="O44" i="18" l="1"/>
  <c r="R36" i="18"/>
  <c r="R34" i="18"/>
  <c r="O42" i="18"/>
  <c r="O43" i="18"/>
  <c r="E4" i="18" l="1"/>
  <c r="F4" i="18"/>
  <c r="L71" i="16"/>
  <c r="J75" i="16"/>
  <c r="E36" i="16"/>
  <c r="D36" i="16"/>
  <c r="E33" i="16"/>
  <c r="D33" i="16"/>
  <c r="E86" i="16"/>
  <c r="D86" i="16"/>
  <c r="D80" i="16"/>
  <c r="E74" i="16"/>
  <c r="D74" i="16"/>
  <c r="G65" i="16"/>
  <c r="G66" i="16"/>
  <c r="G67" i="16"/>
  <c r="G64" i="16"/>
  <c r="D68" i="16"/>
  <c r="E68" i="16"/>
  <c r="E16" i="16"/>
  <c r="F8" i="16"/>
  <c r="F7" i="16"/>
  <c r="E9" i="16" l="1"/>
  <c r="E15" i="16" s="1"/>
  <c r="D9" i="16"/>
  <c r="D15" i="16" s="1"/>
  <c r="F9" i="16" l="1"/>
  <c r="F15" i="16" s="1"/>
  <c r="AP34" i="10" l="1"/>
  <c r="AN34" i="10"/>
  <c r="AN30" i="10"/>
  <c r="AP30" i="10" s="1"/>
  <c r="AL35" i="10"/>
  <c r="AN35" i="10" s="1"/>
  <c r="AP35" i="10" s="1"/>
  <c r="AL34" i="10"/>
  <c r="AL31" i="10"/>
  <c r="AN31" i="10" s="1"/>
  <c r="AL30" i="10"/>
  <c r="AP37" i="10" l="1"/>
  <c r="AP31" i="10"/>
  <c r="AR31" i="10"/>
  <c r="AN19" i="10"/>
  <c r="AN22" i="10"/>
  <c r="AN23" i="10"/>
  <c r="AN24" i="10" s="1"/>
  <c r="AN18" i="10"/>
  <c r="AL20" i="10"/>
  <c r="AN20" i="10" s="1"/>
  <c r="AL14" i="10" l="1"/>
  <c r="AL15" i="10" s="1"/>
  <c r="AL27" i="10" s="1"/>
  <c r="J7" i="10"/>
  <c r="L54" i="5"/>
  <c r="L53" i="5"/>
  <c r="L40" i="5"/>
  <c r="C22" i="10" l="1"/>
  <c r="P89" i="3"/>
  <c r="T89" i="3"/>
  <c r="P87" i="3"/>
  <c r="T87" i="3"/>
  <c r="O77" i="3"/>
  <c r="T77" i="3"/>
  <c r="Q79" i="3"/>
  <c r="M79" i="3"/>
  <c r="P70" i="3"/>
  <c r="T70" i="3"/>
  <c r="P68" i="3"/>
  <c r="T68" i="3"/>
  <c r="D74" i="3"/>
  <c r="M68" i="3" s="1"/>
  <c r="D73" i="3"/>
  <c r="Q89" i="3" s="1"/>
  <c r="P26" i="3"/>
  <c r="P27" i="3"/>
  <c r="F26" i="11"/>
  <c r="E26" i="11"/>
  <c r="D26" i="11"/>
  <c r="C26" i="11"/>
  <c r="K19" i="3"/>
  <c r="K17" i="3"/>
  <c r="G29" i="10"/>
  <c r="F29" i="10"/>
  <c r="F18" i="10"/>
  <c r="D32" i="10"/>
  <c r="C32" i="10"/>
  <c r="F28" i="10" s="1"/>
  <c r="B26" i="11"/>
  <c r="B4" i="11" a="1"/>
  <c r="B4" i="11" s="1"/>
  <c r="S68" i="3" l="1"/>
  <c r="O68" i="3"/>
  <c r="S70" i="3"/>
  <c r="O70" i="3"/>
  <c r="T79" i="3"/>
  <c r="P79" i="3"/>
  <c r="R77" i="3"/>
  <c r="N77" i="3"/>
  <c r="S87" i="3"/>
  <c r="O87" i="3"/>
  <c r="S89" i="3"/>
  <c r="O89" i="3"/>
  <c r="R68" i="3"/>
  <c r="N68" i="3"/>
  <c r="R70" i="3"/>
  <c r="N70" i="3"/>
  <c r="S79" i="3"/>
  <c r="O79" i="3"/>
  <c r="Q77" i="3"/>
  <c r="S77" i="3"/>
  <c r="R87" i="3"/>
  <c r="N87" i="3"/>
  <c r="R89" i="3"/>
  <c r="N89" i="3"/>
  <c r="Q68" i="3"/>
  <c r="M70" i="3"/>
  <c r="Q70" i="3"/>
  <c r="M77" i="3"/>
  <c r="R79" i="3"/>
  <c r="N79" i="3"/>
  <c r="P77" i="3"/>
  <c r="M87" i="3"/>
  <c r="Q87" i="3"/>
  <c r="M89" i="3"/>
  <c r="G28" i="10"/>
  <c r="F14" i="11"/>
  <c r="M65" i="5" l="1"/>
  <c r="N65" i="5"/>
  <c r="O65" i="5"/>
  <c r="P65" i="5"/>
  <c r="Q65" i="5"/>
  <c r="R65" i="5"/>
  <c r="S65" i="5"/>
  <c r="L65" i="5"/>
  <c r="L55" i="5"/>
  <c r="L56" i="5"/>
  <c r="L57" i="5"/>
  <c r="L58" i="5"/>
  <c r="L59" i="5"/>
  <c r="Q127" i="5"/>
  <c r="L127" i="5"/>
  <c r="K127" i="5"/>
  <c r="J127" i="5"/>
  <c r="M127" i="5"/>
  <c r="N127" i="5"/>
  <c r="O127" i="5"/>
  <c r="P127" i="5"/>
  <c r="J126" i="5"/>
  <c r="I127" i="5"/>
  <c r="J52" i="5" l="1"/>
  <c r="K65" i="5" s="1"/>
  <c r="H11" i="3"/>
  <c r="P11" i="3" s="1"/>
  <c r="G24" i="10" l="1"/>
  <c r="G14" i="11" s="1"/>
  <c r="G25" i="10" l="1"/>
  <c r="N53" i="10" l="1"/>
  <c r="N46" i="10"/>
  <c r="N49" i="10"/>
  <c r="N50" i="10"/>
  <c r="N51" i="10"/>
  <c r="N52" i="10"/>
  <c r="N54" i="10"/>
  <c r="N55" i="10"/>
  <c r="N45" i="10"/>
  <c r="I45" i="10"/>
  <c r="F127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P216" i="10"/>
  <c r="N216" i="10"/>
  <c r="G216" i="10"/>
  <c r="K216" i="10" s="1"/>
  <c r="P215" i="10"/>
  <c r="N215" i="10"/>
  <c r="G215" i="10"/>
  <c r="J215" i="10" s="1"/>
  <c r="P214" i="10"/>
  <c r="N214" i="10"/>
  <c r="G214" i="10"/>
  <c r="P213" i="10"/>
  <c r="N213" i="10"/>
  <c r="G213" i="10"/>
  <c r="K213" i="10" s="1"/>
  <c r="P212" i="10"/>
  <c r="N212" i="10"/>
  <c r="S115" i="10" s="1"/>
  <c r="G212" i="10"/>
  <c r="J212" i="10" s="1"/>
  <c r="P211" i="10"/>
  <c r="N211" i="10"/>
  <c r="G211" i="10"/>
  <c r="J211" i="10" s="1"/>
  <c r="P210" i="10"/>
  <c r="N210" i="10"/>
  <c r="S113" i="10" s="1"/>
  <c r="G210" i="10"/>
  <c r="P209" i="10"/>
  <c r="N209" i="10"/>
  <c r="G209" i="10"/>
  <c r="K209" i="10" s="1"/>
  <c r="P208" i="10"/>
  <c r="N208" i="10"/>
  <c r="G208" i="10"/>
  <c r="J208" i="10" s="1"/>
  <c r="P207" i="10"/>
  <c r="N207" i="10"/>
  <c r="G207" i="10"/>
  <c r="J207" i="10" s="1"/>
  <c r="P206" i="10"/>
  <c r="N206" i="10"/>
  <c r="G206" i="10"/>
  <c r="P205" i="10"/>
  <c r="N205" i="10"/>
  <c r="G205" i="10"/>
  <c r="J205" i="10" s="1"/>
  <c r="P204" i="10"/>
  <c r="N204" i="10"/>
  <c r="G204" i="10"/>
  <c r="J204" i="10" s="1"/>
  <c r="P203" i="10"/>
  <c r="N203" i="10"/>
  <c r="S109" i="10" s="1"/>
  <c r="G203" i="10"/>
  <c r="J203" i="10" s="1"/>
  <c r="P202" i="10"/>
  <c r="N202" i="10"/>
  <c r="G202" i="10"/>
  <c r="P201" i="10"/>
  <c r="N201" i="10"/>
  <c r="G201" i="10"/>
  <c r="K201" i="10" s="1"/>
  <c r="P200" i="10"/>
  <c r="N200" i="10"/>
  <c r="G200" i="10"/>
  <c r="J200" i="10" s="1"/>
  <c r="P199" i="10"/>
  <c r="N199" i="10"/>
  <c r="G199" i="10"/>
  <c r="J199" i="10" s="1"/>
  <c r="P198" i="10"/>
  <c r="N198" i="10"/>
  <c r="G198" i="10"/>
  <c r="P197" i="10"/>
  <c r="N197" i="10"/>
  <c r="G197" i="10"/>
  <c r="K197" i="10" s="1"/>
  <c r="P196" i="10"/>
  <c r="N196" i="10"/>
  <c r="G196" i="10"/>
  <c r="J196" i="10" s="1"/>
  <c r="P195" i="10"/>
  <c r="N195" i="10"/>
  <c r="G195" i="10"/>
  <c r="J195" i="10" s="1"/>
  <c r="P194" i="10"/>
  <c r="N194" i="10"/>
  <c r="G194" i="10"/>
  <c r="P193" i="10"/>
  <c r="N193" i="10"/>
  <c r="G193" i="10"/>
  <c r="K193" i="10" s="1"/>
  <c r="P192" i="10"/>
  <c r="N192" i="10"/>
  <c r="S110" i="10" s="1"/>
  <c r="G192" i="10"/>
  <c r="J192" i="10" s="1"/>
  <c r="P191" i="10"/>
  <c r="N191" i="10"/>
  <c r="P190" i="10"/>
  <c r="N190" i="10"/>
  <c r="E190" i="10"/>
  <c r="P189" i="10"/>
  <c r="N189" i="10"/>
  <c r="H189" i="10"/>
  <c r="G189" i="10"/>
  <c r="P188" i="10"/>
  <c r="N188" i="10"/>
  <c r="H188" i="10"/>
  <c r="G188" i="10"/>
  <c r="P187" i="10"/>
  <c r="N187" i="10"/>
  <c r="H187" i="10"/>
  <c r="G187" i="10"/>
  <c r="P186" i="10"/>
  <c r="N186" i="10"/>
  <c r="H186" i="10"/>
  <c r="G186" i="10"/>
  <c r="P185" i="10"/>
  <c r="N185" i="10"/>
  <c r="H185" i="10"/>
  <c r="G185" i="10"/>
  <c r="P184" i="10"/>
  <c r="N184" i="10"/>
  <c r="H184" i="10"/>
  <c r="G184" i="10"/>
  <c r="P183" i="10"/>
  <c r="N183" i="10"/>
  <c r="H183" i="10"/>
  <c r="G183" i="10"/>
  <c r="P182" i="10"/>
  <c r="N182" i="10"/>
  <c r="H182" i="10"/>
  <c r="G182" i="10"/>
  <c r="P181" i="10"/>
  <c r="N181" i="10"/>
  <c r="H181" i="10"/>
  <c r="G181" i="10"/>
  <c r="P180" i="10"/>
  <c r="N180" i="10"/>
  <c r="H180" i="10"/>
  <c r="G180" i="10"/>
  <c r="P179" i="10"/>
  <c r="N179" i="10"/>
  <c r="H179" i="10"/>
  <c r="G179" i="10"/>
  <c r="P178" i="10"/>
  <c r="N178" i="10"/>
  <c r="H178" i="10"/>
  <c r="G178" i="10"/>
  <c r="P177" i="10"/>
  <c r="N177" i="10"/>
  <c r="H177" i="10"/>
  <c r="G177" i="10"/>
  <c r="P176" i="10"/>
  <c r="N176" i="10"/>
  <c r="H176" i="10"/>
  <c r="G176" i="10"/>
  <c r="P175" i="10"/>
  <c r="N175" i="10"/>
  <c r="H175" i="10"/>
  <c r="G175" i="10"/>
  <c r="P173" i="10"/>
  <c r="N173" i="10"/>
  <c r="E173" i="10"/>
  <c r="P172" i="10"/>
  <c r="N172" i="10"/>
  <c r="E172" i="10"/>
  <c r="P171" i="10"/>
  <c r="N171" i="10"/>
  <c r="E171" i="10"/>
  <c r="P170" i="10"/>
  <c r="N170" i="10"/>
  <c r="E170" i="10"/>
  <c r="P169" i="10"/>
  <c r="N169" i="10"/>
  <c r="E169" i="10"/>
  <c r="P168" i="10"/>
  <c r="N168" i="10"/>
  <c r="E168" i="10"/>
  <c r="P167" i="10"/>
  <c r="N167" i="10"/>
  <c r="E167" i="10"/>
  <c r="P166" i="10"/>
  <c r="N166" i="10"/>
  <c r="S111" i="10" s="1"/>
  <c r="E166" i="10"/>
  <c r="P165" i="10"/>
  <c r="N165" i="10"/>
  <c r="E165" i="10"/>
  <c r="P164" i="10"/>
  <c r="N164" i="10"/>
  <c r="E164" i="10"/>
  <c r="P163" i="10"/>
  <c r="N163" i="10"/>
  <c r="E163" i="10"/>
  <c r="P162" i="10"/>
  <c r="N162" i="10"/>
  <c r="E162" i="10"/>
  <c r="P161" i="10"/>
  <c r="N161" i="10"/>
  <c r="E161" i="10"/>
  <c r="P160" i="10"/>
  <c r="N160" i="10"/>
  <c r="E160" i="10"/>
  <c r="P159" i="10"/>
  <c r="N159" i="10"/>
  <c r="E159" i="10"/>
  <c r="P158" i="10"/>
  <c r="N158" i="10"/>
  <c r="E158" i="10"/>
  <c r="P157" i="10"/>
  <c r="N157" i="10"/>
  <c r="E157" i="10"/>
  <c r="H152" i="10"/>
  <c r="H149" i="10"/>
  <c r="R148" i="10"/>
  <c r="H146" i="10"/>
  <c r="H143" i="10"/>
  <c r="G170" i="10" s="1"/>
  <c r="B141" i="10" a="1"/>
  <c r="L138" i="10"/>
  <c r="K138" i="10" s="1"/>
  <c r="F138" i="10"/>
  <c r="H138" i="10" s="1"/>
  <c r="J138" i="10" s="1"/>
  <c r="N137" i="10"/>
  <c r="M137" i="10"/>
  <c r="G137" i="10"/>
  <c r="E137" i="10"/>
  <c r="D137" i="10"/>
  <c r="L136" i="10"/>
  <c r="F51" i="10" s="1"/>
  <c r="G12" i="10" s="1"/>
  <c r="G6" i="11" s="1"/>
  <c r="G135" i="10"/>
  <c r="E135" i="10"/>
  <c r="D135" i="10"/>
  <c r="L134" i="10"/>
  <c r="F49" i="10" s="1"/>
  <c r="G10" i="10" s="1"/>
  <c r="L133" i="10"/>
  <c r="F52" i="10" s="1"/>
  <c r="G13" i="10" s="1"/>
  <c r="G7" i="11" s="1"/>
  <c r="L132" i="10"/>
  <c r="K132" i="10" s="1"/>
  <c r="F132" i="10"/>
  <c r="F137" i="10" s="1"/>
  <c r="L131" i="10"/>
  <c r="F53" i="10" s="1"/>
  <c r="G14" i="10" s="1"/>
  <c r="G8" i="11" s="1"/>
  <c r="K130" i="10"/>
  <c r="F130" i="10"/>
  <c r="H130" i="10" s="1"/>
  <c r="J130" i="10" s="1"/>
  <c r="K129" i="10"/>
  <c r="F129" i="10"/>
  <c r="I129" i="10" s="1"/>
  <c r="L128" i="10"/>
  <c r="F50" i="10" s="1"/>
  <c r="G11" i="10" s="1"/>
  <c r="L127" i="10"/>
  <c r="K127" i="10" s="1"/>
  <c r="L126" i="10"/>
  <c r="K126" i="10" s="1"/>
  <c r="F126" i="10"/>
  <c r="I126" i="10" s="1"/>
  <c r="L125" i="10"/>
  <c r="F55" i="10" s="1"/>
  <c r="L124" i="10"/>
  <c r="F54" i="10" s="1"/>
  <c r="G15" i="10" s="1"/>
  <c r="G122" i="10"/>
  <c r="E122" i="10"/>
  <c r="G121" i="10"/>
  <c r="E121" i="10"/>
  <c r="K120" i="10"/>
  <c r="F120" i="10"/>
  <c r="I120" i="10" s="1"/>
  <c r="L119" i="10"/>
  <c r="L118" i="10"/>
  <c r="L117" i="10"/>
  <c r="E116" i="10"/>
  <c r="D116" i="10"/>
  <c r="K115" i="10"/>
  <c r="F115" i="10"/>
  <c r="I115" i="10" s="1"/>
  <c r="L114" i="10"/>
  <c r="F46" i="10" s="1"/>
  <c r="G7" i="10" s="1"/>
  <c r="G10" i="11" s="1"/>
  <c r="L113" i="10"/>
  <c r="K112" i="10"/>
  <c r="F112" i="10"/>
  <c r="I112" i="10" s="1"/>
  <c r="L111" i="10"/>
  <c r="F45" i="10" s="1"/>
  <c r="G6" i="10" s="1"/>
  <c r="G9" i="11" s="1"/>
  <c r="L110" i="10"/>
  <c r="L109" i="10"/>
  <c r="W105" i="10"/>
  <c r="G17" i="10" l="1"/>
  <c r="G16" i="10"/>
  <c r="F56" i="10"/>
  <c r="G117" i="10"/>
  <c r="F117" i="10" s="1"/>
  <c r="I117" i="10" s="1"/>
  <c r="K192" i="10"/>
  <c r="J193" i="10"/>
  <c r="I185" i="10"/>
  <c r="K185" i="10" s="1"/>
  <c r="G110" i="10"/>
  <c r="F110" i="10" s="1"/>
  <c r="I110" i="10" s="1"/>
  <c r="K208" i="10"/>
  <c r="J209" i="10"/>
  <c r="F122" i="10"/>
  <c r="F121" i="10"/>
  <c r="K200" i="10"/>
  <c r="J201" i="10"/>
  <c r="G109" i="10"/>
  <c r="F109" i="10" s="1"/>
  <c r="H109" i="10" s="1"/>
  <c r="J109" i="10" s="1"/>
  <c r="I130" i="10"/>
  <c r="H132" i="10"/>
  <c r="H135" i="10" s="1"/>
  <c r="T129" i="10"/>
  <c r="G118" i="10"/>
  <c r="F118" i="10" s="1"/>
  <c r="I118" i="10" s="1"/>
  <c r="I132" i="10"/>
  <c r="I135" i="10" s="1"/>
  <c r="H126" i="10"/>
  <c r="J126" i="10" s="1"/>
  <c r="K215" i="10"/>
  <c r="J216" i="10"/>
  <c r="I138" i="10"/>
  <c r="I175" i="10"/>
  <c r="K175" i="10" s="1"/>
  <c r="I177" i="10"/>
  <c r="J177" i="10" s="1"/>
  <c r="I184" i="10"/>
  <c r="J184" i="10" s="1"/>
  <c r="I187" i="10"/>
  <c r="J187" i="10" s="1"/>
  <c r="I188" i="10"/>
  <c r="J188" i="10" s="1"/>
  <c r="I189" i="10"/>
  <c r="K189" i="10" s="1"/>
  <c r="K196" i="10"/>
  <c r="J197" i="10"/>
  <c r="K204" i="10"/>
  <c r="K212" i="10"/>
  <c r="J213" i="10"/>
  <c r="K110" i="10"/>
  <c r="H122" i="10"/>
  <c r="I179" i="10"/>
  <c r="J179" i="10" s="1"/>
  <c r="I180" i="10"/>
  <c r="J180" i="10" s="1"/>
  <c r="I176" i="10"/>
  <c r="K176" i="10" s="1"/>
  <c r="I181" i="10"/>
  <c r="I186" i="10"/>
  <c r="L116" i="10"/>
  <c r="H120" i="10"/>
  <c r="J120" i="10" s="1"/>
  <c r="H129" i="10"/>
  <c r="J129" i="10" s="1"/>
  <c r="I178" i="10"/>
  <c r="I182" i="10"/>
  <c r="G124" i="10" s="1"/>
  <c r="I183" i="10"/>
  <c r="K195" i="10"/>
  <c r="K199" i="10"/>
  <c r="K203" i="10"/>
  <c r="K207" i="10"/>
  <c r="K211" i="10"/>
  <c r="J170" i="10"/>
  <c r="K170" i="10"/>
  <c r="B146" i="10"/>
  <c r="B142" i="10"/>
  <c r="B145" i="10"/>
  <c r="B141" i="10"/>
  <c r="I173" i="10"/>
  <c r="I169" i="10"/>
  <c r="I165" i="10"/>
  <c r="I161" i="10"/>
  <c r="I157" i="10"/>
  <c r="I170" i="10"/>
  <c r="I166" i="10"/>
  <c r="I162" i="10"/>
  <c r="I158" i="10"/>
  <c r="I159" i="10"/>
  <c r="I163" i="10"/>
  <c r="I167" i="10"/>
  <c r="I171" i="10"/>
  <c r="I172" i="10"/>
  <c r="H112" i="10"/>
  <c r="J112" i="10" s="1"/>
  <c r="H115" i="10"/>
  <c r="J115" i="10" s="1"/>
  <c r="L122" i="10"/>
  <c r="S129" i="10"/>
  <c r="B144" i="10"/>
  <c r="G158" i="10"/>
  <c r="G162" i="10"/>
  <c r="G166" i="10"/>
  <c r="K137" i="10"/>
  <c r="K135" i="10"/>
  <c r="K122" i="10"/>
  <c r="K121" i="10"/>
  <c r="I160" i="10"/>
  <c r="I164" i="10"/>
  <c r="I168" i="10"/>
  <c r="L137" i="10"/>
  <c r="B143" i="10"/>
  <c r="L121" i="10"/>
  <c r="I127" i="10"/>
  <c r="H127" i="10"/>
  <c r="J127" i="10" s="1"/>
  <c r="L135" i="10"/>
  <c r="G172" i="10"/>
  <c r="G168" i="10"/>
  <c r="G164" i="10"/>
  <c r="G160" i="10"/>
  <c r="G173" i="10"/>
  <c r="G169" i="10"/>
  <c r="G165" i="10"/>
  <c r="G161" i="10"/>
  <c r="G157" i="10"/>
  <c r="G159" i="10"/>
  <c r="G163" i="10"/>
  <c r="G167" i="10"/>
  <c r="G171" i="10"/>
  <c r="H190" i="10"/>
  <c r="I190" i="10" s="1"/>
  <c r="G190" i="10"/>
  <c r="K194" i="10"/>
  <c r="J194" i="10"/>
  <c r="K198" i="10"/>
  <c r="J198" i="10"/>
  <c r="K202" i="10"/>
  <c r="J202" i="10"/>
  <c r="K205" i="10"/>
  <c r="G119" i="10"/>
  <c r="K206" i="10"/>
  <c r="J206" i="10"/>
  <c r="K210" i="10"/>
  <c r="J210" i="10"/>
  <c r="G113" i="10"/>
  <c r="K214" i="10"/>
  <c r="J214" i="10"/>
  <c r="F135" i="10"/>
  <c r="H117" i="10" l="1"/>
  <c r="I137" i="10"/>
  <c r="H110" i="10"/>
  <c r="J110" i="10" s="1"/>
  <c r="K184" i="10"/>
  <c r="J189" i="10"/>
  <c r="I109" i="10"/>
  <c r="I121" i="10"/>
  <c r="G128" i="10"/>
  <c r="E50" i="10" s="1"/>
  <c r="F11" i="10" s="1"/>
  <c r="J175" i="10"/>
  <c r="K117" i="10"/>
  <c r="K179" i="10"/>
  <c r="J185" i="10"/>
  <c r="K124" i="10"/>
  <c r="E54" i="10"/>
  <c r="K109" i="10"/>
  <c r="K187" i="10"/>
  <c r="H118" i="10"/>
  <c r="J118" i="10" s="1"/>
  <c r="K118" i="10"/>
  <c r="G136" i="10"/>
  <c r="E51" i="10" s="1"/>
  <c r="F12" i="10" s="1"/>
  <c r="K188" i="10"/>
  <c r="G134" i="10"/>
  <c r="F134" i="10" s="1"/>
  <c r="K180" i="10"/>
  <c r="G114" i="10"/>
  <c r="F114" i="10" s="1"/>
  <c r="J176" i="10"/>
  <c r="J132" i="10"/>
  <c r="H121" i="10"/>
  <c r="H137" i="10"/>
  <c r="K177" i="10"/>
  <c r="I122" i="10"/>
  <c r="J186" i="10"/>
  <c r="K186" i="10"/>
  <c r="K181" i="10"/>
  <c r="J181" i="10"/>
  <c r="G125" i="10"/>
  <c r="E55" i="10" s="1"/>
  <c r="J182" i="10"/>
  <c r="J178" i="10"/>
  <c r="K178" i="10"/>
  <c r="K182" i="10"/>
  <c r="F124" i="10"/>
  <c r="H124" i="10" s="1"/>
  <c r="J124" i="10" s="1"/>
  <c r="J183" i="10"/>
  <c r="G131" i="10"/>
  <c r="E53" i="10" s="1"/>
  <c r="F14" i="10" s="1"/>
  <c r="K183" i="10"/>
  <c r="K190" i="10"/>
  <c r="G133" i="10"/>
  <c r="E52" i="10" s="1"/>
  <c r="F13" i="10" s="1"/>
  <c r="J190" i="10"/>
  <c r="K159" i="10"/>
  <c r="J159" i="10"/>
  <c r="K168" i="10"/>
  <c r="J168" i="10"/>
  <c r="J158" i="10"/>
  <c r="K158" i="10"/>
  <c r="J157" i="10"/>
  <c r="K157" i="10"/>
  <c r="K172" i="10"/>
  <c r="J172" i="10"/>
  <c r="K113" i="10"/>
  <c r="F113" i="10"/>
  <c r="K167" i="10"/>
  <c r="J167" i="10"/>
  <c r="K161" i="10"/>
  <c r="J161" i="10"/>
  <c r="K160" i="10"/>
  <c r="J160" i="10"/>
  <c r="J166" i="10"/>
  <c r="K166" i="10"/>
  <c r="G111" i="10"/>
  <c r="E45" i="10" s="1"/>
  <c r="F6" i="10" s="1"/>
  <c r="K169" i="10"/>
  <c r="J169" i="10"/>
  <c r="K171" i="10"/>
  <c r="J171" i="10"/>
  <c r="K173" i="10"/>
  <c r="J173" i="10"/>
  <c r="K119" i="10"/>
  <c r="F119" i="10"/>
  <c r="G116" i="10"/>
  <c r="K163" i="10"/>
  <c r="J163" i="10"/>
  <c r="K165" i="10"/>
  <c r="J165" i="10"/>
  <c r="K164" i="10"/>
  <c r="J164" i="10"/>
  <c r="J117" i="10"/>
  <c r="J162" i="10"/>
  <c r="K162" i="10"/>
  <c r="K128" i="10" l="1"/>
  <c r="D61" i="10"/>
  <c r="F57" i="10" s="1"/>
  <c r="F16" i="10"/>
  <c r="F15" i="10"/>
  <c r="F128" i="10"/>
  <c r="H128" i="10" s="1"/>
  <c r="K134" i="10"/>
  <c r="E49" i="10"/>
  <c r="F10" i="10" s="1"/>
  <c r="K114" i="10"/>
  <c r="E46" i="10"/>
  <c r="F7" i="10" s="1"/>
  <c r="F136" i="10"/>
  <c r="H136" i="10" s="1"/>
  <c r="J136" i="10" s="1"/>
  <c r="K136" i="10"/>
  <c r="P104" i="10"/>
  <c r="P105" i="10" s="1"/>
  <c r="P106" i="10" s="1"/>
  <c r="K116" i="10"/>
  <c r="J122" i="10"/>
  <c r="J121" i="10"/>
  <c r="J137" i="10"/>
  <c r="J135" i="10"/>
  <c r="I124" i="10"/>
  <c r="K131" i="10"/>
  <c r="F131" i="10"/>
  <c r="I128" i="10"/>
  <c r="F125" i="10"/>
  <c r="K125" i="10"/>
  <c r="H119" i="10"/>
  <c r="I119" i="10"/>
  <c r="I116" i="10" s="1"/>
  <c r="F116" i="10"/>
  <c r="I134" i="10"/>
  <c r="H134" i="10"/>
  <c r="H114" i="10"/>
  <c r="J114" i="10" s="1"/>
  <c r="I114" i="10"/>
  <c r="F111" i="10"/>
  <c r="K111" i="10"/>
  <c r="K133" i="10"/>
  <c r="F133" i="10"/>
  <c r="H113" i="10"/>
  <c r="J113" i="10" s="1"/>
  <c r="I113" i="10"/>
  <c r="E57" i="10" l="1"/>
  <c r="D22" i="10"/>
  <c r="C61" i="10"/>
  <c r="E56" i="10" s="1"/>
  <c r="G18" i="10"/>
  <c r="I136" i="10"/>
  <c r="I125" i="10"/>
  <c r="H125" i="10"/>
  <c r="J125" i="10" s="1"/>
  <c r="I131" i="10"/>
  <c r="H131" i="10"/>
  <c r="J131" i="10" s="1"/>
  <c r="J128" i="10"/>
  <c r="P128" i="10"/>
  <c r="Q128" i="10" s="1"/>
  <c r="H133" i="10"/>
  <c r="J133" i="10" s="1"/>
  <c r="I133" i="10"/>
  <c r="P134" i="10"/>
  <c r="J134" i="10"/>
  <c r="J119" i="10"/>
  <c r="J116" i="10" s="1"/>
  <c r="H116" i="10"/>
  <c r="I111" i="10"/>
  <c r="H111" i="10"/>
  <c r="F17" i="10" l="1"/>
  <c r="J111" i="10"/>
  <c r="P111" i="10"/>
  <c r="D36" i="5" l="1"/>
  <c r="R2" i="5"/>
  <c r="R3" i="5" s="1"/>
  <c r="L116" i="5" s="1"/>
  <c r="N41" i="5" s="1"/>
  <c r="N54" i="5" s="1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N123" i="5" s="1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J105" i="5"/>
  <c r="J123" i="5" s="1"/>
  <c r="L74" i="5"/>
  <c r="K75" i="5"/>
  <c r="L75" i="5" s="1"/>
  <c r="J83" i="5"/>
  <c r="J82" i="5"/>
  <c r="S9" i="5"/>
  <c r="T9" i="5" s="1"/>
  <c r="S10" i="5"/>
  <c r="T10" i="5" s="1"/>
  <c r="S11" i="5"/>
  <c r="T11" i="5" s="1"/>
  <c r="S12" i="5"/>
  <c r="T12" i="5" s="1"/>
  <c r="S13" i="5"/>
  <c r="T13" i="5" s="1"/>
  <c r="S14" i="5"/>
  <c r="T14" i="5" s="1"/>
  <c r="S15" i="5"/>
  <c r="T15" i="5" s="1"/>
  <c r="S16" i="5"/>
  <c r="T16" i="5" s="1"/>
  <c r="S18" i="5"/>
  <c r="T18" i="5" s="1"/>
  <c r="Q123" i="5" l="1"/>
  <c r="J120" i="5"/>
  <c r="L45" i="5" s="1"/>
  <c r="P123" i="5"/>
  <c r="L123" i="5"/>
  <c r="K126" i="5"/>
  <c r="M48" i="5" s="1"/>
  <c r="M61" i="5" s="1"/>
  <c r="M123" i="5"/>
  <c r="O123" i="5"/>
  <c r="K123" i="5"/>
  <c r="J119" i="5"/>
  <c r="L44" i="5" s="1"/>
  <c r="K122" i="5"/>
  <c r="M47" i="5" s="1"/>
  <c r="M60" i="5" s="1"/>
  <c r="M115" i="5"/>
  <c r="O40" i="5" s="1"/>
  <c r="O53" i="5" s="1"/>
  <c r="O122" i="5"/>
  <c r="Q47" i="5" s="1"/>
  <c r="Q60" i="5" s="1"/>
  <c r="M121" i="5"/>
  <c r="O46" i="5" s="1"/>
  <c r="O59" i="5" s="1"/>
  <c r="Q119" i="5"/>
  <c r="S44" i="5" s="1"/>
  <c r="S57" i="5" s="1"/>
  <c r="O118" i="5"/>
  <c r="Q43" i="5" s="1"/>
  <c r="Q56" i="5" s="1"/>
  <c r="M117" i="5"/>
  <c r="O42" i="5" s="1"/>
  <c r="O55" i="5" s="1"/>
  <c r="N126" i="5"/>
  <c r="P48" i="5" s="1"/>
  <c r="P61" i="5" s="1"/>
  <c r="J116" i="5"/>
  <c r="L41" i="5" s="1"/>
  <c r="K118" i="5"/>
  <c r="M43" i="5" s="1"/>
  <c r="M56" i="5" s="1"/>
  <c r="P115" i="5"/>
  <c r="R40" i="5" s="1"/>
  <c r="R53" i="5" s="1"/>
  <c r="N122" i="5"/>
  <c r="P47" i="5" s="1"/>
  <c r="P60" i="5" s="1"/>
  <c r="L121" i="5"/>
  <c r="N46" i="5" s="1"/>
  <c r="N59" i="5" s="1"/>
  <c r="P119" i="5"/>
  <c r="R44" i="5" s="1"/>
  <c r="R57" i="5" s="1"/>
  <c r="N118" i="5"/>
  <c r="P43" i="5" s="1"/>
  <c r="P56" i="5" s="1"/>
  <c r="L117" i="5"/>
  <c r="N42" i="5" s="1"/>
  <c r="N55" i="5" s="1"/>
  <c r="T3" i="5"/>
  <c r="L48" i="5"/>
  <c r="K117" i="5"/>
  <c r="M42" i="5" s="1"/>
  <c r="M55" i="5" s="1"/>
  <c r="Q115" i="5"/>
  <c r="S40" i="5" s="1"/>
  <c r="S53" i="5" s="1"/>
  <c r="Q121" i="5"/>
  <c r="S46" i="5" s="1"/>
  <c r="S59" i="5" s="1"/>
  <c r="O120" i="5"/>
  <c r="Q45" i="5" s="1"/>
  <c r="Q58" i="5" s="1"/>
  <c r="M119" i="5"/>
  <c r="O44" i="5" s="1"/>
  <c r="O57" i="5" s="1"/>
  <c r="Q117" i="5"/>
  <c r="S42" i="5" s="1"/>
  <c r="S55" i="5" s="1"/>
  <c r="O116" i="5"/>
  <c r="Q41" i="5" s="1"/>
  <c r="Q54" i="5" s="1"/>
  <c r="L115" i="5"/>
  <c r="N40" i="5" s="1"/>
  <c r="N53" i="5" s="1"/>
  <c r="O126" i="5"/>
  <c r="Q48" i="5" s="1"/>
  <c r="Q61" i="5" s="1"/>
  <c r="P121" i="5"/>
  <c r="R46" i="5" s="1"/>
  <c r="R59" i="5" s="1"/>
  <c r="N120" i="5"/>
  <c r="P45" i="5" s="1"/>
  <c r="P58" i="5" s="1"/>
  <c r="L119" i="5"/>
  <c r="N44" i="5" s="1"/>
  <c r="N57" i="5" s="1"/>
  <c r="P117" i="5"/>
  <c r="R42" i="5" s="1"/>
  <c r="R55" i="5" s="1"/>
  <c r="N116" i="5"/>
  <c r="P41" i="5" s="1"/>
  <c r="P54" i="5" s="1"/>
  <c r="J122" i="5"/>
  <c r="L47" i="5" s="1"/>
  <c r="J118" i="5"/>
  <c r="L43" i="5" s="1"/>
  <c r="J115" i="5"/>
  <c r="K120" i="5"/>
  <c r="M45" i="5" s="1"/>
  <c r="M58" i="5" s="1"/>
  <c r="K116" i="5"/>
  <c r="M41" i="5" s="1"/>
  <c r="M54" i="5" s="1"/>
  <c r="N115" i="5"/>
  <c r="P40" i="5" s="1"/>
  <c r="P53" i="5" s="1"/>
  <c r="Q126" i="5"/>
  <c r="S48" i="5" s="1"/>
  <c r="S61" i="5" s="1"/>
  <c r="M126" i="5"/>
  <c r="O48" i="5" s="1"/>
  <c r="O61" i="5" s="1"/>
  <c r="Q122" i="5"/>
  <c r="S47" i="5" s="1"/>
  <c r="S60" i="5" s="1"/>
  <c r="M122" i="5"/>
  <c r="O47" i="5" s="1"/>
  <c r="O60" i="5" s="1"/>
  <c r="O121" i="5"/>
  <c r="Q46" i="5" s="1"/>
  <c r="Q59" i="5" s="1"/>
  <c r="Q120" i="5"/>
  <c r="S45" i="5" s="1"/>
  <c r="S58" i="5" s="1"/>
  <c r="M120" i="5"/>
  <c r="O45" i="5" s="1"/>
  <c r="O58" i="5" s="1"/>
  <c r="O119" i="5"/>
  <c r="Q44" i="5" s="1"/>
  <c r="Q57" i="5" s="1"/>
  <c r="Q118" i="5"/>
  <c r="S43" i="5" s="1"/>
  <c r="S56" i="5" s="1"/>
  <c r="M118" i="5"/>
  <c r="O43" i="5" s="1"/>
  <c r="O56" i="5" s="1"/>
  <c r="O117" i="5"/>
  <c r="Q42" i="5" s="1"/>
  <c r="Q55" i="5" s="1"/>
  <c r="Q116" i="5"/>
  <c r="S41" i="5" s="1"/>
  <c r="S54" i="5" s="1"/>
  <c r="M116" i="5"/>
  <c r="O41" i="5" s="1"/>
  <c r="O54" i="5" s="1"/>
  <c r="J121" i="5"/>
  <c r="L46" i="5" s="1"/>
  <c r="J117" i="5"/>
  <c r="L42" i="5" s="1"/>
  <c r="K115" i="5"/>
  <c r="M40" i="5" s="1"/>
  <c r="M53" i="5" s="1"/>
  <c r="K119" i="5"/>
  <c r="M44" i="5" s="1"/>
  <c r="M57" i="5" s="1"/>
  <c r="K121" i="5"/>
  <c r="M46" i="5" s="1"/>
  <c r="M59" i="5" s="1"/>
  <c r="O115" i="5"/>
  <c r="Q40" i="5" s="1"/>
  <c r="Q53" i="5" s="1"/>
  <c r="P126" i="5"/>
  <c r="R48" i="5" s="1"/>
  <c r="R61" i="5" s="1"/>
  <c r="L126" i="5"/>
  <c r="N48" i="5" s="1"/>
  <c r="N61" i="5" s="1"/>
  <c r="P122" i="5"/>
  <c r="R47" i="5" s="1"/>
  <c r="R60" i="5" s="1"/>
  <c r="L122" i="5"/>
  <c r="N47" i="5" s="1"/>
  <c r="N60" i="5" s="1"/>
  <c r="N121" i="5"/>
  <c r="P46" i="5" s="1"/>
  <c r="P59" i="5" s="1"/>
  <c r="P120" i="5"/>
  <c r="R45" i="5" s="1"/>
  <c r="R58" i="5" s="1"/>
  <c r="L120" i="5"/>
  <c r="N45" i="5" s="1"/>
  <c r="N58" i="5" s="1"/>
  <c r="N119" i="5"/>
  <c r="P44" i="5" s="1"/>
  <c r="P57" i="5" s="1"/>
  <c r="P118" i="5"/>
  <c r="R43" i="5" s="1"/>
  <c r="R56" i="5" s="1"/>
  <c r="L118" i="5"/>
  <c r="N43" i="5" s="1"/>
  <c r="N56" i="5" s="1"/>
  <c r="N117" i="5"/>
  <c r="P42" i="5" s="1"/>
  <c r="P55" i="5" s="1"/>
  <c r="P116" i="5"/>
  <c r="R41" i="5" s="1"/>
  <c r="R54" i="5" s="1"/>
  <c r="M75" i="5"/>
  <c r="AA106" i="5" s="1"/>
  <c r="K76" i="5"/>
  <c r="L76" i="5" s="1"/>
  <c r="M76" i="5" s="1"/>
  <c r="AM107" i="5" s="1"/>
  <c r="S8" i="5"/>
  <c r="T8" i="5" s="1"/>
  <c r="R17" i="5"/>
  <c r="S17" i="5" s="1"/>
  <c r="T17" i="5" s="1"/>
  <c r="I62" i="3"/>
  <c r="I61" i="3"/>
  <c r="I60" i="3"/>
  <c r="I59" i="3"/>
  <c r="I58" i="3"/>
  <c r="I100" i="3" a="1"/>
  <c r="I100" i="3" s="1"/>
  <c r="T107" i="5" l="1"/>
  <c r="L106" i="5"/>
  <c r="N107" i="5"/>
  <c r="X106" i="5"/>
  <c r="S106" i="5"/>
  <c r="O106" i="5"/>
  <c r="N106" i="5"/>
  <c r="AB106" i="5"/>
  <c r="L107" i="5"/>
  <c r="AN106" i="5"/>
  <c r="J107" i="5"/>
  <c r="J125" i="5" s="1"/>
  <c r="L50" i="5" s="1"/>
  <c r="AI106" i="5"/>
  <c r="V106" i="5"/>
  <c r="W107" i="5"/>
  <c r="AB107" i="5"/>
  <c r="R107" i="5"/>
  <c r="P106" i="5"/>
  <c r="L124" i="5" s="1"/>
  <c r="N49" i="5" s="1"/>
  <c r="N62" i="5" s="1"/>
  <c r="AF106" i="5"/>
  <c r="O107" i="5"/>
  <c r="S107" i="5"/>
  <c r="AD106" i="5"/>
  <c r="AC106" i="5"/>
  <c r="AJ107" i="5"/>
  <c r="P125" i="5" s="1"/>
  <c r="R50" i="5" s="1"/>
  <c r="R63" i="5" s="1"/>
  <c r="J106" i="5"/>
  <c r="J124" i="5" s="1"/>
  <c r="L49" i="5" s="1"/>
  <c r="T106" i="5"/>
  <c r="AJ106" i="5"/>
  <c r="P124" i="5" s="1"/>
  <c r="R49" i="5" s="1"/>
  <c r="R62" i="5" s="1"/>
  <c r="AL106" i="5"/>
  <c r="V107" i="5"/>
  <c r="AD107" i="5"/>
  <c r="AL107" i="5"/>
  <c r="U107" i="5"/>
  <c r="M125" i="5" s="1"/>
  <c r="O50" i="5" s="1"/>
  <c r="O63" i="5" s="1"/>
  <c r="M107" i="5"/>
  <c r="Y107" i="5"/>
  <c r="AG107" i="5"/>
  <c r="AO107" i="5"/>
  <c r="Q125" i="5" s="1"/>
  <c r="S50" i="5" s="1"/>
  <c r="S63" i="5" s="1"/>
  <c r="AK107" i="5"/>
  <c r="Q107" i="5"/>
  <c r="Z107" i="5"/>
  <c r="N125" i="5" s="1"/>
  <c r="P50" i="5" s="1"/>
  <c r="P63" i="5" s="1"/>
  <c r="AH107" i="5"/>
  <c r="AC107" i="5"/>
  <c r="X107" i="5"/>
  <c r="AN107" i="5"/>
  <c r="AA107" i="5"/>
  <c r="L63" i="5"/>
  <c r="Z106" i="5"/>
  <c r="N124" i="5" s="1"/>
  <c r="P49" i="5" s="1"/>
  <c r="P62" i="5" s="1"/>
  <c r="K106" i="5"/>
  <c r="K124" i="5" s="1"/>
  <c r="M49" i="5" s="1"/>
  <c r="M62" i="5" s="1"/>
  <c r="AE107" i="5"/>
  <c r="O125" i="5" s="1"/>
  <c r="P107" i="5"/>
  <c r="L125" i="5" s="1"/>
  <c r="N50" i="5" s="1"/>
  <c r="N63" i="5" s="1"/>
  <c r="AF107" i="5"/>
  <c r="L62" i="5"/>
  <c r="Q106" i="5"/>
  <c r="Y106" i="5"/>
  <c r="AG106" i="5"/>
  <c r="AO106" i="5"/>
  <c r="Q124" i="5" s="1"/>
  <c r="S49" i="5" s="1"/>
  <c r="S62" i="5" s="1"/>
  <c r="W106" i="5"/>
  <c r="AE106" i="5"/>
  <c r="O124" i="5" s="1"/>
  <c r="Q49" i="5" s="1"/>
  <c r="Q62" i="5" s="1"/>
  <c r="U106" i="5"/>
  <c r="M124" i="5" s="1"/>
  <c r="O49" i="5" s="1"/>
  <c r="O62" i="5" s="1"/>
  <c r="M106" i="5"/>
  <c r="AM106" i="5"/>
  <c r="AI107" i="5"/>
  <c r="R106" i="5"/>
  <c r="AH106" i="5"/>
  <c r="K107" i="5"/>
  <c r="K125" i="5" s="1"/>
  <c r="M50" i="5" s="1"/>
  <c r="M63" i="5" s="1"/>
  <c r="AK106" i="5"/>
  <c r="Q50" i="5"/>
  <c r="Q63" i="5" s="1"/>
  <c r="Z30" i="1" a="1"/>
  <c r="Z30" i="1" s="1"/>
  <c r="P24" i="3"/>
  <c r="P25" i="3"/>
  <c r="H18" i="3"/>
  <c r="H16" i="3"/>
  <c r="I19" i="3"/>
  <c r="L60" i="5"/>
  <c r="L61" i="5"/>
  <c r="E42" i="5"/>
  <c r="E43" i="5" s="1"/>
  <c r="E44" i="5" s="1"/>
  <c r="I51" i="5"/>
  <c r="I64" i="5"/>
  <c r="K21" i="5" a="1"/>
  <c r="K21" i="5" s="1"/>
  <c r="K8" i="5" a="1"/>
  <c r="K8" i="5" s="1"/>
  <c r="J21" i="5" a="1"/>
  <c r="J21" i="5" s="1"/>
  <c r="I53" i="5" s="1"/>
  <c r="K53" i="5" s="1"/>
  <c r="J8" i="5" a="1"/>
  <c r="C8" i="3" a="1"/>
  <c r="C8" i="3" s="1"/>
  <c r="J24" i="3" s="1"/>
  <c r="O64" i="4" a="1"/>
  <c r="O64" i="4" s="1"/>
  <c r="O54" i="4" a="1"/>
  <c r="O54" i="4" s="1"/>
  <c r="N64" i="4" a="1"/>
  <c r="N64" i="4" s="1"/>
  <c r="N54" i="4" a="1"/>
  <c r="N54" i="4" s="1"/>
  <c r="O44" i="4" a="1"/>
  <c r="O44" i="4" s="1"/>
  <c r="O34" i="4" a="1"/>
  <c r="O34" i="4" s="1"/>
  <c r="N34" i="4" a="1"/>
  <c r="N34" i="4" s="1"/>
  <c r="O24" i="4" a="1"/>
  <c r="O24" i="4" s="1"/>
  <c r="N44" i="4" a="1"/>
  <c r="N44" i="4" s="1"/>
  <c r="N24" i="4" a="1"/>
  <c r="N24" i="4" s="1"/>
  <c r="E24" i="4" a="1"/>
  <c r="E24" i="4" s="1"/>
  <c r="D24" i="4" a="1"/>
  <c r="D24" i="4" s="1"/>
  <c r="J8" i="5" l="1"/>
  <c r="I40" i="5" s="1"/>
  <c r="J40" i="5" s="1"/>
  <c r="I50" i="5"/>
  <c r="L51" i="5"/>
  <c r="L64" i="5" s="1"/>
  <c r="I45" i="5"/>
  <c r="J45" i="5" s="1"/>
  <c r="I49" i="5"/>
  <c r="J49" i="5" s="1"/>
  <c r="I41" i="5"/>
  <c r="J41" i="5" s="1"/>
  <c r="I57" i="5"/>
  <c r="K57" i="5" s="1"/>
  <c r="I62" i="5"/>
  <c r="K62" i="5" s="1"/>
  <c r="I54" i="5"/>
  <c r="K54" i="5" s="1"/>
  <c r="I61" i="5"/>
  <c r="K61" i="5" s="1"/>
  <c r="I58" i="5"/>
  <c r="K58" i="5" s="1"/>
  <c r="J25" i="3"/>
  <c r="I48" i="5"/>
  <c r="J48" i="5" s="1"/>
  <c r="I60" i="5"/>
  <c r="K60" i="5" s="1"/>
  <c r="I56" i="5"/>
  <c r="K56" i="5" s="1"/>
  <c r="I47" i="5"/>
  <c r="J47" i="5" s="1"/>
  <c r="I43" i="5"/>
  <c r="J43" i="5" s="1"/>
  <c r="I44" i="5"/>
  <c r="J44" i="5" s="1"/>
  <c r="I63" i="5"/>
  <c r="K63" i="5" s="1"/>
  <c r="I59" i="5"/>
  <c r="K59" i="5" s="1"/>
  <c r="I55" i="5"/>
  <c r="K55" i="5" s="1"/>
  <c r="J50" i="5"/>
  <c r="I46" i="5"/>
  <c r="J46" i="5" s="1"/>
  <c r="I42" i="5"/>
  <c r="J42" i="5" s="1"/>
  <c r="J8" i="3"/>
  <c r="H8" i="3" s="1"/>
  <c r="P8" i="3" s="1"/>
  <c r="J7" i="3"/>
  <c r="H7" i="3" s="1"/>
  <c r="P7" i="3" s="1"/>
  <c r="J6" i="3"/>
  <c r="H6" i="3" s="1"/>
  <c r="P6" i="3" s="1"/>
  <c r="J10" i="3"/>
  <c r="H10" i="3" s="1"/>
  <c r="P10" i="3" s="1"/>
  <c r="J9" i="3"/>
  <c r="H9" i="3" s="1"/>
  <c r="P9" i="3" s="1"/>
  <c r="E70" i="1" l="1" a="1"/>
  <c r="E70" i="1" s="1"/>
  <c r="D70" i="1" a="1"/>
  <c r="D70" i="1" s="1"/>
  <c r="D60" i="1" a="1"/>
  <c r="D60" i="1" s="1"/>
  <c r="D50" i="1" a="1"/>
  <c r="D50" i="1" s="1"/>
  <c r="D40" i="1" a="1"/>
  <c r="D40" i="1" s="1"/>
  <c r="D30" i="1" a="1"/>
  <c r="D30" i="1" s="1"/>
  <c r="D20" i="1" a="1"/>
  <c r="D20" i="1" s="1"/>
  <c r="AL32" i="1" a="1"/>
  <c r="AL32" i="1" s="1"/>
  <c r="AA25" i="1" a="1"/>
  <c r="AA25" i="1" s="1"/>
  <c r="AA20" i="1" a="1"/>
  <c r="AA20" i="1" s="1"/>
  <c r="Z25" i="1" a="1"/>
  <c r="Z25" i="1" s="1"/>
  <c r="Z20" i="1" a="1"/>
  <c r="Z20" i="1" s="1"/>
  <c r="AL20" i="1" a="1"/>
  <c r="AL20" i="1" s="1"/>
  <c r="AK20" i="1" a="1"/>
  <c r="AK20" i="1" s="1"/>
  <c r="O27" i="1" a="1"/>
  <c r="O27" i="1" s="1"/>
  <c r="O20" i="1" a="1"/>
  <c r="O20" i="1" s="1"/>
  <c r="E60" i="1" a="1"/>
  <c r="E60" i="1" s="1"/>
  <c r="E50" i="1" a="1"/>
  <c r="E50" i="1" s="1"/>
  <c r="E40" i="1" a="1"/>
  <c r="E40" i="1" s="1"/>
  <c r="E30" i="1" a="1"/>
  <c r="E30" i="1" s="1"/>
  <c r="E20" i="1" a="1"/>
  <c r="E20" i="1" s="1"/>
  <c r="AK32" i="1" l="1" a="1"/>
  <c r="AK3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8" authorId="0" shapeId="0" xr:uid="{B7717D36-0AF0-4966-8274-7CBEA83D1C7E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8" authorId="1" shapeId="0" xr:uid="{56DDD958-119C-4F0D-8B02-EB974B61E1C8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8" authorId="2" shapeId="0" xr:uid="{4F71762A-E5C0-4B85-85D7-2AEE664D84F7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8" authorId="2" shapeId="0" xr:uid="{2218E4E4-5A22-4CAC-B4FF-11B08DBC7804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8" authorId="2" shapeId="0" xr:uid="{86AFA4CE-899A-4FFB-A2A9-59EF4E112707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M18" authorId="0" shapeId="0" xr:uid="{E93EC8C9-0A61-4807-ADC2-E0F1403645E7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R18" authorId="1" shapeId="0" xr:uid="{EDBB9FC2-F48C-4E85-B7BE-FE70AB9366E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S18" authorId="2" shapeId="0" xr:uid="{1F1B658A-BA84-4109-96BF-CD822026793C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T18" authorId="2" shapeId="0" xr:uid="{0B893C8F-B41F-4FF3-87AD-D3043A47E657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U18" authorId="2" shapeId="0" xr:uid="{80002541-6746-4D48-BDBA-0D36FC19DA04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X18" authorId="0" shapeId="0" xr:uid="{00C86676-F7A1-4490-A86B-7B48C827E6B2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AC18" authorId="1" shapeId="0" xr:uid="{8B1A213A-B020-4302-AD53-77C98EC30F32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AD18" authorId="2" shapeId="0" xr:uid="{027CB008-EA77-498B-910D-DBDD1304D7D7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E18" authorId="2" shapeId="0" xr:uid="{C3AEDE09-6905-4516-82AF-98FE4314DD73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AF18" authorId="2" shapeId="0" xr:uid="{1B9F00CE-82C6-4934-A4BD-D79B34FB317E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AI18" authorId="0" shapeId="0" xr:uid="{36424764-E427-4D32-90B0-B018C4112021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AN18" authorId="1" shapeId="0" xr:uid="{1F6C37CC-7917-4E70-A953-4A69F1925A8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AO18" authorId="2" shapeId="0" xr:uid="{A22E2220-2B66-4FA8-9B98-23F867B1152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P18" authorId="2" shapeId="0" xr:uid="{576E832E-5F10-4F20-81FA-D6D8B5BBEB14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AQ18" authorId="2" shapeId="0" xr:uid="{67EF895B-D7CB-45CB-92E7-883836061731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Amit Kanudia</author>
  </authors>
  <commentList>
    <comment ref="H21" authorId="0" shapeId="0" xr:uid="{2795E348-63AA-4694-AE34-2BDFCC16CBCB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21" authorId="1" shapeId="0" xr:uid="{D56762F4-06B5-4791-9EC8-B1D280956B3D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J21" authorId="0" shapeId="0" xr:uid="{555209E8-4BD5-48D8-9605-22F9F5C503F9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R21" authorId="0" shapeId="0" xr:uid="{EA8C9AF6-20E5-4841-809C-0763F5CC8C67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S21" authorId="1" shapeId="0" xr:uid="{8D39F338-384F-467C-95FA-0B15CF2BEF4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T21" authorId="0" shapeId="0" xr:uid="{1CD64530-6EE6-4EAF-80C2-62BA685DCC37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B21" authorId="0" shapeId="0" xr:uid="{D2EABEE9-0770-46E9-A41F-CA87EB81D6B1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C21" authorId="1" shapeId="0" xr:uid="{371533DC-FD4F-4C81-826B-459E46752B7B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AD21" authorId="0" shapeId="0" xr:uid="{3D70BDF9-22BD-41A1-A751-75864007E999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B22" authorId="0" shapeId="0" xr:uid="{02293CC4-0CB4-4C7D-A172-0F033BEB3EF8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L22" authorId="0" shapeId="0" xr:uid="{58CBB892-4DED-4833-B727-12D0EBA2EBF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V22" authorId="0" shapeId="0" xr:uid="{1B965C61-A466-40D5-8EE9-F745A526FD64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Juan Andres de Avila</author>
  </authors>
  <commentList>
    <comment ref="D7" authorId="0" shapeId="0" xr:uid="{3ACC9C67-D202-4573-BFC6-4EF2099FBCB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La SG es 0,9414, es decir, 18,3 API</t>
        </r>
      </text>
    </comment>
    <comment ref="K42" authorId="0" shapeId="0" xr:uid="{292FDF27-791B-43F5-936B-E6A566B0133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Se tomo estacionaria por defecto IPCC</t>
        </r>
      </text>
    </comment>
    <comment ref="K43" authorId="0" shapeId="0" xr:uid="{D896EAB9-BAD4-495C-98DC-7C541256AE9A}">
      <text>
        <r>
          <rPr>
            <b/>
            <sz val="9"/>
            <color indexed="81"/>
            <rFont val="Tahoma"/>
            <family val="2"/>
          </rPr>
          <t>JULIAN: Es GWP para 100 time horizon.</t>
        </r>
      </text>
    </comment>
    <comment ref="I45" authorId="0" shapeId="0" xr:uid="{A90C36CC-0A74-470C-AE32-CA262627BC2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También es 35,6522 MJ/m3. Corroborado en calculadora.</t>
        </r>
      </text>
    </comment>
    <comment ref="J46" authorId="0" shapeId="0" xr:uid="{81DEB959-12E4-4C2C-9FD2-B86C167977F3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La SG es 0,9414, es decir, 18,3 API</t>
        </r>
      </text>
    </comment>
    <comment ref="C126" authorId="1" shapeId="0" xr:uid="{D12EA9C4-4708-428D-99D1-E2F4F740A6B4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no caracterizado en FECOC. Se asumen valores de leña.</t>
        </r>
      </text>
    </comment>
    <comment ref="C127" authorId="1" shapeId="0" xr:uid="{B5EF51F5-4811-462A-8EA4-E8A1B3E3AE08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no caracterizado en FECOC. Se asumen valores de carbón mineral.</t>
        </r>
      </text>
    </comment>
    <comment ref="C132" authorId="1" shapeId="0" xr:uid="{D4BFD9D1-2729-49A4-8E64-49FB763A57D2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No existen datos disponibles de consumo y demanda de este energético.</t>
        </r>
      </text>
    </comment>
    <comment ref="C133" authorId="1" shapeId="0" xr:uid="{D4D4CC5A-0065-47CF-9399-5C7719782D1B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caracterizado en FECOC, pero se asume densidad teórica de fase liíquida de 2,1kg/gal</t>
        </r>
      </text>
    </comment>
    <comment ref="C135" authorId="1" shapeId="0" xr:uid="{72A5A92E-BCB7-453D-BBAB-884A6165125E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De acuerdo con las refinerias este gas es el mismo GLP, en una proxima versión se verá su consumo.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I6" authorId="0" shapeId="0" xr:uid="{2B07950A-6CDB-4C94-B630-B9BF55E8F1E0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tc={A5C3C82D-00EF-402F-9D9F-9B485154169C}</author>
  </authors>
  <commentList>
    <comment ref="C21" authorId="0" shapeId="0" xr:uid="{3B58F9CB-0430-47AC-A05E-8DF3CA3EC236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Plan de Abastecimiento de Combustibles Líquidos, UPME-2019, pg.: 158 –162.</t>
        </r>
      </text>
    </comment>
    <comment ref="D25" authorId="0" shapeId="0" xr:uid="{7F05F9F4-F340-4F13-8BFB-F46EF81C32E7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Ellos asumen 90% y 84%, esto quiere decir 209,500 como carga máxima de bpd</t>
        </r>
      </text>
    </comment>
    <comment ref="C40" authorId="0" shapeId="0" xr:uid="{5BED0E69-F2CE-49F8-9AAE-3AEFB58E42C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Hoy en día se importa 5% de la capacidad operativa de barrancabermeja. (Livianos)</t>
        </r>
      </text>
    </comment>
    <comment ref="C45" authorId="1" shapeId="0" xr:uid="{A5C3C82D-00EF-402F-9D9F-9B485154169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tc={C3D33A80-FBA2-49ED-9F56-A08EC0925B50}</author>
    <author>Gary Goldstein</author>
  </authors>
  <commentList>
    <comment ref="C2" authorId="0" shapeId="0" xr:uid="{F8D999DF-5C9C-4F54-9459-FF790E07E974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De acuerdo al BECO</t>
        </r>
      </text>
    </comment>
    <comment ref="N9" authorId="0" shapeId="0" xr:uid="{1A366186-0C3A-430C-BBBD-460BA6695BAD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Morillo J. (2020).</t>
        </r>
      </text>
    </comment>
    <comment ref="N32" authorId="0" shapeId="0" xr:uid="{A311F9FF-C3BA-4DB1-AAF8-02EB9321076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33" authorId="0" shapeId="0" xr:uid="{342480CF-5888-4EB7-A8A4-E4761282AACD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 2020.</t>
        </r>
      </text>
    </comment>
    <comment ref="N34" authorId="1" shapeId="0" xr:uid="{C3D33A80-FBA2-49ED-9F56-A08EC0925B5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</t>
      </text>
    </comment>
    <comment ref="A35" authorId="2" shapeId="0" xr:uid="{74670061-123E-4173-9E2C-EC0C9FE52AB8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M53" authorId="0" shapeId="0" xr:uid="{ABABDF58-C3F7-4CF0-B895-2C3016DA9A5A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83" authorId="0" shapeId="0" xr:uid="{D697B639-6A5F-4E31-B04A-FAB04D4EEEF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84" authorId="0" shapeId="0" xr:uid="{CF2FF35D-893A-47F8-ADB7-E365D76EF634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Informe de Gestion ECP 2019</t>
        </r>
      </text>
    </comment>
    <comment ref="N88" authorId="0" shapeId="0" xr:uid="{C923F629-A301-4BF0-87B2-4EDC5EE966B3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En reficar 2020, reprotan 97% en volumen</t>
        </r>
      </text>
    </comment>
    <comment ref="N89" authorId="0" shapeId="0" xr:uid="{092FA991-418B-4B2E-99C2-5BEEE7CC7EAF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En reficar 2020, reprotan 97% en volumen</t>
        </r>
      </text>
    </comment>
    <comment ref="N91" authorId="0" shapeId="0" xr:uid="{13689D6F-BA51-4686-A6B8-DD1483E7C26A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 2020 pag 76, reporta 285,1 MUSD Total Costos y gastos.
Esto es 4,7 USD/barril.</t>
        </r>
      </text>
    </comment>
    <comment ref="N107" authorId="0" shapeId="0" xr:uid="{F646BE0A-33C1-4CAF-B288-786B8626E68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H2A Group NREL.
https://www.nrel.gov/docs/fy09osti/42773.pdf
Tesis Edgar, pag 299</t>
        </r>
      </text>
    </comment>
    <comment ref="M130" authorId="0" shapeId="0" xr:uid="{F5DF27B2-FA44-4B8F-8A95-19808796320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85 MW</t>
        </r>
      </text>
    </comment>
    <comment ref="M131" authorId="0" shapeId="0" xr:uid="{86B5A2C3-2723-4F57-90E3-8336FA6FCDF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874,8 Gwh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Gary Goldstein</author>
  </authors>
  <commentList>
    <comment ref="C2" authorId="0" shapeId="0" xr:uid="{4B2E7BCF-DB16-4069-9BC6-6E583344CAB5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De acuerdo al BECO</t>
        </r>
      </text>
    </comment>
    <comment ref="M10" authorId="0" shapeId="0" xr:uid="{D059901E-A4F2-47C4-A087-C5EB0DBFD2B0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Morillo J. (2020).</t>
        </r>
      </text>
    </comment>
    <comment ref="M32" authorId="0" shapeId="0" xr:uid="{4FB128BA-01F3-434C-A988-E77513791DB4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También reportado como 12131 Kt/y</t>
        </r>
      </text>
    </comment>
    <comment ref="M33" authorId="0" shapeId="0" xr:uid="{589F979A-45D2-45F9-A681-F3423B502BC7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Se asume que toda la electricidad demandada es producida.
Se tomo de Assessing bio-oil co-processing routes as CO2 mitigation strategies in oil refineries</t>
        </r>
      </text>
    </comment>
    <comment ref="M34" authorId="0" shapeId="0" xr:uid="{3988A673-7C1F-4F9C-BA9A-1EBDF1A04F85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Se asume que todo el hidrogeno demandado es producido en refineria, se tomo de Assessing bio-oil co-processing routes as CO2 mitigation strategies in oil refineries</t>
        </r>
      </text>
    </comment>
    <comment ref="A35" authorId="1" shapeId="0" xr:uid="{C19A2AA8-85C2-48B3-8FA0-0A5DEFE50CA0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M35" authorId="0" shapeId="0" xr:uid="{73C76BA8-0B33-4AE4-948F-D9A93134D466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Se asume que las unidades reportadas son toneladas equivalentes, 
Se tomo de Assessing bio-oil co-processing routes as CO2 mitigation strategies in oil refineries</t>
        </r>
      </text>
    </comment>
    <comment ref="M71" authorId="0" shapeId="0" xr:uid="{056FC38E-76AC-4498-AE54-05408174AE6B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Plan de Abastecimiento de Combustibles Líquidos, UPME-2019, pg.: 158 –162.</t>
        </r>
      </text>
    </comment>
    <comment ref="M72" authorId="0" shapeId="0" xr:uid="{B356FB17-301E-479A-BBC6-3FCE63F369CA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Informe de gestión ECP-2019</t>
        </r>
      </text>
    </comment>
    <comment ref="M74" authorId="0" shapeId="0" xr:uid="{946E6D0B-08F8-43B1-A006-566E292E053C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la UPME en PICL-2019, asume que es entre 84% y 90%.</t>
        </r>
      </text>
    </comment>
    <comment ref="M77" authorId="0" shapeId="0" xr:uid="{1A9A79C3-CE79-430E-9F19-218CE03C72B5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Unravelling the potential of energy efficiency in the Colombian oil industry.
Energy ratio for refined products per oil loaded to the refinery.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CA8B2D-8EF7-4144-BBA3-6DBF5C26C4CB}" keepAlive="1" name="Consulta - Energy_Prices_Average_Price_to_All_Users_Propane_United_States_Reference_AEO2020" description="Conexión a la consulta 'Energy_Prices_Average_Price_to_All_Users_Propane_United_States_Reference_AEO2020' en el libro." type="5" refreshedVersion="0" background="1">
    <dbPr connection="Provider=Microsoft.Mashup.OleDb.1;Data Source=$Workbook$;Location=Energy_Prices_Average_Price_to_All_Users_Propane_United_States_Reference_AEO2020;Extended Properties=&quot;&quot;" command="SELECT * FROM [Energy_Prices_Average_Price_to_All_Users_Propane_United_States_Reference_AEO2020]"/>
  </connection>
  <connection id="2" xr16:uid="{B80CBE25-FF2C-42E3-9A56-B62B179635BE}" keepAlive="1" name="Consulta - Table_3 _Energy_Prices_by_Sector_and_Source" description="Conexión a la consulta 'Table_3 _Energy_Prices_by_Sector_and_Source' en el libro." type="5" refreshedVersion="0" background="1">
    <dbPr connection="Provider=Microsoft.Mashup.OleDb.1;Data Source=$Workbook$;Location=&quot;Table_3 _Energy_Prices_by_Sector_and_Source&quot;;Extended Properties=&quot;&quot;" command="SELECT * FROM [Table_3 _Energy_Prices_by_Sector_and_Source]"/>
  </connection>
  <connection id="3" xr16:uid="{4D2CA13B-689B-466F-9D63-97D3D0CE480D}" keepAlive="1" name="Consulta - Table_3 _Energy_Prices_by_Sector_and_Source (2)" description="Conexión a la consulta 'Table_3 _Energy_Prices_by_Sector_and_Source (2)' en el libro." type="5" refreshedVersion="0" background="1">
    <dbPr connection="Provider=Microsoft.Mashup.OleDb.1;Data Source=$Workbook$;Location=&quot;Table_3 _Energy_Prices_by_Sector_and_Source (2)&quot;;Extended Properties=&quot;&quot;" command="SELECT * FROM [Table_3 _Energy_Prices_by_Sector_and_Source (2)]"/>
  </connection>
  <connection id="4" xr16:uid="{C54C3D3C-7D2B-43BF-996E-21148D08D98B}" keepAlive="1" name="Consulta - Table_3 _Energy_Prices_by_Sector_and_Source (3)" description="Conexión a la consulta 'Table_3 _Energy_Prices_by_Sector_and_Source (3)' en el libro." type="5" refreshedVersion="0" background="1">
    <dbPr connection="Provider=Microsoft.Mashup.OleDb.1;Data Source=$Workbook$;Location=&quot;Table_3 _Energy_Prices_by_Sector_and_Source (3)&quot;;Extended Properties=&quot;&quot;" command="SELECT * FROM [Table_3 _Energy_Prices_by_Sector_and_Source (3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<sst xmlns="http://schemas.openxmlformats.org/spreadsheetml/2006/main" count="2072" uniqueCount="739">
  <si>
    <t>~FI_T</t>
  </si>
  <si>
    <t>Attribute</t>
  </si>
  <si>
    <t>CommName</t>
  </si>
  <si>
    <t>*Unit</t>
  </si>
  <si>
    <t>*</t>
  </si>
  <si>
    <t>Demand Commodity Name</t>
  </si>
  <si>
    <t>Demand Unit</t>
  </si>
  <si>
    <t>Demand Value</t>
  </si>
  <si>
    <t>*Units</t>
  </si>
  <si>
    <t>PJ</t>
  </si>
  <si>
    <t>Demand</t>
  </si>
  <si>
    <t>TechName</t>
  </si>
  <si>
    <t>Comm-IN</t>
  </si>
  <si>
    <t>Comm-OUT</t>
  </si>
  <si>
    <t>LimType</t>
  </si>
  <si>
    <t>*Technology Name</t>
  </si>
  <si>
    <t>Input Commodity</t>
  </si>
  <si>
    <t>Output Commodity</t>
  </si>
  <si>
    <t>Cost</t>
  </si>
  <si>
    <t>MUSD19/PJ</t>
  </si>
  <si>
    <t>~FI_Comm</t>
  </si>
  <si>
    <t>Csets</t>
  </si>
  <si>
    <t>Region</t>
  </si>
  <si>
    <t>CommDesc</t>
  </si>
  <si>
    <t>Unit</t>
  </si>
  <si>
    <t>*Commodity Set Membership</t>
  </si>
  <si>
    <t>Region Name</t>
  </si>
  <si>
    <t>Commodity Name</t>
  </si>
  <si>
    <t>Commodity Description</t>
  </si>
  <si>
    <t>DEM</t>
  </si>
  <si>
    <t>~FI_Process</t>
  </si>
  <si>
    <t>EFF</t>
  </si>
  <si>
    <t>Sets</t>
  </si>
  <si>
    <t>TechDesc</t>
  </si>
  <si>
    <t>Tact</t>
  </si>
  <si>
    <t>Tcap</t>
  </si>
  <si>
    <t>*Process Set Membership</t>
  </si>
  <si>
    <t>Technology Name</t>
  </si>
  <si>
    <t>Technology Description</t>
  </si>
  <si>
    <t>Activity Unit</t>
  </si>
  <si>
    <t>Capacity Unit</t>
  </si>
  <si>
    <t>DMD</t>
  </si>
  <si>
    <t>Pja</t>
  </si>
  <si>
    <t>ETH</t>
  </si>
  <si>
    <t>BDSL</t>
  </si>
  <si>
    <t>GSL</t>
  </si>
  <si>
    <t>PRE</t>
  </si>
  <si>
    <t>DSL</t>
  </si>
  <si>
    <t>KER</t>
  </si>
  <si>
    <t>LPG</t>
  </si>
  <si>
    <t>HFO</t>
  </si>
  <si>
    <t>GAS</t>
  </si>
  <si>
    <t>LOIL</t>
  </si>
  <si>
    <t>HOIL</t>
  </si>
  <si>
    <t>GSL-E10</t>
  </si>
  <si>
    <t>DSL-B10</t>
  </si>
  <si>
    <t>Campos</t>
  </si>
  <si>
    <t>CAM1</t>
  </si>
  <si>
    <t>CAM2</t>
  </si>
  <si>
    <t>CAM3</t>
  </si>
  <si>
    <t>CAM4</t>
  </si>
  <si>
    <t>CAM5</t>
  </si>
  <si>
    <t>CAM6</t>
  </si>
  <si>
    <t>CAM7</t>
  </si>
  <si>
    <t>CAM8</t>
  </si>
  <si>
    <t>CAM9</t>
  </si>
  <si>
    <t>CAM10</t>
  </si>
  <si>
    <t>MOIL</t>
  </si>
  <si>
    <t>FLU</t>
  </si>
  <si>
    <t>Primary Energy</t>
  </si>
  <si>
    <t>Secondary Energy</t>
  </si>
  <si>
    <t>Electricidad</t>
  </si>
  <si>
    <t>ELC</t>
  </si>
  <si>
    <t>Emisiones eq</t>
  </si>
  <si>
    <t>CO2e</t>
  </si>
  <si>
    <t>CTSLvl</t>
  </si>
  <si>
    <t>PeakTS</t>
  </si>
  <si>
    <t>Ctype</t>
  </si>
  <si>
    <t>Sense of the Balance EQN.</t>
  </si>
  <si>
    <t>Timeslice Level</t>
  </si>
  <si>
    <t>Peak Monitoring</t>
  </si>
  <si>
    <t>Electricity Indicator</t>
  </si>
  <si>
    <t>NRG</t>
  </si>
  <si>
    <t>FLUIDOS EN CAMPOS</t>
  </si>
  <si>
    <t>FLUIDOS EN REFINERIA Y DEMANDA</t>
  </si>
  <si>
    <t>Gasolina</t>
  </si>
  <si>
    <t>Diesel</t>
  </si>
  <si>
    <t>Keroseno-Jet</t>
  </si>
  <si>
    <t>Combustoleo</t>
  </si>
  <si>
    <t>Etanol</t>
  </si>
  <si>
    <t>Biodiesel</t>
  </si>
  <si>
    <t>Gasolina natural</t>
  </si>
  <si>
    <t>Petroleo liviano</t>
  </si>
  <si>
    <t>Petroleo mediano</t>
  </si>
  <si>
    <t>Petroleo pesado</t>
  </si>
  <si>
    <t>Gasolina mezclada con etanol E10</t>
  </si>
  <si>
    <t>Diesel mezclada con biodiesel B10</t>
  </si>
  <si>
    <t>EMISIONES</t>
  </si>
  <si>
    <t>ENV</t>
  </si>
  <si>
    <t>CO2e-REF</t>
  </si>
  <si>
    <t>CO2e-SIN</t>
  </si>
  <si>
    <t>kt</t>
  </si>
  <si>
    <t>DEMANDAS</t>
  </si>
  <si>
    <t>CO2eq de SIN</t>
  </si>
  <si>
    <t>CO2eq en Refineria</t>
  </si>
  <si>
    <t>GAS-plt</t>
  </si>
  <si>
    <t>Procesos</t>
  </si>
  <si>
    <t>Tslvl</t>
  </si>
  <si>
    <t>PrimaryCG</t>
  </si>
  <si>
    <t>Vintage</t>
  </si>
  <si>
    <t>TimeSlice level of Process Activity</t>
  </si>
  <si>
    <t>Primary Commodity Group</t>
  </si>
  <si>
    <t>Vintage Tracking</t>
  </si>
  <si>
    <t>MIN</t>
  </si>
  <si>
    <t>PROF</t>
  </si>
  <si>
    <t>COL</t>
  </si>
  <si>
    <t>REF</t>
  </si>
  <si>
    <t>IMP</t>
  </si>
  <si>
    <t>EXP</t>
  </si>
  <si>
    <t>Fluidos</t>
  </si>
  <si>
    <t>Ventas/Compras</t>
  </si>
  <si>
    <t>MINAS</t>
  </si>
  <si>
    <t>PROSF</t>
  </si>
  <si>
    <t>REFINERIA</t>
  </si>
  <si>
    <t>Refineria</t>
  </si>
  <si>
    <t>AUTO-G</t>
  </si>
  <si>
    <t>AUTO-O</t>
  </si>
  <si>
    <t>PRODUCCION, COLECTORES, Y AUTOGENERACION</t>
  </si>
  <si>
    <t>EXP-SIN</t>
  </si>
  <si>
    <t>IMP-SIN</t>
  </si>
  <si>
    <t>Venta al SIN</t>
  </si>
  <si>
    <t>Compra al SIN</t>
  </si>
  <si>
    <t>ELC-SIN</t>
  </si>
  <si>
    <t>USD/kwh</t>
  </si>
  <si>
    <t>MUSD/PJ</t>
  </si>
  <si>
    <t>USD/Gwh</t>
  </si>
  <si>
    <t>MUSD/Gwh</t>
  </si>
  <si>
    <t>Restricción de Exportación / Importación</t>
  </si>
  <si>
    <t>Tecnologia para que el Keroseno pueda suplir la demana</t>
  </si>
  <si>
    <t>Tecnologia para que el LPG pueda suplir la demana</t>
  </si>
  <si>
    <t>Tecnologia para que el Fuel Oil pueda suplir la demana</t>
  </si>
  <si>
    <t>Tecnologia para que el Gas Natural pueda suplir la demana</t>
  </si>
  <si>
    <t>Tecnologia para que el Petroleo pueda suplir la demana</t>
  </si>
  <si>
    <t>Blending entre Gasolina y etanol</t>
  </si>
  <si>
    <t>Blending entre Gasolina y biodiesel</t>
  </si>
  <si>
    <t>FTE-DGSL</t>
  </si>
  <si>
    <t>FTE-DDSL</t>
  </si>
  <si>
    <t>Tecnologia para que la gasolina pueda suplir la demana</t>
  </si>
  <si>
    <t>Tecnologia para que el diesel pueda suplir la demana</t>
  </si>
  <si>
    <t>DGSL</t>
  </si>
  <si>
    <t>DDSL</t>
  </si>
  <si>
    <t>DKER</t>
  </si>
  <si>
    <t>DLPG</t>
  </si>
  <si>
    <t>DHFO</t>
  </si>
  <si>
    <t>DGAS</t>
  </si>
  <si>
    <t>DLOIL</t>
  </si>
  <si>
    <t>Share-I~UP</t>
  </si>
  <si>
    <t>Sectores</t>
  </si>
  <si>
    <t>AGR</t>
  </si>
  <si>
    <t>TER</t>
  </si>
  <si>
    <t>RSD</t>
  </si>
  <si>
    <t>IND</t>
  </si>
  <si>
    <t>TRA</t>
  </si>
  <si>
    <t>Demanda del sector Agricultura, Construccion y Mineria</t>
  </si>
  <si>
    <t>Demanda de sector Terciario</t>
  </si>
  <si>
    <t>Demanda del sector residencial</t>
  </si>
  <si>
    <t>Demanda del sector Industrial</t>
  </si>
  <si>
    <t>Demanda del sector Transporte</t>
  </si>
  <si>
    <t>FTD-TRA</t>
  </si>
  <si>
    <t>DTRA</t>
  </si>
  <si>
    <t>DAGR</t>
  </si>
  <si>
    <t>FTD-AGR</t>
  </si>
  <si>
    <t>Share-I~2019</t>
  </si>
  <si>
    <t>FTD-TER</t>
  </si>
  <si>
    <t>FTD-RSD</t>
  </si>
  <si>
    <t>FTD-IND</t>
  </si>
  <si>
    <t>DH2</t>
  </si>
  <si>
    <t>Demanda del Hidrogeno</t>
  </si>
  <si>
    <t>FX</t>
  </si>
  <si>
    <t>DTER</t>
  </si>
  <si>
    <t>DRSD</t>
  </si>
  <si>
    <t>DIND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</si>
  <si>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</si>
  <si>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</si>
  <si>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</si>
  <si>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</si>
  <si>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</si>
  <si>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PJa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</si>
  <si>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</si>
  <si>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</si>
  <si>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</si>
  <si>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</si>
  <si>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</si>
  <si>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</si>
  <si>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</si>
  <si>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EXP-GSL</t>
  </si>
  <si>
    <t>EXP-DSL</t>
  </si>
  <si>
    <t>EXP-KER</t>
  </si>
  <si>
    <t>EXP-LPG</t>
  </si>
  <si>
    <t>EXP-HFO</t>
  </si>
  <si>
    <t>EXP-ETH</t>
  </si>
  <si>
    <t>EXP-BDSL</t>
  </si>
  <si>
    <t>EXP-GAS</t>
  </si>
  <si>
    <t>EXP-LOIL</t>
  </si>
  <si>
    <t>EXP-MOIL</t>
  </si>
  <si>
    <t>EXP-HOIL</t>
  </si>
  <si>
    <t>usd/PJ</t>
  </si>
  <si>
    <t>PJ/mbtu</t>
  </si>
  <si>
    <t>usd/mbtu</t>
  </si>
  <si>
    <t>Keroseno</t>
  </si>
  <si>
    <t>Fuel Oil</t>
  </si>
  <si>
    <t>Ethanol</t>
  </si>
  <si>
    <t>Gas natural</t>
  </si>
  <si>
    <t>Petroleo</t>
  </si>
  <si>
    <t>COST~2019</t>
  </si>
  <si>
    <t>WTI</t>
  </si>
  <si>
    <t>Combustible liquidos UPME, 2021</t>
  </si>
  <si>
    <t>Liviano</t>
  </si>
  <si>
    <t>Mediano</t>
  </si>
  <si>
    <t>Pesado</t>
  </si>
  <si>
    <t>WTI- 9 USD/b</t>
  </si>
  <si>
    <t>WTI - 4,5 USD/b</t>
  </si>
  <si>
    <t>HHV del WTI</t>
  </si>
  <si>
    <t>WTI - 0,7949 USD/MBTU</t>
  </si>
  <si>
    <t>WTI - 1,5899USD/MBTU</t>
  </si>
  <si>
    <t>WTI, 2019</t>
  </si>
  <si>
    <t>56 usd/bl</t>
  </si>
  <si>
    <t>MBTU/b</t>
  </si>
  <si>
    <t>Descuento</t>
  </si>
  <si>
    <t>POIL</t>
  </si>
  <si>
    <t>COST~2020</t>
  </si>
  <si>
    <t>COST~2025</t>
  </si>
  <si>
    <t>COST~2030</t>
  </si>
  <si>
    <t>COST~2035</t>
  </si>
  <si>
    <t>COST~2040</t>
  </si>
  <si>
    <t>COST~2045</t>
  </si>
  <si>
    <t>COST~2050</t>
  </si>
  <si>
    <t>BTU/J</t>
  </si>
  <si>
    <t>MBTU/J</t>
  </si>
  <si>
    <t>MBTU/PJ</t>
  </si>
  <si>
    <t>PJ/MBTU</t>
  </si>
  <si>
    <t>Proyeciones para escenario de referencia, AEO - US EIA, 2019, en USD/Millon de BTU</t>
  </si>
  <si>
    <t>Proyeciones para escenario de referencia, AEO - US EIA, 2019, en USD/PJ</t>
  </si>
  <si>
    <t>USD2019/kwh</t>
  </si>
  <si>
    <t>cop/kwh</t>
  </si>
  <si>
    <t>Costo de electricidad Colombia, industrial, ANDI</t>
  </si>
  <si>
    <t>USD/COP promedio, 2019, investing https://es.investing.com/currencies/usd-cop-historical-data</t>
  </si>
  <si>
    <t>COP/USD</t>
  </si>
  <si>
    <t>PRIMARIOS</t>
  </si>
  <si>
    <t>Sigla</t>
  </si>
  <si>
    <t>Energético</t>
  </si>
  <si>
    <t>Poderes caloríficos</t>
  </si>
  <si>
    <t>Factores de emisión</t>
  </si>
  <si>
    <t>UO</t>
  </si>
  <si>
    <t>TCal</t>
  </si>
  <si>
    <t>TJ</t>
  </si>
  <si>
    <t>GWh</t>
  </si>
  <si>
    <t>KTEP</t>
  </si>
  <si>
    <t>GBTU</t>
  </si>
  <si>
    <r>
      <t>kTon CO</t>
    </r>
    <r>
      <rPr>
        <b/>
        <vertAlign val="subscript"/>
        <sz val="8"/>
        <color theme="1"/>
        <rFont val="Calibri"/>
        <family val="2"/>
        <scheme val="minor"/>
      </rPr>
      <t>2</t>
    </r>
    <r>
      <rPr>
        <b/>
        <sz val="8"/>
        <color theme="1"/>
        <rFont val="Calibri"/>
        <family val="2"/>
        <scheme val="minor"/>
      </rPr>
      <t>/UO</t>
    </r>
  </si>
  <si>
    <r>
      <t>kTon CO</t>
    </r>
    <r>
      <rPr>
        <b/>
        <vertAlign val="subscript"/>
        <sz val="8"/>
        <color theme="1"/>
        <rFont val="Calibri"/>
        <family val="2"/>
        <scheme val="minor"/>
      </rPr>
      <t>2</t>
    </r>
    <r>
      <rPr>
        <b/>
        <sz val="8"/>
        <color theme="1"/>
        <rFont val="Calibri"/>
        <family val="2"/>
        <scheme val="minor"/>
      </rPr>
      <t>/TJ</t>
    </r>
  </si>
  <si>
    <t>BZ</t>
  </si>
  <si>
    <t>BAGAZO</t>
  </si>
  <si>
    <t>kTon</t>
  </si>
  <si>
    <t>CM</t>
  </si>
  <si>
    <t>CARBÓN MINERAL</t>
  </si>
  <si>
    <t>GN</t>
  </si>
  <si>
    <t>GAS NATURAL</t>
  </si>
  <si>
    <t>Mpc</t>
  </si>
  <si>
    <t>HE</t>
  </si>
  <si>
    <t>HIDROENERGÍA</t>
  </si>
  <si>
    <t>LE</t>
  </si>
  <si>
    <t>LEÑA</t>
  </si>
  <si>
    <t>PT</t>
  </si>
  <si>
    <t>PETROLEO</t>
  </si>
  <si>
    <t>kBL</t>
  </si>
  <si>
    <t>kBl</t>
  </si>
  <si>
    <t>RC</t>
  </si>
  <si>
    <t>RECUPERACIÓN / RESIDUOS</t>
  </si>
  <si>
    <t>RCB</t>
  </si>
  <si>
    <t>Cascarilla de café</t>
  </si>
  <si>
    <t>BECO</t>
  </si>
  <si>
    <t>Cascarilla de arroz</t>
  </si>
  <si>
    <t>FE</t>
  </si>
  <si>
    <t>Residuos de palma</t>
  </si>
  <si>
    <t>kt/PJ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</si>
  <si>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</si>
  <si>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</si>
  <si>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</si>
  <si>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</si>
  <si>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</si>
  <si>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</si>
  <si>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</si>
  <si>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</si>
  <si>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AC</t>
  </si>
  <si>
    <t>ALCOHOL CARBURANTE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</si>
  <si>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</si>
  <si>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</si>
  <si>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</si>
  <si>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</si>
  <si>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</si>
  <si>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</si>
  <si>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</si>
  <si>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</si>
  <si>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</si>
  <si>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</si>
  <si>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</si>
  <si>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</si>
  <si>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</si>
  <si>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</si>
  <si>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</si>
  <si>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</si>
  <si>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</si>
  <si>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</si>
  <si>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</si>
  <si>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</si>
  <si>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</si>
  <si>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</si>
  <si>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</si>
  <si>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</si>
  <si>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</si>
  <si>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</si>
  <si>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</si>
  <si>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</si>
  <si>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Densidad</t>
  </si>
  <si>
    <t>PCI Masa</t>
  </si>
  <si>
    <t>PCI Volumen</t>
  </si>
  <si>
    <t>Gaseosos</t>
  </si>
  <si>
    <t>MJ/kg</t>
  </si>
  <si>
    <t>TJ/MPC</t>
  </si>
  <si>
    <t>MJ/m3</t>
  </si>
  <si>
    <t>TJ/kBl</t>
  </si>
  <si>
    <t>MBTU/MPC</t>
  </si>
  <si>
    <t>GWh/MPC</t>
  </si>
  <si>
    <t>kg/TJ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</si>
  <si>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</si>
  <si>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</si>
  <si>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</si>
  <si>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</si>
  <si>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</si>
  <si>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</si>
  <si>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</si>
  <si>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</si>
  <si>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</si>
  <si>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</si>
  <si>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</si>
  <si>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</si>
  <si>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</si>
  <si>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</si>
  <si>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</si>
  <si>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</si>
  <si>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</si>
  <si>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</si>
  <si>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</si>
  <si>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kJ/kg</t>
  </si>
  <si>
    <t>kg/Gal</t>
  </si>
  <si>
    <t>kJ/lt</t>
  </si>
  <si>
    <t>MBTU/kBl</t>
  </si>
  <si>
    <t>GWh/kBl</t>
  </si>
  <si>
    <t>Kerosene</t>
  </si>
  <si>
    <t>Crudo de Castilla</t>
  </si>
  <si>
    <t>Avigas</t>
  </si>
  <si>
    <t>Jet A1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</si>
  <si>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</si>
  <si>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</si>
  <si>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</si>
  <si>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</si>
  <si>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</si>
  <si>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</si>
  <si>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</si>
  <si>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Gasolina E10 (Mezcla Comercial)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</si>
  <si>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</si>
  <si>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</si>
  <si>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</si>
  <si>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</si>
  <si>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</si>
  <si>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</si>
  <si>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</si>
  <si>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</si>
  <si>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</si>
  <si>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</si>
  <si>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</si>
  <si>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</si>
  <si>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</si>
  <si>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</si>
  <si>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</si>
  <si>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</si>
  <si>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</si>
  <si>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</si>
  <si>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</si>
  <si>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</si>
  <si>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</si>
  <si>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</si>
  <si>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</si>
  <si>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</si>
  <si>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</si>
  <si>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</si>
  <si>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</si>
  <si>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</si>
  <si>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</si>
  <si>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</si>
  <si>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</si>
  <si>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CO2</t>
  </si>
  <si>
    <t>CH4</t>
  </si>
  <si>
    <t>NO2</t>
  </si>
  <si>
    <t>Etanol anhidro</t>
  </si>
  <si>
    <t>Referencia</t>
  </si>
  <si>
    <t>PCI</t>
  </si>
  <si>
    <t>F.E. CO2eq</t>
  </si>
  <si>
    <t>Gas Natural</t>
  </si>
  <si>
    <t>Petróleo liviano</t>
  </si>
  <si>
    <t>Petróleo pesado</t>
  </si>
  <si>
    <t>Gasolina antes de blending</t>
  </si>
  <si>
    <t>Diesel antes de blending</t>
  </si>
  <si>
    <t>Gas licuado de Petróleo</t>
  </si>
  <si>
    <t>Petróleo mediano</t>
  </si>
  <si>
    <t>Fuel Oil (Combustoleo</t>
  </si>
  <si>
    <t>Diesel-Biodiese, 10% vol</t>
  </si>
  <si>
    <t>Bases de cálculo</t>
  </si>
  <si>
    <t>Tabla 1. Energéticos y poderes caloríficos (BEN &amp; EAM)</t>
  </si>
  <si>
    <t>FECO2eq_CH4</t>
  </si>
  <si>
    <t>FECO2eq_N2O</t>
  </si>
  <si>
    <t>Primario</t>
  </si>
  <si>
    <t>Renovable</t>
  </si>
  <si>
    <t>No Renovable</t>
  </si>
  <si>
    <t>m3</t>
  </si>
  <si>
    <t>kWh</t>
  </si>
  <si>
    <t>Secundario</t>
  </si>
  <si>
    <t>Gal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</si>
  <si>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</si>
  <si>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</si>
  <si>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</si>
  <si>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</si>
  <si>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</si>
  <si>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</si>
  <si>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</si>
  <si>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</si>
  <si>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</si>
  <si>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</si>
  <si>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</si>
  <si>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</si>
  <si>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</si>
  <si>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</si>
  <si>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</si>
  <si>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</si>
  <si>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</si>
  <si>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</si>
  <si>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t>kTon/CO</t>
    </r>
    <r>
      <rPr>
        <vertAlign val="subscript"/>
        <sz val="8"/>
        <color theme="1"/>
        <rFont val="Calibri"/>
        <family val="2"/>
        <scheme val="minor"/>
      </rPr>
      <t>2</t>
    </r>
  </si>
  <si>
    <r>
      <t>Miles de toneladas equivalentes de CO</t>
    </r>
    <r>
      <rPr>
        <vertAlign val="subscript"/>
        <sz val="8"/>
        <color theme="1"/>
        <rFont val="Calibri"/>
        <family val="2"/>
        <scheme val="minor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</si>
  <si>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</si>
  <si>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</si>
  <si>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</si>
  <si>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</si>
  <si>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</si>
  <si>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</si>
  <si>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</si>
  <si>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BTU</t>
  </si>
  <si>
    <t>1 Wh =</t>
  </si>
  <si>
    <t>Wh</t>
  </si>
  <si>
    <t>FE CH4</t>
  </si>
  <si>
    <t>FECH4EQ</t>
  </si>
  <si>
    <t>N2O</t>
  </si>
  <si>
    <t>FEN2OxEQ</t>
  </si>
  <si>
    <t>PJ/bl*</t>
  </si>
  <si>
    <t>BECO: KER: Keroseno y Jet Fuel</t>
  </si>
  <si>
    <t>BECO: DO: Diesel</t>
  </si>
  <si>
    <t>BECO: GM: Gasolina Motor</t>
  </si>
  <si>
    <t>BECO: PT: Petróleo</t>
  </si>
  <si>
    <t>BECO: GN: Gas natural</t>
  </si>
  <si>
    <t>BECO: FO: Fuel Oil</t>
  </si>
  <si>
    <t>BECO: GL: Gas licuado del Petróleo</t>
  </si>
  <si>
    <t>BECO: AC: Alcohol Carburante</t>
  </si>
  <si>
    <t xml:space="preserve">BECO: BI: Biodiesel </t>
  </si>
  <si>
    <t>Calculo Teorico</t>
  </si>
  <si>
    <t>TJ/kbl*</t>
  </si>
  <si>
    <t>kt/TJ</t>
  </si>
  <si>
    <t>t/TJ</t>
  </si>
  <si>
    <t>si</t>
  </si>
  <si>
    <t>no</t>
  </si>
  <si>
    <t>Fuel Oil N4 - ECP</t>
  </si>
  <si>
    <t xml:space="preserve">Biodiesel palma </t>
  </si>
  <si>
    <t>Gasolina motor</t>
  </si>
  <si>
    <t>Biesel B2</t>
  </si>
  <si>
    <t>Crudo castilla</t>
  </si>
  <si>
    <t>GLP generico usado</t>
  </si>
  <si>
    <t>*Para todos, menos gas natural, las unidades son TJ/Mpc; PJ/kpc</t>
  </si>
  <si>
    <t>Gas natural generico</t>
  </si>
  <si>
    <t>CALCULADORA</t>
  </si>
  <si>
    <t>Refrencia en Calculadora</t>
  </si>
  <si>
    <t>Volumen en mezcla en volumen</t>
  </si>
  <si>
    <t>Gasolina-Etanol, 10%vol,</t>
  </si>
  <si>
    <t>Volumen en la mezcla en energía**</t>
  </si>
  <si>
    <t>Referencia exacta en BECO</t>
  </si>
  <si>
    <t>Referencia exacta en FECOC</t>
  </si>
  <si>
    <t>COMM</t>
  </si>
  <si>
    <t>Sí: GN: Gas natural</t>
  </si>
  <si>
    <t>Sí: BECO: PT: Petróleo</t>
  </si>
  <si>
    <t>Sí: PT: Petróleo</t>
  </si>
  <si>
    <t>Sí: GM: Gasolina Motor</t>
  </si>
  <si>
    <t>Sí: DO: Diesel</t>
  </si>
  <si>
    <t>Sí: KER: Keroseno y Jet Fuel</t>
  </si>
  <si>
    <t>Sí: GL: Gas licuado del Petróleo</t>
  </si>
  <si>
    <t>Sí: FO: Fuel Oil</t>
  </si>
  <si>
    <t>Sí: AC: Alcohol Carburante</t>
  </si>
  <si>
    <t xml:space="preserve">Sí: BI: Biodiesel </t>
  </si>
  <si>
    <t>No: Calculo Teorico</t>
  </si>
  <si>
    <t>Sí: Gas natural generico</t>
  </si>
  <si>
    <t>Sí: Crudo castilla</t>
  </si>
  <si>
    <t>Sí: Gasolina motor</t>
  </si>
  <si>
    <t>No: cercano a Biesel B2</t>
  </si>
  <si>
    <t>No: cercano a Jet A1</t>
  </si>
  <si>
    <t>Sí: GLP generico usado</t>
  </si>
  <si>
    <t>Sí: Fuel Oil N4 - ECP</t>
  </si>
  <si>
    <t>Sí: Etanol anhidro</t>
  </si>
  <si>
    <t xml:space="preserve">Sí: Biodiesel palma </t>
  </si>
  <si>
    <t>No</t>
  </si>
  <si>
    <t>No: calculo teorico</t>
  </si>
  <si>
    <t>Gasolina de aviación</t>
  </si>
  <si>
    <t>Refinery Gas</t>
  </si>
  <si>
    <t>RFG</t>
  </si>
  <si>
    <t>Sí: avgas</t>
  </si>
  <si>
    <t>Sí: GR: Gas de Refinería</t>
  </si>
  <si>
    <t>AVG</t>
  </si>
  <si>
    <t>DAVG</t>
  </si>
  <si>
    <t>Tecnologia para que el AVGAS pueda suplir la demana</t>
  </si>
  <si>
    <t>Aviation gasoline</t>
  </si>
  <si>
    <t>EXP-AVG</t>
  </si>
  <si>
    <t>Exportación de AVGAS</t>
  </si>
  <si>
    <t>IMP-AVG</t>
  </si>
  <si>
    <t>Importación de AVG</t>
  </si>
  <si>
    <t>Demanda de AVG</t>
  </si>
  <si>
    <t>~COMEMI</t>
  </si>
  <si>
    <t>DMOIL</t>
  </si>
  <si>
    <t>DHOIL</t>
  </si>
  <si>
    <t>CO2e-DAVG</t>
  </si>
  <si>
    <t>CO2e-RFG</t>
  </si>
  <si>
    <t>CO2eq de Demanda de AVGAS</t>
  </si>
  <si>
    <t>CO2eq de Demanda de RFG</t>
  </si>
  <si>
    <t>CO2e-Scope3</t>
  </si>
  <si>
    <t>CO2eq de Demande del Scope 3</t>
  </si>
  <si>
    <t>Gasolina-Etanol, 15% vol</t>
  </si>
  <si>
    <t>Diesel-Biodiesel, 15% vol</t>
  </si>
  <si>
    <t>GSL-E15</t>
  </si>
  <si>
    <t>GSL-B10</t>
  </si>
  <si>
    <t>Gasolina mezclada con etanol E15</t>
  </si>
  <si>
    <t>Diesel mezclada con biodiesel B15</t>
  </si>
  <si>
    <t>BLE-GSL-10</t>
  </si>
  <si>
    <t>BLE-DSL-10</t>
  </si>
  <si>
    <t>H2</t>
  </si>
  <si>
    <t>FTE-ETH</t>
  </si>
  <si>
    <t>FTE-BDSL</t>
  </si>
  <si>
    <t>Tecnologia para que el Ethanol¡ pueda suplir la demana</t>
  </si>
  <si>
    <t>Tecnologia para que el Diesel pueda suplir la demana</t>
  </si>
  <si>
    <t>DETH</t>
  </si>
  <si>
    <t>DBDSL</t>
  </si>
  <si>
    <t>%e de Biodiesel en Diesel</t>
  </si>
  <si>
    <t>%e de Ethanol en Gasolina</t>
  </si>
  <si>
    <t>UP</t>
  </si>
  <si>
    <t>Demanda de Biodiesel</t>
  </si>
  <si>
    <t>Demanda de Ethanol</t>
  </si>
  <si>
    <t>Produccion crudo</t>
  </si>
  <si>
    <t>bpd</t>
  </si>
  <si>
    <t>kbpd</t>
  </si>
  <si>
    <t>Electricidad Produccion</t>
  </si>
  <si>
    <t>Gwh</t>
  </si>
  <si>
    <t>Produccion</t>
  </si>
  <si>
    <t>Electricidad %</t>
  </si>
  <si>
    <t>PJ/PJ</t>
  </si>
  <si>
    <t>Gas utilizada para consumo</t>
  </si>
  <si>
    <t>Mpc/d</t>
  </si>
  <si>
    <t>Gas quemado</t>
  </si>
  <si>
    <t>Emisiones</t>
  </si>
  <si>
    <t>Factor de Utilización</t>
  </si>
  <si>
    <t>Otros</t>
  </si>
  <si>
    <t>MEZCLADOR DE CRUDO</t>
  </si>
  <si>
    <t>Crudo pesado</t>
  </si>
  <si>
    <t>Crudo liviano</t>
  </si>
  <si>
    <t>Crudo pesado*</t>
  </si>
  <si>
    <t>BAR</t>
  </si>
  <si>
    <t>Carga de crudo liviano</t>
  </si>
  <si>
    <t>Total</t>
  </si>
  <si>
    <t>Carga a refineria, bpd</t>
  </si>
  <si>
    <t>CAR</t>
  </si>
  <si>
    <t>Capacidad de carga, kblpd</t>
  </si>
  <si>
    <t>Morillo, J (2020)</t>
  </si>
  <si>
    <t>PICL-2019</t>
  </si>
  <si>
    <t>carga de crudo liviano</t>
  </si>
  <si>
    <t>PICL2019</t>
  </si>
  <si>
    <t>Capacidad de conversión</t>
  </si>
  <si>
    <t>Año que requiere importar liviano</t>
  </si>
  <si>
    <t>Año que requiere importar pesados</t>
  </si>
  <si>
    <t>Jet-fuel</t>
  </si>
  <si>
    <t>Oferta principal de combustibles, volumetrica, bpd</t>
  </si>
  <si>
    <t>Rendimientos, volumetricos</t>
  </si>
  <si>
    <t>Gasolina (incluye nafta)</t>
  </si>
  <si>
    <t>Refinación colombiana</t>
  </si>
  <si>
    <t>ECOPETROL A PICL2019</t>
  </si>
  <si>
    <t>Crudo medios</t>
  </si>
  <si>
    <t>Crudo livianos</t>
  </si>
  <si>
    <t>ECOPETROL a PICL-2019</t>
  </si>
  <si>
    <t>Demanda nacional</t>
  </si>
  <si>
    <t>PICL2021</t>
  </si>
  <si>
    <t>Petroquimicos</t>
  </si>
  <si>
    <t>Otros (incluyendo combustoleo)</t>
  </si>
  <si>
    <t>Tipico en 2021</t>
  </si>
  <si>
    <t>Producción</t>
  </si>
  <si>
    <t>PICL-2021</t>
  </si>
  <si>
    <t>Carga</t>
  </si>
  <si>
    <t>Eficiencia volumetrica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</si>
  <si>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</si>
  <si>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</si>
  <si>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</si>
  <si>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</si>
  <si>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</si>
  <si>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</si>
  <si>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</si>
  <si>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PICL21</t>
  </si>
  <si>
    <t>MEZCLADOR DE PETRÓLEO</t>
  </si>
  <si>
    <t>Carga a la refinería de Barrancabermeja</t>
  </si>
  <si>
    <t>%vol Petróleo pesado</t>
  </si>
  <si>
    <t>%vol Petróleo mediano</t>
  </si>
  <si>
    <t>%vol Petróleo liviano</t>
  </si>
  <si>
    <t>%e Petróleo pesado</t>
  </si>
  <si>
    <t>%e Petróleo mediano</t>
  </si>
  <si>
    <t>%e Petróleo liviano</t>
  </si>
  <si>
    <t>MIX-DRUMGAS</t>
  </si>
  <si>
    <t>Mezcla de gas natural y refinery gas</t>
  </si>
  <si>
    <t>H2-GREY</t>
  </si>
  <si>
    <t>Hidrogeno producido en refineria</t>
  </si>
  <si>
    <t>AUTO-REF</t>
  </si>
  <si>
    <t>Autogeneración en refinería</t>
  </si>
  <si>
    <t>Electricidad para Refineria</t>
  </si>
  <si>
    <t>Drum Gas - mezcla de gas natural y refinery gas</t>
  </si>
  <si>
    <t>Hidrogeno</t>
  </si>
  <si>
    <t>MIX-OIL-REF1</t>
  </si>
  <si>
    <t>Mezcla de crudos para refineria 1</t>
  </si>
  <si>
    <t>OIL-REF1</t>
  </si>
  <si>
    <t>Petroleo para refineria 1</t>
  </si>
  <si>
    <t>REFINERÍA: PRODUCCIÓN DE COMBUSTIBLES</t>
  </si>
  <si>
    <t>Capacidad, kbpd</t>
  </si>
  <si>
    <t>Capacidad, PJ/año</t>
  </si>
  <si>
    <t>Carga en 2019, kbpd</t>
  </si>
  <si>
    <t>Carga en 2019, PJ/año</t>
  </si>
  <si>
    <t>Factor de utilización, 2019</t>
  </si>
  <si>
    <t>Factor de utilización máximo, 2019-2020</t>
  </si>
  <si>
    <t>Eficiencia de conversión, en energía</t>
  </si>
  <si>
    <t>OPEX (Costo sin electricidad para procesar 1 barril)</t>
  </si>
  <si>
    <t>Year</t>
  </si>
  <si>
    <t>ACT_BND</t>
  </si>
  <si>
    <t>ACT_COST</t>
  </si>
  <si>
    <t>REF1</t>
  </si>
  <si>
    <t>Entrada de productos</t>
  </si>
  <si>
    <t>Consumo de electricidad, Gw-h/año</t>
  </si>
  <si>
    <t>Entrada de petróleo, kbpd</t>
  </si>
  <si>
    <t>Consumo de hidrogeno, kt/año</t>
  </si>
  <si>
    <t>~FI_T: Share-I</t>
  </si>
  <si>
    <t>ELC-REF1</t>
  </si>
  <si>
    <t>DRUMGAS-REF1</t>
  </si>
  <si>
    <t>Petróleo</t>
  </si>
  <si>
    <t>J/kg</t>
  </si>
  <si>
    <t>PJ/t</t>
  </si>
  <si>
    <t>R: Electricidad/Petróleo</t>
  </si>
  <si>
    <t>R: Hidrogeno/Petróleo</t>
  </si>
  <si>
    <t>R: Drumm Gas</t>
  </si>
  <si>
    <t>Salidas</t>
  </si>
  <si>
    <t>Diésel</t>
  </si>
  <si>
    <t xml:space="preserve"> kt Drumm Gas/kt de petroleo procesado</t>
  </si>
  <si>
    <t>Mi modelo</t>
  </si>
  <si>
    <t>Avgas</t>
  </si>
  <si>
    <t>~FI_T: Share-O</t>
  </si>
  <si>
    <t>Maximo, LPG</t>
  </si>
  <si>
    <t>Estudio</t>
  </si>
  <si>
    <t>bl</t>
  </si>
  <si>
    <t>Entrada</t>
  </si>
  <si>
    <t>J</t>
  </si>
  <si>
    <t>PJ/kt</t>
  </si>
  <si>
    <t>Kt</t>
  </si>
  <si>
    <t>kton/d</t>
  </si>
  <si>
    <t>Hidrotrtamiento nafta</t>
  </si>
  <si>
    <t>U110 Hidrocraqueo</t>
  </si>
  <si>
    <t>Hidrotratamiento de diesel</t>
  </si>
  <si>
    <t>kt/d</t>
  </si>
  <si>
    <t>kt/año</t>
  </si>
  <si>
    <t>kbl</t>
  </si>
  <si>
    <t>Alto</t>
  </si>
  <si>
    <t>Bajo</t>
  </si>
  <si>
    <t>Kbpd</t>
  </si>
  <si>
    <t>Refinery Gas, MMPCSD</t>
  </si>
  <si>
    <t>Nafta</t>
  </si>
  <si>
    <t>Millones de pies cubicos por dia</t>
  </si>
  <si>
    <t>Cuatro turbinas 85 MW</t>
  </si>
  <si>
    <t>https://www.reficar.com.co/Repositorio/05_HSE/00_Biblioteca/02_PlanManejoAmbiental/EIA2008/REFICARtomoI20080808.pdf</t>
  </si>
  <si>
    <t>gas natural</t>
  </si>
  <si>
    <t>gas refinery</t>
  </si>
  <si>
    <t>EF</t>
  </si>
  <si>
    <t>GW</t>
  </si>
  <si>
    <t>kg/m3</t>
  </si>
  <si>
    <t>kg</t>
  </si>
  <si>
    <t>t/d</t>
  </si>
  <si>
    <t>t/año</t>
  </si>
  <si>
    <t>PJ de vapor</t>
  </si>
  <si>
    <t>nm3 de gas natural</t>
  </si>
  <si>
    <t>nm3</t>
  </si>
  <si>
    <t>scf</t>
  </si>
  <si>
    <t>Mscf</t>
  </si>
  <si>
    <t>PCD de hidrogeno</t>
  </si>
  <si>
    <t>%voL</t>
  </si>
  <si>
    <t>%e</t>
  </si>
  <si>
    <t>Energy</t>
  </si>
  <si>
    <t>Renergy</t>
  </si>
  <si>
    <t>R UO</t>
  </si>
  <si>
    <t>Subtotal</t>
  </si>
  <si>
    <t>Carga para las salidas</t>
  </si>
  <si>
    <r>
      <t>%E</t>
    </r>
    <r>
      <rPr>
        <b/>
        <vertAlign val="subscript"/>
        <sz val="11"/>
        <color theme="1"/>
        <rFont val="Calibri"/>
        <family val="2"/>
        <scheme val="minor"/>
      </rPr>
      <t>subtotal</t>
    </r>
  </si>
  <si>
    <r>
      <t>%V</t>
    </r>
    <r>
      <rPr>
        <b/>
        <vertAlign val="subscript"/>
        <sz val="11"/>
        <color theme="1"/>
        <rFont val="Calibri"/>
        <family val="2"/>
        <scheme val="minor"/>
      </rPr>
      <t>subtotal</t>
    </r>
  </si>
  <si>
    <t>-</t>
  </si>
  <si>
    <t>REFINERIA: SALIDAS</t>
  </si>
  <si>
    <t>REFINERÍA: ENTRADAS</t>
  </si>
  <si>
    <t>REFINERIA: DATOS GENERALES</t>
  </si>
  <si>
    <t>Capacidad nominal, kbpd</t>
  </si>
  <si>
    <t>Eficiencia de conversión petróleo Subtotal</t>
  </si>
  <si>
    <t>Eficiencia de conversión petróleo Total</t>
  </si>
  <si>
    <t>OPEX (sin electricidad), USD2019</t>
  </si>
  <si>
    <t>REFINERIA: ENTRADA: PRODUCCION DE HIDROGENO GRIS (SMR)</t>
  </si>
  <si>
    <t>MW</t>
  </si>
  <si>
    <t>Relación H2 por natural gas, MW / MW H2</t>
  </si>
  <si>
    <t>PJ/PJ H2</t>
  </si>
  <si>
    <t>OPEX (MUSD/kg H2)</t>
  </si>
  <si>
    <t>Capacidad máxima</t>
  </si>
  <si>
    <t>REFINERIA: ENTRADA: PRODUCCION DE ELECTRICIDAD</t>
  </si>
  <si>
    <t>ELC-REF</t>
  </si>
  <si>
    <t>Eficiencia de electricidad</t>
  </si>
  <si>
    <t>Entradas</t>
  </si>
  <si>
    <t>Gas Natural, MPCD</t>
  </si>
  <si>
    <t>UO*</t>
  </si>
  <si>
    <t xml:space="preserve">R: </t>
  </si>
  <si>
    <t>PJ RFG per PJ electricity</t>
  </si>
  <si>
    <t>PJ Natural Gas per PJ Electricity</t>
  </si>
  <si>
    <t>Capacidad de generación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</si>
</sst>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-* #,##0.00_-;\-* #,##0.00_-;_-* &quot;-&quot;??_-;_-@_-"/>
    <numFmt numFmtId="164" formatCode="0.0"/>
    <numFmt numFmtId="165" formatCode="\Te\x\t"/>
    <numFmt numFmtId="166" formatCode="0.000"/>
    <numFmt numFmtId="167" formatCode="_-* #,##0.000_-;\-* #,##0.000_-;_-* &quot;-&quot;??_-;_-@_-"/>
    <numFmt numFmtId="168" formatCode="_-* #,##0.00000_-;\-* #,##0.00000_-;_-* &quot;-&quot;??_-;_-@_-"/>
    <numFmt numFmtId="169" formatCode="_-* #,##0_-;\-* #,##0_-;_-* &quot;-&quot;??_-;_-@_-"/>
    <numFmt numFmtId="170" formatCode="_-* #,##0.0_-;\-* #,##0.0_-;_-* &quot;-&quot;??_-;_-@_-"/>
    <numFmt numFmtId="171" formatCode="0.0000"/>
    <numFmt numFmtId="172" formatCode="_-* #,##0.00\ _€_-;\-* #,##0.00\ _€_-;_-* &quot;-&quot;??\ _€_-;_-@_-"/>
    <numFmt numFmtId="173" formatCode="_-* #,##0.000000_-;\-* #,##0.000000_-;_-* &quot;-&quot;??_-;_-@_-"/>
    <numFmt numFmtId="174" formatCode="_-* #,##0.0000_-;\-* #,##0.0000_-;_-* &quot;-&quot;??_-;_-@_-"/>
    <numFmt numFmtId="175" formatCode="0.0%"/>
    <numFmt numFmtId="176" formatCode="0.0E+00"/>
    <numFmt numFmtId="177" formatCode="0.0000%"/>
    <numFmt numFmtId="178" formatCode="_-* #,##0.000_-;\-* #,##0.000_-;_-* &quot;-&quot;???_-;_-@_-"/>
  </numFmts>
  <fonts count="5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vertAlign val="subscript"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8"/>
      <color rgb="FFC00000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5" tint="-0.249977111117893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vertAlign val="subscript"/>
      <sz val="8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8"/>
      <color theme="0" tint="-0.34998626667073579"/>
      <name val="Calibri"/>
      <family val="2"/>
      <scheme val="minor"/>
    </font>
    <font>
      <b/>
      <sz val="11"/>
      <color rgb="FF0000FF"/>
      <name val="Calibri"/>
      <family val="2"/>
    </font>
    <font>
      <sz val="11"/>
      <color theme="1"/>
      <name val="Calibri"/>
      <family val="2"/>
    </font>
    <font>
      <b/>
      <sz val="11"/>
      <color indexed="12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color rgb="FF0000FF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rgb="FF00B05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0"/>
      <color theme="1"/>
      <name val="Arial"/>
      <family val="2"/>
    </font>
    <font>
      <b/>
      <sz val="11"/>
      <color indexed="12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8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/>
      <top/>
      <bottom style="thin">
        <color theme="0" tint="-0.499984740745262"/>
      </bottom>
      <diagonal/>
    </border>
    <border>
      <left/>
      <right/>
      <top/>
      <bottom style="thin">
        <color theme="0" tint="-4.9989318521683403E-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1" fillId="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</cellStyleXfs>
  <cellXfs count="540">
    <xf numFmtId="0" fontId="0" fillId="0" borderId="0" xfId="0"/>
    <xf numFmtId="0" fontId="0" fillId="3" borderId="0" xfId="0" applyFill="1"/>
    <xf numFmtId="0" fontId="2" fillId="3" borderId="0" xfId="2" applyFill="1"/>
    <xf numFmtId="0" fontId="3" fillId="3" borderId="0" xfId="3" applyFont="1" applyFill="1" applyAlignment="1">
      <alignment horizontal="left"/>
    </xf>
    <xf numFmtId="0" fontId="4" fillId="4" borderId="1" xfId="2" applyFont="1" applyFill="1" applyBorder="1" applyAlignment="1">
      <alignment horizontal="left"/>
    </xf>
    <xf numFmtId="0" fontId="4" fillId="4" borderId="2" xfId="2" applyFont="1" applyFill="1" applyBorder="1" applyAlignment="1">
      <alignment horizontal="left"/>
    </xf>
    <xf numFmtId="0" fontId="4" fillId="4" borderId="1" xfId="2" applyFont="1" applyFill="1" applyBorder="1" applyAlignment="1">
      <alignment horizontal="center" wrapText="1"/>
    </xf>
    <xf numFmtId="0" fontId="5" fillId="2" borderId="3" xfId="1" applyFont="1" applyBorder="1" applyAlignment="1">
      <alignment horizontal="left" wrapText="1"/>
    </xf>
    <xf numFmtId="0" fontId="5" fillId="2" borderId="3" xfId="1" applyFont="1" applyBorder="1" applyAlignment="1">
      <alignment horizontal="center" wrapText="1"/>
    </xf>
    <xf numFmtId="165" fontId="3" fillId="3" borderId="0" xfId="2" applyNumberFormat="1" applyFont="1" applyFill="1"/>
    <xf numFmtId="165" fontId="2" fillId="3" borderId="0" xfId="2" applyNumberFormat="1" applyFill="1"/>
    <xf numFmtId="165" fontId="4" fillId="4" borderId="1" xfId="2" applyNumberFormat="1" applyFont="1" applyFill="1" applyBorder="1" applyAlignment="1">
      <alignment horizontal="left"/>
    </xf>
    <xf numFmtId="165" fontId="4" fillId="4" borderId="2" xfId="2" applyNumberFormat="1" applyFont="1" applyFill="1" applyBorder="1" applyAlignment="1">
      <alignment horizontal="left"/>
    </xf>
    <xf numFmtId="165" fontId="5" fillId="2" borderId="3" xfId="1" applyNumberFormat="1" applyFont="1" applyBorder="1" applyAlignment="1">
      <alignment horizontal="left" wrapText="1"/>
    </xf>
    <xf numFmtId="165" fontId="3" fillId="0" borderId="0" xfId="2" applyNumberFormat="1" applyFont="1"/>
    <xf numFmtId="0" fontId="0" fillId="3" borderId="0" xfId="0" applyFill="1" applyAlignment="1">
      <alignment wrapText="1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0" fontId="5" fillId="2" borderId="3" xfId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0" fontId="0" fillId="6" borderId="0" xfId="0" applyFill="1"/>
    <xf numFmtId="164" fontId="0" fillId="6" borderId="0" xfId="0" applyNumberFormat="1" applyFill="1"/>
    <xf numFmtId="9" fontId="0" fillId="6" borderId="0" xfId="0" applyNumberFormat="1" applyFill="1"/>
    <xf numFmtId="0" fontId="11" fillId="3" borderId="0" xfId="4" applyFont="1" applyFill="1"/>
    <xf numFmtId="165" fontId="12" fillId="0" borderId="0" xfId="2" applyNumberFormat="1" applyFont="1"/>
    <xf numFmtId="0" fontId="13" fillId="4" borderId="2" xfId="4" applyFont="1" applyFill="1" applyBorder="1" applyAlignment="1">
      <alignment horizontal="left"/>
    </xf>
    <xf numFmtId="0" fontId="13" fillId="4" borderId="2" xfId="4" applyFont="1" applyFill="1" applyBorder="1" applyAlignment="1">
      <alignment horizontal="center" vertical="center"/>
    </xf>
    <xf numFmtId="0" fontId="13" fillId="3" borderId="0" xfId="4" applyFont="1" applyFill="1" applyAlignment="1">
      <alignment horizontal="center" vertical="center"/>
    </xf>
    <xf numFmtId="165" fontId="13" fillId="4" borderId="2" xfId="2" applyNumberFormat="1" applyFont="1" applyFill="1" applyBorder="1" applyAlignment="1">
      <alignment horizontal="left"/>
    </xf>
    <xf numFmtId="0" fontId="11" fillId="3" borderId="0" xfId="2" applyFont="1" applyFill="1" applyAlignment="1">
      <alignment horizontal="center" vertical="center"/>
    </xf>
    <xf numFmtId="0" fontId="11" fillId="3" borderId="0" xfId="4" applyFont="1" applyFill="1" applyAlignment="1">
      <alignment horizontal="center" vertical="center"/>
    </xf>
    <xf numFmtId="0" fontId="11" fillId="3" borderId="0" xfId="2" applyFont="1" applyFill="1"/>
    <xf numFmtId="0" fontId="14" fillId="0" borderId="0" xfId="0" applyFont="1"/>
    <xf numFmtId="0" fontId="15" fillId="3" borderId="0" xfId="0" applyFont="1" applyFill="1"/>
    <xf numFmtId="0" fontId="15" fillId="0" borderId="0" xfId="0" applyFont="1"/>
    <xf numFmtId="0" fontId="15" fillId="3" borderId="0" xfId="1" applyFont="1" applyFill="1" applyBorder="1" applyAlignment="1">
      <alignment horizontal="left"/>
    </xf>
    <xf numFmtId="0" fontId="15" fillId="3" borderId="0" xfId="1" applyFont="1" applyFill="1" applyBorder="1" applyAlignment="1">
      <alignment horizontal="center" wrapText="1"/>
    </xf>
    <xf numFmtId="165" fontId="15" fillId="0" borderId="0" xfId="0" applyNumberFormat="1" applyFont="1"/>
    <xf numFmtId="9" fontId="15" fillId="0" borderId="0" xfId="0" applyNumberFormat="1" applyFont="1"/>
    <xf numFmtId="165" fontId="15" fillId="3" borderId="0" xfId="1" applyNumberFormat="1" applyFont="1" applyFill="1" applyBorder="1" applyAlignment="1">
      <alignment horizontal="left" wrapText="1"/>
    </xf>
    <xf numFmtId="0" fontId="12" fillId="3" borderId="0" xfId="2" applyFont="1" applyFill="1"/>
    <xf numFmtId="0" fontId="13" fillId="4" borderId="1" xfId="2" applyFont="1" applyFill="1" applyBorder="1" applyAlignment="1">
      <alignment vertical="center"/>
    </xf>
    <xf numFmtId="0" fontId="11" fillId="3" borderId="0" xfId="2" applyFont="1" applyFill="1" applyAlignment="1">
      <alignment vertical="center"/>
    </xf>
    <xf numFmtId="164" fontId="11" fillId="3" borderId="0" xfId="2" applyNumberFormat="1" applyFont="1" applyFill="1"/>
    <xf numFmtId="0" fontId="15" fillId="2" borderId="1" xfId="1" applyFont="1" applyBorder="1" applyAlignment="1">
      <alignment horizontal="center" vertical="center" wrapText="1"/>
    </xf>
    <xf numFmtId="0" fontId="15" fillId="2" borderId="2" xfId="1" applyFont="1" applyBorder="1" applyAlignment="1">
      <alignment horizontal="left" wrapText="1"/>
    </xf>
    <xf numFmtId="164" fontId="15" fillId="0" borderId="0" xfId="0" applyNumberFormat="1" applyFont="1"/>
    <xf numFmtId="0" fontId="0" fillId="7" borderId="0" xfId="0" applyFill="1"/>
    <xf numFmtId="0" fontId="4" fillId="4" borderId="2" xfId="6" applyFont="1" applyFill="1" applyBorder="1" applyAlignment="1">
      <alignment horizontal="left"/>
    </xf>
    <xf numFmtId="0" fontId="3" fillId="0" borderId="0" xfId="0" applyFont="1"/>
    <xf numFmtId="0" fontId="2" fillId="0" borderId="0" xfId="0" applyFont="1"/>
    <xf numFmtId="0" fontId="4" fillId="4" borderId="2" xfId="0" applyFont="1" applyFill="1" applyBorder="1" applyAlignment="1">
      <alignment vertical="center"/>
    </xf>
    <xf numFmtId="0" fontId="4" fillId="4" borderId="2" xfId="0" applyFont="1" applyFill="1" applyBorder="1" applyAlignment="1">
      <alignment horizontal="center" vertical="center"/>
    </xf>
    <xf numFmtId="1" fontId="0" fillId="0" borderId="0" xfId="0" applyNumberFormat="1"/>
    <xf numFmtId="0" fontId="2" fillId="3" borderId="0" xfId="2" applyFill="1" applyAlignment="1">
      <alignment vertical="center" wrapText="1"/>
    </xf>
    <xf numFmtId="164" fontId="2" fillId="3" borderId="0" xfId="2" applyNumberFormat="1" applyFill="1" applyAlignment="1">
      <alignment wrapText="1"/>
    </xf>
    <xf numFmtId="165" fontId="15" fillId="0" borderId="0" xfId="0" applyNumberFormat="1" applyFont="1" applyAlignment="1">
      <alignment wrapText="1"/>
    </xf>
    <xf numFmtId="0" fontId="15" fillId="0" borderId="0" xfId="0" applyFont="1" applyAlignment="1">
      <alignment wrapText="1"/>
    </xf>
    <xf numFmtId="9" fontId="15" fillId="0" borderId="0" xfId="0" applyNumberFormat="1" applyFont="1" applyAlignment="1">
      <alignment wrapText="1"/>
    </xf>
    <xf numFmtId="9" fontId="0" fillId="0" borderId="0" xfId="5" applyFont="1"/>
    <xf numFmtId="164" fontId="2" fillId="3" borderId="0" xfId="0" applyNumberFormat="1" applyFont="1" applyFill="1" applyAlignment="1">
      <alignment horizontal="center"/>
    </xf>
    <xf numFmtId="164" fontId="0" fillId="3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0" fontId="11" fillId="3" borderId="0" xfId="4" applyFont="1" applyFill="1" applyAlignment="1">
      <alignment vertical="center"/>
    </xf>
    <xf numFmtId="0" fontId="10" fillId="3" borderId="0" xfId="0" applyFont="1" applyFill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0" borderId="0" xfId="0" applyAlignment="1">
      <alignment horizontal="left"/>
    </xf>
    <xf numFmtId="166" fontId="0" fillId="0" borderId="0" xfId="0" applyNumberFormat="1"/>
    <xf numFmtId="2" fontId="0" fillId="5" borderId="0" xfId="0" applyNumberFormat="1" applyFill="1"/>
    <xf numFmtId="164" fontId="0" fillId="5" borderId="0" xfId="0" applyNumberFormat="1" applyFill="1"/>
    <xf numFmtId="164" fontId="0" fillId="0" borderId="0" xfId="0" applyNumberFormat="1"/>
    <xf numFmtId="0" fontId="17" fillId="10" borderId="8" xfId="0" applyFont="1" applyFill="1" applyBorder="1" applyAlignment="1">
      <alignment vertical="center"/>
    </xf>
    <xf numFmtId="0" fontId="17" fillId="10" borderId="8" xfId="0" applyFont="1" applyFill="1" applyBorder="1" applyAlignment="1">
      <alignment horizontal="center" vertical="center"/>
    </xf>
    <xf numFmtId="0" fontId="17" fillId="10" borderId="5" xfId="0" applyFont="1" applyFill="1" applyBorder="1" applyAlignment="1">
      <alignment horizontal="center" vertical="center" wrapText="1"/>
    </xf>
    <xf numFmtId="0" fontId="17" fillId="10" borderId="7" xfId="0" applyFont="1" applyFill="1" applyBorder="1" applyAlignment="1">
      <alignment horizontal="center" vertical="center" wrapText="1"/>
    </xf>
    <xf numFmtId="0" fontId="17" fillId="10" borderId="5" xfId="0" applyFont="1" applyFill="1" applyBorder="1"/>
    <xf numFmtId="0" fontId="17" fillId="10" borderId="7" xfId="0" applyFont="1" applyFill="1" applyBorder="1"/>
    <xf numFmtId="0" fontId="17" fillId="10" borderId="8" xfId="0" applyFont="1" applyFill="1" applyBorder="1" applyAlignment="1">
      <alignment horizontal="center" vertical="center" wrapText="1"/>
    </xf>
    <xf numFmtId="0" fontId="19" fillId="0" borderId="8" xfId="0" applyFont="1" applyBorder="1" applyAlignment="1">
      <alignment horizontal="left" vertical="top"/>
    </xf>
    <xf numFmtId="0" fontId="19" fillId="0" borderId="8" xfId="0" applyFont="1" applyBorder="1" applyAlignment="1">
      <alignment vertical="center" wrapText="1"/>
    </xf>
    <xf numFmtId="0" fontId="19" fillId="0" borderId="8" xfId="0" applyFont="1" applyBorder="1"/>
    <xf numFmtId="43" fontId="19" fillId="0" borderId="8" xfId="7" applyFont="1" applyBorder="1"/>
    <xf numFmtId="167" fontId="19" fillId="0" borderId="8" xfId="7" applyNumberFormat="1" applyFont="1" applyBorder="1"/>
    <xf numFmtId="0" fontId="19" fillId="11" borderId="8" xfId="0" applyFont="1" applyFill="1" applyBorder="1" applyAlignment="1">
      <alignment horizontal="left" vertical="top"/>
    </xf>
    <xf numFmtId="0" fontId="19" fillId="11" borderId="8" xfId="0" applyFont="1" applyFill="1" applyBorder="1" applyAlignment="1">
      <alignment vertical="center" wrapText="1"/>
    </xf>
    <xf numFmtId="0" fontId="19" fillId="11" borderId="8" xfId="0" applyFont="1" applyFill="1" applyBorder="1"/>
    <xf numFmtId="43" fontId="19" fillId="11" borderId="8" xfId="7" applyFont="1" applyFill="1" applyBorder="1"/>
    <xf numFmtId="167" fontId="19" fillId="11" borderId="8" xfId="7" applyNumberFormat="1" applyFont="1" applyFill="1" applyBorder="1"/>
    <xf numFmtId="0" fontId="20" fillId="0" borderId="8" xfId="0" applyFont="1" applyBorder="1" applyAlignment="1">
      <alignment horizontal="left" vertical="top"/>
    </xf>
    <xf numFmtId="0" fontId="21" fillId="0" borderId="8" xfId="0" applyFont="1" applyBorder="1" applyAlignment="1">
      <alignment vertical="center" wrapText="1"/>
    </xf>
    <xf numFmtId="0" fontId="21" fillId="0" borderId="8" xfId="0" applyFont="1" applyBorder="1"/>
    <xf numFmtId="43" fontId="21" fillId="0" borderId="8" xfId="7" applyFont="1" applyBorder="1"/>
    <xf numFmtId="167" fontId="21" fillId="0" borderId="8" xfId="7" applyNumberFormat="1" applyFont="1" applyBorder="1"/>
    <xf numFmtId="0" fontId="20" fillId="11" borderId="8" xfId="0" applyFont="1" applyFill="1" applyBorder="1" applyAlignment="1">
      <alignment horizontal="right" vertical="top"/>
    </xf>
    <xf numFmtId="0" fontId="19" fillId="11" borderId="8" xfId="0" applyFont="1" applyFill="1" applyBorder="1" applyAlignment="1">
      <alignment horizontal="left" vertical="center" wrapText="1" indent="1"/>
    </xf>
    <xf numFmtId="0" fontId="20" fillId="0" borderId="8" xfId="0" applyFont="1" applyBorder="1" applyAlignment="1">
      <alignment horizontal="right" vertical="top"/>
    </xf>
    <xf numFmtId="0" fontId="19" fillId="0" borderId="8" xfId="0" applyFont="1" applyBorder="1" applyAlignment="1">
      <alignment horizontal="left" vertical="center" wrapText="1" indent="1"/>
    </xf>
    <xf numFmtId="0" fontId="0" fillId="0" borderId="10" xfId="0" applyBorder="1"/>
    <xf numFmtId="0" fontId="16" fillId="9" borderId="0" xfId="0" applyFont="1" applyFill="1" applyAlignment="1">
      <alignment horizontal="center" vertical="center"/>
    </xf>
    <xf numFmtId="169" fontId="19" fillId="3" borderId="5" xfId="7" applyNumberFormat="1" applyFont="1" applyFill="1" applyBorder="1"/>
    <xf numFmtId="169" fontId="19" fillId="3" borderId="7" xfId="7" applyNumberFormat="1" applyFont="1" applyFill="1" applyBorder="1"/>
    <xf numFmtId="170" fontId="19" fillId="3" borderId="8" xfId="7" applyNumberFormat="1" applyFont="1" applyFill="1" applyBorder="1"/>
    <xf numFmtId="169" fontId="19" fillId="3" borderId="8" xfId="7" applyNumberFormat="1" applyFont="1" applyFill="1" applyBorder="1"/>
    <xf numFmtId="169" fontId="19" fillId="11" borderId="5" xfId="7" applyNumberFormat="1" applyFont="1" applyFill="1" applyBorder="1"/>
    <xf numFmtId="169" fontId="19" fillId="11" borderId="7" xfId="7" applyNumberFormat="1" applyFont="1" applyFill="1" applyBorder="1"/>
    <xf numFmtId="170" fontId="19" fillId="11" borderId="8" xfId="7" applyNumberFormat="1" applyFont="1" applyFill="1" applyBorder="1"/>
    <xf numFmtId="169" fontId="19" fillId="11" borderId="8" xfId="7" applyNumberFormat="1" applyFont="1" applyFill="1" applyBorder="1"/>
    <xf numFmtId="169" fontId="22" fillId="3" borderId="5" xfId="7" applyNumberFormat="1" applyFont="1" applyFill="1" applyBorder="1"/>
    <xf numFmtId="169" fontId="22" fillId="3" borderId="7" xfId="7" applyNumberFormat="1" applyFont="1" applyFill="1" applyBorder="1"/>
    <xf numFmtId="170" fontId="22" fillId="3" borderId="8" xfId="7" applyNumberFormat="1" applyFont="1" applyFill="1" applyBorder="1"/>
    <xf numFmtId="169" fontId="22" fillId="3" borderId="8" xfId="7" applyNumberFormat="1" applyFont="1" applyFill="1" applyBorder="1"/>
    <xf numFmtId="169" fontId="17" fillId="10" borderId="8" xfId="0" applyNumberFormat="1" applyFont="1" applyFill="1" applyBorder="1" applyAlignment="1">
      <alignment horizontal="center" vertical="center" wrapText="1"/>
    </xf>
    <xf numFmtId="169" fontId="22" fillId="11" borderId="5" xfId="7" applyNumberFormat="1" applyFont="1" applyFill="1" applyBorder="1"/>
    <xf numFmtId="169" fontId="22" fillId="11" borderId="7" xfId="7" applyNumberFormat="1" applyFont="1" applyFill="1" applyBorder="1"/>
    <xf numFmtId="170" fontId="22" fillId="11" borderId="8" xfId="7" applyNumberFormat="1" applyFont="1" applyFill="1" applyBorder="1"/>
    <xf numFmtId="169" fontId="22" fillId="11" borderId="8" xfId="7" applyNumberFormat="1" applyFont="1" applyFill="1" applyBorder="1"/>
    <xf numFmtId="0" fontId="10" fillId="0" borderId="0" xfId="0" applyFont="1"/>
    <xf numFmtId="2" fontId="0" fillId="0" borderId="0" xfId="0" applyNumberFormat="1"/>
    <xf numFmtId="0" fontId="25" fillId="0" borderId="0" xfId="0" applyFont="1"/>
    <xf numFmtId="0" fontId="26" fillId="0" borderId="0" xfId="0" applyFont="1"/>
    <xf numFmtId="0" fontId="26" fillId="0" borderId="0" xfId="0" applyFont="1" applyAlignment="1">
      <alignment horizontal="right"/>
    </xf>
    <xf numFmtId="0" fontId="27" fillId="0" borderId="0" xfId="0" applyFont="1"/>
    <xf numFmtId="0" fontId="28" fillId="0" borderId="16" xfId="0" applyFont="1" applyBorder="1" applyAlignment="1">
      <alignment vertical="center" wrapText="1"/>
    </xf>
    <xf numFmtId="0" fontId="28" fillId="0" borderId="17" xfId="0" applyFont="1" applyBorder="1" applyAlignment="1">
      <alignment vertical="center" wrapText="1"/>
    </xf>
    <xf numFmtId="172" fontId="15" fillId="0" borderId="0" xfId="0" applyNumberFormat="1" applyFont="1"/>
    <xf numFmtId="11" fontId="15" fillId="0" borderId="0" xfId="0" applyNumberFormat="1" applyFont="1"/>
    <xf numFmtId="0" fontId="28" fillId="0" borderId="18" xfId="0" applyFont="1" applyBorder="1" applyAlignment="1">
      <alignment vertical="center" wrapText="1"/>
    </xf>
    <xf numFmtId="0" fontId="28" fillId="0" borderId="19" xfId="0" applyFont="1" applyBorder="1" applyAlignment="1">
      <alignment vertical="center" wrapText="1"/>
    </xf>
    <xf numFmtId="0" fontId="16" fillId="9" borderId="8" xfId="0" applyFont="1" applyFill="1" applyBorder="1" applyAlignment="1">
      <alignment vertical="center"/>
    </xf>
    <xf numFmtId="0" fontId="17" fillId="10" borderId="8" xfId="0" applyFont="1" applyFill="1" applyBorder="1" applyAlignment="1">
      <alignment horizontal="center"/>
    </xf>
    <xf numFmtId="43" fontId="20" fillId="0" borderId="8" xfId="7" applyFont="1" applyBorder="1"/>
    <xf numFmtId="0" fontId="17" fillId="9" borderId="8" xfId="0" applyFont="1" applyFill="1" applyBorder="1" applyAlignment="1">
      <alignment vertical="center"/>
    </xf>
    <xf numFmtId="169" fontId="19" fillId="0" borderId="8" xfId="7" applyNumberFormat="1" applyFont="1" applyBorder="1"/>
    <xf numFmtId="170" fontId="19" fillId="0" borderId="8" xfId="7" applyNumberFormat="1" applyFont="1" applyBorder="1"/>
    <xf numFmtId="168" fontId="19" fillId="11" borderId="8" xfId="7" applyNumberFormat="1" applyFont="1" applyFill="1" applyBorder="1"/>
    <xf numFmtId="169" fontId="19" fillId="0" borderId="0" xfId="7" applyNumberFormat="1" applyFont="1" applyBorder="1"/>
    <xf numFmtId="170" fontId="19" fillId="0" borderId="0" xfId="7" applyNumberFormat="1" applyFont="1" applyBorder="1"/>
    <xf numFmtId="0" fontId="19" fillId="0" borderId="0" xfId="0" applyFont="1"/>
    <xf numFmtId="0" fontId="0" fillId="0" borderId="12" xfId="0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0" fillId="0" borderId="22" xfId="0" applyBorder="1"/>
    <xf numFmtId="0" fontId="15" fillId="0" borderId="0" xfId="0" applyFont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0" fillId="0" borderId="14" xfId="0" applyBorder="1"/>
    <xf numFmtId="0" fontId="0" fillId="0" borderId="24" xfId="0" applyBorder="1"/>
    <xf numFmtId="0" fontId="0" fillId="0" borderId="24" xfId="0" applyBorder="1" applyAlignment="1">
      <alignment horizontal="center"/>
    </xf>
    <xf numFmtId="0" fontId="26" fillId="0" borderId="15" xfId="0" applyFont="1" applyBorder="1" applyAlignment="1">
      <alignment horizontal="center" vertic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15" fillId="0" borderId="2" xfId="0" applyFont="1" applyBorder="1"/>
    <xf numFmtId="0" fontId="15" fillId="0" borderId="1" xfId="0" applyFont="1" applyBorder="1"/>
    <xf numFmtId="0" fontId="15" fillId="0" borderId="24" xfId="0" applyFont="1" applyBorder="1"/>
    <xf numFmtId="0" fontId="26" fillId="0" borderId="15" xfId="0" applyFont="1" applyBorder="1"/>
    <xf numFmtId="0" fontId="15" fillId="0" borderId="2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5" fillId="0" borderId="24" xfId="0" applyFont="1" applyBorder="1" applyAlignment="1">
      <alignment horizontal="center"/>
    </xf>
    <xf numFmtId="0" fontId="26" fillId="0" borderId="11" xfId="0" applyFont="1" applyBorder="1" applyAlignment="1">
      <alignment horizontal="center" vertical="center"/>
    </xf>
    <xf numFmtId="0" fontId="19" fillId="0" borderId="0" xfId="0" applyFont="1" applyAlignment="1">
      <alignment horizontal="left"/>
    </xf>
    <xf numFmtId="9" fontId="19" fillId="0" borderId="0" xfId="0" applyNumberFormat="1" applyFont="1" applyAlignment="1">
      <alignment horizontal="left"/>
    </xf>
    <xf numFmtId="10" fontId="19" fillId="0" borderId="0" xfId="5" applyNumberFormat="1" applyFont="1" applyAlignment="1">
      <alignment horizontal="left"/>
    </xf>
    <xf numFmtId="0" fontId="15" fillId="0" borderId="12" xfId="0" applyFont="1" applyBorder="1"/>
    <xf numFmtId="0" fontId="26" fillId="0" borderId="1" xfId="0" applyFont="1" applyBorder="1"/>
    <xf numFmtId="0" fontId="26" fillId="0" borderId="13" xfId="0" applyFont="1" applyBorder="1" applyAlignment="1">
      <alignment horizontal="right"/>
    </xf>
    <xf numFmtId="0" fontId="15" fillId="0" borderId="22" xfId="0" applyFont="1" applyBorder="1"/>
    <xf numFmtId="0" fontId="26" fillId="0" borderId="0" xfId="0" applyFont="1" applyAlignment="1">
      <alignment horizontal="center"/>
    </xf>
    <xf numFmtId="0" fontId="26" fillId="0" borderId="23" xfId="0" applyFont="1" applyBorder="1" applyAlignment="1">
      <alignment horizontal="right"/>
    </xf>
    <xf numFmtId="0" fontId="10" fillId="0" borderId="22" xfId="0" applyFont="1" applyBorder="1" applyAlignment="1">
      <alignment horizontal="center"/>
    </xf>
    <xf numFmtId="0" fontId="26" fillId="0" borderId="0" xfId="0" applyFont="1" applyAlignment="1">
      <alignment horizontal="center" vertical="center"/>
    </xf>
    <xf numFmtId="0" fontId="30" fillId="0" borderId="23" xfId="0" applyFont="1" applyBorder="1" applyAlignment="1">
      <alignment horizontal="center"/>
    </xf>
    <xf numFmtId="2" fontId="15" fillId="0" borderId="10" xfId="0" applyNumberFormat="1" applyFont="1" applyBorder="1" applyAlignment="1">
      <alignment horizontal="center" vertical="center"/>
    </xf>
    <xf numFmtId="166" fontId="26" fillId="0" borderId="23" xfId="0" applyNumberFormat="1" applyFont="1" applyBorder="1" applyAlignment="1">
      <alignment horizontal="right"/>
    </xf>
    <xf numFmtId="2" fontId="15" fillId="0" borderId="12" xfId="0" applyNumberFormat="1" applyFont="1" applyBorder="1" applyAlignment="1">
      <alignment horizontal="center" vertical="center"/>
    </xf>
    <xf numFmtId="2" fontId="15" fillId="0" borderId="22" xfId="0" applyNumberFormat="1" applyFont="1" applyBorder="1" applyAlignment="1">
      <alignment horizontal="center" vertical="center"/>
    </xf>
    <xf numFmtId="2" fontId="15" fillId="0" borderId="14" xfId="0" applyNumberFormat="1" applyFont="1" applyBorder="1" applyAlignment="1">
      <alignment horizontal="center" vertical="center"/>
    </xf>
    <xf numFmtId="0" fontId="15" fillId="0" borderId="14" xfId="0" applyFont="1" applyBorder="1"/>
    <xf numFmtId="0" fontId="26" fillId="0" borderId="24" xfId="0" applyFont="1" applyBorder="1"/>
    <xf numFmtId="0" fontId="26" fillId="0" borderId="15" xfId="0" applyFont="1" applyBorder="1" applyAlignment="1">
      <alignment horizontal="right"/>
    </xf>
    <xf numFmtId="0" fontId="10" fillId="0" borderId="23" xfId="0" applyFont="1" applyBorder="1" applyAlignment="1">
      <alignment horizontal="center"/>
    </xf>
    <xf numFmtId="0" fontId="27" fillId="0" borderId="23" xfId="0" applyFon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43" fontId="0" fillId="0" borderId="11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43" fontId="0" fillId="0" borderId="13" xfId="0" applyNumberFormat="1" applyBorder="1" applyAlignment="1">
      <alignment horizontal="center"/>
    </xf>
    <xf numFmtId="2" fontId="0" fillId="0" borderId="22" xfId="0" applyNumberFormat="1" applyBorder="1" applyAlignment="1">
      <alignment horizontal="center"/>
    </xf>
    <xf numFmtId="43" fontId="0" fillId="0" borderId="23" xfId="0" applyNumberFormat="1" applyBorder="1" applyAlignment="1">
      <alignment horizontal="center"/>
    </xf>
    <xf numFmtId="166" fontId="0" fillId="0" borderId="22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43" fontId="0" fillId="0" borderId="15" xfId="0" applyNumberFormat="1" applyBorder="1" applyAlignment="1">
      <alignment horizontal="center"/>
    </xf>
    <xf numFmtId="2" fontId="0" fillId="0" borderId="23" xfId="0" applyNumberFormat="1" applyBorder="1" applyAlignment="1">
      <alignment horizontal="right"/>
    </xf>
    <xf numFmtId="2" fontId="0" fillId="0" borderId="15" xfId="0" applyNumberFormat="1" applyBorder="1" applyAlignment="1">
      <alignment horizontal="right"/>
    </xf>
    <xf numFmtId="0" fontId="27" fillId="0" borderId="12" xfId="0" applyFont="1" applyBorder="1"/>
    <xf numFmtId="0" fontId="27" fillId="0" borderId="13" xfId="0" applyFont="1" applyBorder="1"/>
    <xf numFmtId="166" fontId="15" fillId="0" borderId="12" xfId="0" applyNumberFormat="1" applyFont="1" applyBorder="1" applyAlignment="1">
      <alignment horizontal="center" vertical="center"/>
    </xf>
    <xf numFmtId="0" fontId="31" fillId="0" borderId="0" xfId="0" applyFont="1"/>
    <xf numFmtId="2" fontId="0" fillId="0" borderId="11" xfId="7" applyNumberFormat="1" applyFont="1" applyBorder="1" applyAlignment="1">
      <alignment horizontal="center" vertical="center"/>
    </xf>
    <xf numFmtId="2" fontId="0" fillId="0" borderId="13" xfId="7" applyNumberFormat="1" applyFont="1" applyBorder="1" applyAlignment="1">
      <alignment horizontal="center" vertical="center"/>
    </xf>
    <xf numFmtId="2" fontId="0" fillId="0" borderId="23" xfId="7" applyNumberFormat="1" applyFont="1" applyBorder="1" applyAlignment="1">
      <alignment horizontal="center" vertical="center"/>
    </xf>
    <xf numFmtId="2" fontId="0" fillId="0" borderId="15" xfId="7" applyNumberFormat="1" applyFont="1" applyBorder="1" applyAlignment="1">
      <alignment horizontal="center" vertical="center"/>
    </xf>
    <xf numFmtId="0" fontId="10" fillId="0" borderId="11" xfId="0" applyFont="1" applyBorder="1" applyAlignment="1">
      <alignment horizontal="center"/>
    </xf>
    <xf numFmtId="0" fontId="0" fillId="0" borderId="9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0" fillId="0" borderId="9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2" fontId="0" fillId="0" borderId="9" xfId="7" applyNumberFormat="1" applyFont="1" applyBorder="1" applyAlignment="1">
      <alignment horizontal="center" vertical="center"/>
    </xf>
    <xf numFmtId="2" fontId="0" fillId="0" borderId="25" xfId="7" applyNumberFormat="1" applyFont="1" applyBorder="1" applyAlignment="1">
      <alignment horizontal="center" vertical="center"/>
    </xf>
    <xf numFmtId="2" fontId="0" fillId="0" borderId="26" xfId="7" applyNumberFormat="1" applyFont="1" applyBorder="1" applyAlignment="1">
      <alignment horizontal="center" vertical="center"/>
    </xf>
    <xf numFmtId="2" fontId="0" fillId="0" borderId="27" xfId="7" applyNumberFormat="1" applyFont="1" applyBorder="1" applyAlignment="1">
      <alignment horizontal="center" vertical="center"/>
    </xf>
    <xf numFmtId="2" fontId="0" fillId="0" borderId="23" xfId="7" applyNumberFormat="1" applyFont="1" applyBorder="1" applyAlignment="1">
      <alignment vertical="center"/>
    </xf>
    <xf numFmtId="2" fontId="0" fillId="0" borderId="15" xfId="7" applyNumberFormat="1" applyFont="1" applyBorder="1" applyAlignment="1">
      <alignment vertical="center"/>
    </xf>
    <xf numFmtId="2" fontId="0" fillId="0" borderId="26" xfId="7" applyNumberFormat="1" applyFont="1" applyBorder="1" applyAlignment="1">
      <alignment vertical="center"/>
    </xf>
    <xf numFmtId="2" fontId="0" fillId="0" borderId="27" xfId="7" applyNumberFormat="1" applyFont="1" applyBorder="1" applyAlignment="1">
      <alignment vertical="center"/>
    </xf>
    <xf numFmtId="0" fontId="15" fillId="0" borderId="11" xfId="0" applyFont="1" applyBorder="1" applyAlignment="1">
      <alignment horizontal="left" vertical="center"/>
    </xf>
    <xf numFmtId="0" fontId="15" fillId="0" borderId="13" xfId="0" applyFont="1" applyBorder="1" applyAlignment="1">
      <alignment horizontal="left" vertical="center"/>
    </xf>
    <xf numFmtId="0" fontId="15" fillId="0" borderId="23" xfId="0" applyFont="1" applyBorder="1" applyAlignment="1">
      <alignment horizontal="left" vertical="center"/>
    </xf>
    <xf numFmtId="0" fontId="15" fillId="0" borderId="15" xfId="0" applyFont="1" applyBorder="1" applyAlignment="1">
      <alignment horizontal="left" vertical="center"/>
    </xf>
    <xf numFmtId="0" fontId="26" fillId="0" borderId="23" xfId="0" applyFont="1" applyBorder="1" applyAlignment="1">
      <alignment horizontal="left" vertical="center"/>
    </xf>
    <xf numFmtId="0" fontId="15" fillId="0" borderId="2" xfId="0" applyFont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5" fillId="0" borderId="0" xfId="0" applyFont="1" applyAlignment="1">
      <alignment horizontal="left"/>
    </xf>
    <xf numFmtId="0" fontId="15" fillId="0" borderId="24" xfId="0" applyFont="1" applyBorder="1" applyAlignment="1">
      <alignment horizontal="left"/>
    </xf>
    <xf numFmtId="0" fontId="26" fillId="0" borderId="1" xfId="0" applyFont="1" applyBorder="1" applyAlignment="1">
      <alignment horizontal="left" vertical="center"/>
    </xf>
    <xf numFmtId="0" fontId="10" fillId="3" borderId="25" xfId="0" applyFont="1" applyFill="1" applyBorder="1" applyAlignment="1">
      <alignment horizontal="center"/>
    </xf>
    <xf numFmtId="0" fontId="10" fillId="3" borderId="27" xfId="0" applyFont="1" applyFill="1" applyBorder="1" applyAlignment="1">
      <alignment horizontal="center"/>
    </xf>
    <xf numFmtId="2" fontId="0" fillId="0" borderId="25" xfId="0" applyNumberFormat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0" fontId="19" fillId="7" borderId="0" xfId="0" applyFont="1" applyFill="1" applyAlignment="1">
      <alignment horizontal="left"/>
    </xf>
    <xf numFmtId="9" fontId="19" fillId="7" borderId="0" xfId="0" applyNumberFormat="1" applyFont="1" applyFill="1" applyAlignment="1">
      <alignment horizontal="left"/>
    </xf>
    <xf numFmtId="0" fontId="26" fillId="0" borderId="24" xfId="0" applyFont="1" applyBorder="1" applyAlignment="1">
      <alignment horizontal="left"/>
    </xf>
    <xf numFmtId="0" fontId="26" fillId="0" borderId="1" xfId="0" applyFont="1" applyBorder="1" applyAlignment="1">
      <alignment horizontal="left"/>
    </xf>
    <xf numFmtId="0" fontId="15" fillId="0" borderId="15" xfId="0" applyFont="1" applyBorder="1"/>
    <xf numFmtId="0" fontId="15" fillId="0" borderId="25" xfId="0" applyFont="1" applyBorder="1"/>
    <xf numFmtId="0" fontId="15" fillId="0" borderId="27" xfId="0" applyFont="1" applyBorder="1"/>
    <xf numFmtId="0" fontId="10" fillId="0" borderId="10" xfId="0" applyFont="1" applyBorder="1"/>
    <xf numFmtId="0" fontId="27" fillId="0" borderId="2" xfId="0" applyFont="1" applyBorder="1" applyAlignment="1">
      <alignment horizontal="left"/>
    </xf>
    <xf numFmtId="0" fontId="27" fillId="0" borderId="11" xfId="0" applyFont="1" applyBorder="1"/>
    <xf numFmtId="171" fontId="15" fillId="0" borderId="25" xfId="0" applyNumberFormat="1" applyFont="1" applyBorder="1"/>
    <xf numFmtId="171" fontId="15" fillId="0" borderId="13" xfId="0" applyNumberFormat="1" applyFont="1" applyBorder="1"/>
    <xf numFmtId="173" fontId="0" fillId="0" borderId="0" xfId="7" applyNumberFormat="1" applyFont="1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32" fillId="0" borderId="0" xfId="0" applyFont="1"/>
    <xf numFmtId="0" fontId="32" fillId="0" borderId="0" xfId="0" applyFont="1" applyAlignment="1">
      <alignment wrapText="1"/>
    </xf>
    <xf numFmtId="1" fontId="3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left"/>
    </xf>
    <xf numFmtId="0" fontId="4" fillId="4" borderId="3" xfId="8" applyFont="1" applyFill="1" applyBorder="1" applyAlignment="1">
      <alignment horizontal="left" vertical="center"/>
    </xf>
    <xf numFmtId="0" fontId="4" fillId="4" borderId="3" xfId="8" applyFont="1" applyFill="1" applyBorder="1" applyAlignment="1">
      <alignment horizontal="center" vertical="center"/>
    </xf>
    <xf numFmtId="0" fontId="34" fillId="0" borderId="0" xfId="0" applyFont="1"/>
    <xf numFmtId="0" fontId="34" fillId="3" borderId="0" xfId="0" applyFont="1" applyFill="1"/>
    <xf numFmtId="0" fontId="27" fillId="0" borderId="26" xfId="0" applyFont="1" applyBorder="1" applyAlignment="1">
      <alignment horizontal="center"/>
    </xf>
    <xf numFmtId="0" fontId="27" fillId="0" borderId="27" xfId="0" applyFont="1" applyBorder="1" applyAlignment="1">
      <alignment horizont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15" fillId="0" borderId="0" xfId="0" applyNumberFormat="1" applyFont="1" applyAlignment="1">
      <alignment horizontal="center" vertical="center" wrapText="1"/>
    </xf>
    <xf numFmtId="9" fontId="15" fillId="0" borderId="0" xfId="0" applyNumberFormat="1" applyFont="1" applyAlignment="1">
      <alignment horizontal="center" vertical="center"/>
    </xf>
    <xf numFmtId="10" fontId="0" fillId="0" borderId="0" xfId="0" applyNumberFormat="1"/>
    <xf numFmtId="0" fontId="0" fillId="12" borderId="0" xfId="0" applyFill="1"/>
    <xf numFmtId="0" fontId="0" fillId="12" borderId="0" xfId="0" applyFill="1" applyAlignment="1">
      <alignment horizontal="center" vertical="center"/>
    </xf>
    <xf numFmtId="9" fontId="0" fillId="12" borderId="0" xfId="5" applyFont="1" applyFill="1"/>
    <xf numFmtId="0" fontId="10" fillId="12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166" fontId="0" fillId="6" borderId="0" xfId="0" applyNumberFormat="1" applyFill="1"/>
    <xf numFmtId="171" fontId="0" fillId="6" borderId="0" xfId="0" applyNumberFormat="1" applyFill="1"/>
    <xf numFmtId="169" fontId="26" fillId="0" borderId="0" xfId="7" applyNumberFormat="1" applyFont="1"/>
    <xf numFmtId="2" fontId="26" fillId="0" borderId="0" xfId="0" applyNumberFormat="1" applyFont="1"/>
    <xf numFmtId="164" fontId="26" fillId="0" borderId="0" xfId="0" applyNumberFormat="1" applyFont="1"/>
    <xf numFmtId="1" fontId="26" fillId="0" borderId="0" xfId="0" applyNumberFormat="1" applyFont="1"/>
    <xf numFmtId="174" fontId="26" fillId="0" borderId="0" xfId="0" applyNumberFormat="1" applyFont="1"/>
    <xf numFmtId="171" fontId="26" fillId="0" borderId="0" xfId="0" applyNumberFormat="1" applyFont="1"/>
    <xf numFmtId="166" fontId="15" fillId="0" borderId="0" xfId="0" applyNumberFormat="1" applyFont="1"/>
    <xf numFmtId="1" fontId="15" fillId="0" borderId="0" xfId="0" applyNumberFormat="1" applyFont="1"/>
    <xf numFmtId="9" fontId="0" fillId="0" borderId="0" xfId="5" applyFont="1" applyAlignment="1">
      <alignment horizontal="center"/>
    </xf>
    <xf numFmtId="169" fontId="0" fillId="0" borderId="0" xfId="7" applyNumberFormat="1" applyFont="1" applyAlignment="1">
      <alignment horizontal="center"/>
    </xf>
    <xf numFmtId="169" fontId="0" fillId="0" borderId="0" xfId="7" applyNumberFormat="1" applyFont="1"/>
    <xf numFmtId="169" fontId="0" fillId="0" borderId="0" xfId="7" applyNumberFormat="1" applyFont="1" applyAlignment="1">
      <alignment horizontal="center" vertical="center"/>
    </xf>
    <xf numFmtId="9" fontId="0" fillId="0" borderId="0" xfId="5" applyFont="1" applyAlignment="1">
      <alignment horizontal="center" vertical="center"/>
    </xf>
    <xf numFmtId="0" fontId="37" fillId="0" borderId="0" xfId="0" applyFont="1"/>
    <xf numFmtId="0" fontId="32" fillId="0" borderId="0" xfId="0" applyFont="1" applyAlignment="1">
      <alignment horizontal="center" vertical="center"/>
    </xf>
    <xf numFmtId="169" fontId="32" fillId="0" borderId="0" xfId="7" applyNumberFormat="1" applyFont="1" applyAlignment="1">
      <alignment horizontal="center" vertic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169" fontId="0" fillId="0" borderId="0" xfId="0" applyNumberFormat="1"/>
    <xf numFmtId="0" fontId="0" fillId="5" borderId="0" xfId="0" applyFill="1"/>
    <xf numFmtId="167" fontId="0" fillId="0" borderId="0" xfId="7" applyNumberFormat="1" applyFont="1"/>
    <xf numFmtId="10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 vertical="center"/>
    </xf>
    <xf numFmtId="0" fontId="19" fillId="0" borderId="22" xfId="0" applyFont="1" applyBorder="1"/>
    <xf numFmtId="0" fontId="0" fillId="0" borderId="23" xfId="0" applyBorder="1"/>
    <xf numFmtId="175" fontId="0" fillId="0" borderId="0" xfId="0" applyNumberFormat="1"/>
    <xf numFmtId="9" fontId="0" fillId="0" borderId="0" xfId="5" applyFont="1" applyBorder="1"/>
    <xf numFmtId="0" fontId="19" fillId="0" borderId="14" xfId="0" applyFont="1" applyBorder="1"/>
    <xf numFmtId="10" fontId="0" fillId="0" borderId="24" xfId="0" applyNumberFormat="1" applyBorder="1"/>
    <xf numFmtId="0" fontId="0" fillId="0" borderId="15" xfId="0" applyBorder="1"/>
    <xf numFmtId="0" fontId="19" fillId="5" borderId="12" xfId="0" applyFont="1" applyFill="1" applyBorder="1"/>
    <xf numFmtId="0" fontId="10" fillId="5" borderId="1" xfId="0" applyFont="1" applyFill="1" applyBorder="1"/>
    <xf numFmtId="0" fontId="0" fillId="5" borderId="1" xfId="0" applyFill="1" applyBorder="1"/>
    <xf numFmtId="0" fontId="0" fillId="5" borderId="13" xfId="0" applyFill="1" applyBorder="1"/>
    <xf numFmtId="0" fontId="19" fillId="5" borderId="22" xfId="0" applyFont="1" applyFill="1" applyBorder="1"/>
    <xf numFmtId="0" fontId="19" fillId="0" borderId="0" xfId="0" applyFont="1" applyAlignment="1">
      <alignment horizontal="center" vertical="center"/>
    </xf>
    <xf numFmtId="9" fontId="0" fillId="3" borderId="0" xfId="0" applyNumberFormat="1" applyFill="1"/>
    <xf numFmtId="9" fontId="0" fillId="5" borderId="0" xfId="0" applyNumberFormat="1" applyFill="1"/>
    <xf numFmtId="2" fontId="0" fillId="0" borderId="1" xfId="0" applyNumberFormat="1" applyBorder="1"/>
    <xf numFmtId="2" fontId="0" fillId="0" borderId="13" xfId="0" applyNumberFormat="1" applyBorder="1"/>
    <xf numFmtId="2" fontId="0" fillId="0" borderId="23" xfId="0" applyNumberFormat="1" applyBorder="1"/>
    <xf numFmtId="2" fontId="0" fillId="0" borderId="24" xfId="0" applyNumberFormat="1" applyBorder="1"/>
    <xf numFmtId="2" fontId="0" fillId="0" borderId="15" xfId="0" applyNumberFormat="1" applyBorder="1"/>
    <xf numFmtId="0" fontId="0" fillId="0" borderId="12" xfId="0" applyBorder="1" applyAlignment="1">
      <alignment horizontal="center"/>
    </xf>
    <xf numFmtId="9" fontId="0" fillId="0" borderId="13" xfId="0" applyNumberFormat="1" applyBorder="1" applyAlignment="1">
      <alignment horizontal="center"/>
    </xf>
    <xf numFmtId="0" fontId="0" fillId="0" borderId="22" xfId="0" applyBorder="1" applyAlignment="1">
      <alignment horizontal="center"/>
    </xf>
    <xf numFmtId="9" fontId="0" fillId="0" borderId="23" xfId="0" applyNumberFormat="1" applyBorder="1" applyAlignment="1">
      <alignment horizontal="center"/>
    </xf>
    <xf numFmtId="0" fontId="0" fillId="0" borderId="14" xfId="0" applyBorder="1" applyAlignment="1">
      <alignment horizontal="center"/>
    </xf>
    <xf numFmtId="9" fontId="0" fillId="0" borderId="0" xfId="0" applyNumberFormat="1" applyAlignment="1">
      <alignment horizontal="center" vertical="center"/>
    </xf>
    <xf numFmtId="0" fontId="38" fillId="0" borderId="0" xfId="0" applyFont="1"/>
    <xf numFmtId="0" fontId="4" fillId="5" borderId="10" xfId="4" applyFont="1" applyFill="1" applyBorder="1" applyAlignment="1">
      <alignment horizontal="center" vertical="center"/>
    </xf>
    <xf numFmtId="0" fontId="4" fillId="4" borderId="2" xfId="4" applyFont="1" applyFill="1" applyBorder="1" applyAlignment="1">
      <alignment horizontal="left"/>
    </xf>
    <xf numFmtId="0" fontId="4" fillId="4" borderId="11" xfId="4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9" fontId="0" fillId="3" borderId="0" xfId="0" applyNumberFormat="1" applyFill="1" applyAlignment="1">
      <alignment horizontal="center" vertical="center"/>
    </xf>
    <xf numFmtId="9" fontId="0" fillId="3" borderId="0" xfId="5" applyFont="1" applyFill="1" applyAlignment="1">
      <alignment horizontal="center" vertical="center"/>
    </xf>
    <xf numFmtId="165" fontId="4" fillId="4" borderId="10" xfId="2" applyNumberFormat="1" applyFont="1" applyFill="1" applyBorder="1" applyAlignment="1">
      <alignment horizontal="left"/>
    </xf>
    <xf numFmtId="165" fontId="4" fillId="4" borderId="11" xfId="2" applyNumberFormat="1" applyFont="1" applyFill="1" applyBorder="1" applyAlignment="1">
      <alignment horizontal="left"/>
    </xf>
    <xf numFmtId="165" fontId="5" fillId="3" borderId="0" xfId="1" applyNumberFormat="1" applyFont="1" applyFill="1" applyBorder="1" applyAlignment="1">
      <alignment horizontal="left" wrapText="1"/>
    </xf>
    <xf numFmtId="43" fontId="0" fillId="0" borderId="0" xfId="7" applyFont="1"/>
    <xf numFmtId="9" fontId="0" fillId="7" borderId="0" xfId="5" applyFont="1" applyFill="1"/>
    <xf numFmtId="0" fontId="0" fillId="0" borderId="0" xfId="0" applyAlignment="1">
      <alignment horizontal="right"/>
    </xf>
    <xf numFmtId="0" fontId="0" fillId="7" borderId="0" xfId="0" applyFill="1" applyAlignment="1">
      <alignment horizontal="right"/>
    </xf>
    <xf numFmtId="0" fontId="0" fillId="13" borderId="0" xfId="0" applyFill="1" applyAlignment="1">
      <alignment horizontal="right"/>
    </xf>
    <xf numFmtId="9" fontId="0" fillId="13" borderId="0" xfId="0" applyNumberFormat="1" applyFill="1"/>
    <xf numFmtId="0" fontId="4" fillId="5" borderId="2" xfId="4" applyFont="1" applyFill="1" applyBorder="1" applyAlignment="1">
      <alignment horizontal="center" vertical="center"/>
    </xf>
    <xf numFmtId="0" fontId="39" fillId="3" borderId="0" xfId="0" applyFont="1" applyFill="1"/>
    <xf numFmtId="0" fontId="39" fillId="0" borderId="0" xfId="0" applyFont="1" applyAlignment="1">
      <alignment horizontal="center" vertical="center" wrapText="1"/>
    </xf>
    <xf numFmtId="0" fontId="39" fillId="3" borderId="0" xfId="0" applyFont="1" applyFill="1" applyAlignment="1">
      <alignment horizontal="center"/>
    </xf>
    <xf numFmtId="0" fontId="40" fillId="3" borderId="0" xfId="3" applyFont="1" applyFill="1" applyAlignment="1">
      <alignment horizontal="left"/>
    </xf>
    <xf numFmtId="0" fontId="41" fillId="5" borderId="10" xfId="4" applyFont="1" applyFill="1" applyBorder="1" applyAlignment="1">
      <alignment horizontal="center" vertical="center"/>
    </xf>
    <xf numFmtId="0" fontId="41" fillId="5" borderId="2" xfId="4" applyFont="1" applyFill="1" applyBorder="1" applyAlignment="1">
      <alignment horizontal="center" vertical="center"/>
    </xf>
    <xf numFmtId="0" fontId="41" fillId="5" borderId="11" xfId="3" applyFont="1" applyFill="1" applyBorder="1" applyAlignment="1">
      <alignment horizontal="center" vertical="center" wrapText="1"/>
    </xf>
    <xf numFmtId="0" fontId="39" fillId="3" borderId="0" xfId="1" applyFont="1" applyFill="1" applyBorder="1" applyAlignment="1">
      <alignment horizontal="center" vertical="center" wrapText="1"/>
    </xf>
    <xf numFmtId="0" fontId="39" fillId="3" borderId="0" xfId="0" applyFont="1" applyFill="1" applyAlignment="1">
      <alignment horizontal="center" vertical="center"/>
    </xf>
    <xf numFmtId="0" fontId="42" fillId="3" borderId="0" xfId="4" applyFont="1" applyFill="1" applyAlignment="1">
      <alignment horizontal="center" vertical="center"/>
    </xf>
    <xf numFmtId="0" fontId="42" fillId="3" borderId="0" xfId="3" applyFont="1" applyFill="1" applyAlignment="1">
      <alignment horizontal="center" vertical="center" wrapText="1"/>
    </xf>
    <xf numFmtId="9" fontId="42" fillId="3" borderId="0" xfId="5" applyFont="1" applyFill="1" applyBorder="1" applyAlignment="1">
      <alignment horizontal="center"/>
    </xf>
    <xf numFmtId="2" fontId="42" fillId="3" borderId="0" xfId="4" applyNumberFormat="1" applyFont="1" applyFill="1" applyAlignment="1">
      <alignment horizontal="center" vertical="center"/>
    </xf>
    <xf numFmtId="1" fontId="0" fillId="3" borderId="0" xfId="0" applyNumberFormat="1" applyFill="1" applyAlignment="1">
      <alignment horizontal="center"/>
    </xf>
    <xf numFmtId="1" fontId="42" fillId="3" borderId="0" xfId="7" applyNumberFormat="1" applyFont="1" applyFill="1" applyBorder="1" applyAlignment="1">
      <alignment horizontal="center" vertical="center"/>
    </xf>
    <xf numFmtId="0" fontId="38" fillId="3" borderId="0" xfId="0" applyFont="1" applyFill="1" applyAlignment="1">
      <alignment horizontal="center" vertical="center"/>
    </xf>
    <xf numFmtId="0" fontId="2" fillId="0" borderId="0" xfId="2"/>
    <xf numFmtId="0" fontId="45" fillId="5" borderId="2" xfId="4" applyFont="1" applyFill="1" applyBorder="1" applyAlignment="1">
      <alignment horizontal="center" vertical="center"/>
    </xf>
    <xf numFmtId="0" fontId="0" fillId="0" borderId="0" xfId="0" applyAlignment="1">
      <alignment horizontal="right" indent="1"/>
    </xf>
    <xf numFmtId="171" fontId="0" fillId="0" borderId="0" xfId="0" applyNumberFormat="1"/>
    <xf numFmtId="176" fontId="0" fillId="0" borderId="0" xfId="0" applyNumberFormat="1"/>
    <xf numFmtId="0" fontId="43" fillId="3" borderId="0" xfId="0" applyFont="1" applyFill="1" applyAlignment="1">
      <alignment horizontal="center" vertical="center"/>
    </xf>
    <xf numFmtId="0" fontId="44" fillId="0" borderId="0" xfId="2" applyFont="1"/>
    <xf numFmtId="0" fontId="44" fillId="3" borderId="0" xfId="2" applyFont="1" applyFill="1"/>
    <xf numFmtId="165" fontId="44" fillId="3" borderId="0" xfId="2" applyNumberFormat="1" applyFont="1" applyFill="1" applyAlignment="1">
      <alignment horizontal="center" vertical="center"/>
    </xf>
    <xf numFmtId="0" fontId="44" fillId="3" borderId="0" xfId="4" applyFont="1" applyFill="1"/>
    <xf numFmtId="0" fontId="44" fillId="3" borderId="0" xfId="2" applyFont="1" applyFill="1" applyAlignment="1">
      <alignment horizontal="center" vertical="center"/>
    </xf>
    <xf numFmtId="0" fontId="0" fillId="14" borderId="0" xfId="0" applyFill="1"/>
    <xf numFmtId="165" fontId="44" fillId="15" borderId="0" xfId="4" applyNumberFormat="1" applyFont="1" applyFill="1"/>
    <xf numFmtId="177" fontId="44" fillId="3" borderId="0" xfId="5" applyNumberFormat="1" applyFont="1" applyFill="1" applyBorder="1"/>
    <xf numFmtId="177" fontId="0" fillId="3" borderId="0" xfId="0" applyNumberFormat="1" applyFill="1"/>
    <xf numFmtId="0" fontId="10" fillId="0" borderId="24" xfId="0" applyFont="1" applyBorder="1" applyAlignment="1">
      <alignment horizontal="right"/>
    </xf>
    <xf numFmtId="0" fontId="10" fillId="0" borderId="24" xfId="0" applyFont="1" applyBorder="1"/>
    <xf numFmtId="165" fontId="0" fillId="3" borderId="0" xfId="0" applyNumberFormat="1" applyFill="1"/>
    <xf numFmtId="0" fontId="0" fillId="3" borderId="12" xfId="0" applyFill="1" applyBorder="1"/>
    <xf numFmtId="10" fontId="0" fillId="0" borderId="13" xfId="0" applyNumberFormat="1" applyBorder="1"/>
    <xf numFmtId="0" fontId="0" fillId="3" borderId="22" xfId="0" applyFill="1" applyBorder="1"/>
    <xf numFmtId="10" fontId="0" fillId="0" borderId="23" xfId="0" applyNumberFormat="1" applyBorder="1"/>
    <xf numFmtId="0" fontId="0" fillId="3" borderId="14" xfId="0" applyFill="1" applyBorder="1"/>
    <xf numFmtId="10" fontId="0" fillId="0" borderId="15" xfId="0" applyNumberFormat="1" applyBorder="1"/>
    <xf numFmtId="2" fontId="0" fillId="0" borderId="0" xfId="0" applyNumberFormat="1" applyAlignment="1">
      <alignment horizontal="right"/>
    </xf>
    <xf numFmtId="2" fontId="0" fillId="0" borderId="24" xfId="0" applyNumberFormat="1" applyBorder="1" applyAlignment="1">
      <alignment horizontal="right"/>
    </xf>
    <xf numFmtId="9" fontId="0" fillId="0" borderId="23" xfId="5" applyFont="1" applyBorder="1"/>
    <xf numFmtId="43" fontId="0" fillId="0" borderId="0" xfId="0" applyNumberFormat="1"/>
    <xf numFmtId="167" fontId="0" fillId="0" borderId="0" xfId="0" applyNumberFormat="1"/>
    <xf numFmtId="178" fontId="0" fillId="0" borderId="0" xfId="0" applyNumberFormat="1"/>
    <xf numFmtId="0" fontId="10" fillId="0" borderId="24" xfId="0" applyFont="1" applyBorder="1" applyAlignment="1">
      <alignment horizontal="center"/>
    </xf>
    <xf numFmtId="0" fontId="0" fillId="16" borderId="0" xfId="0" applyFill="1"/>
    <xf numFmtId="0" fontId="10" fillId="3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5" fillId="0" borderId="13" xfId="0" applyFont="1" applyBorder="1" applyAlignment="1">
      <alignment horizontal="left" vertical="center"/>
    </xf>
    <xf numFmtId="0" fontId="15" fillId="0" borderId="23" xfId="0" applyFont="1" applyBorder="1" applyAlignment="1">
      <alignment horizontal="left" vertical="center"/>
    </xf>
    <xf numFmtId="0" fontId="15" fillId="0" borderId="15" xfId="0" applyFont="1" applyBorder="1" applyAlignment="1">
      <alignment horizontal="left" vertical="center"/>
    </xf>
    <xf numFmtId="0" fontId="17" fillId="10" borderId="5" xfId="0" applyFont="1" applyFill="1" applyBorder="1" applyAlignment="1">
      <alignment horizontal="center" vertical="center" wrapText="1"/>
    </xf>
    <xf numFmtId="0" fontId="17" fillId="10" borderId="6" xfId="0" applyFont="1" applyFill="1" applyBorder="1" applyAlignment="1">
      <alignment horizontal="center" vertical="center" wrapText="1"/>
    </xf>
    <xf numFmtId="0" fontId="17" fillId="10" borderId="7" xfId="0" applyFont="1" applyFill="1" applyBorder="1" applyAlignment="1">
      <alignment horizontal="center" vertical="center" wrapText="1"/>
    </xf>
    <xf numFmtId="0" fontId="16" fillId="9" borderId="5" xfId="0" applyFont="1" applyFill="1" applyBorder="1" applyAlignment="1">
      <alignment horizontal="center" vertical="center"/>
    </xf>
    <xf numFmtId="0" fontId="16" fillId="9" borderId="6" xfId="0" applyFont="1" applyFill="1" applyBorder="1" applyAlignment="1">
      <alignment horizontal="center" vertical="center"/>
    </xf>
    <xf numFmtId="0" fontId="16" fillId="9" borderId="7" xfId="0" applyFont="1" applyFill="1" applyBorder="1" applyAlignment="1">
      <alignment horizontal="center" vertical="center"/>
    </xf>
    <xf numFmtId="0" fontId="16" fillId="9" borderId="20" xfId="0" applyFont="1" applyFill="1" applyBorder="1" applyAlignment="1">
      <alignment horizontal="center" vertical="center"/>
    </xf>
    <xf numFmtId="0" fontId="16" fillId="9" borderId="21" xfId="0" applyFont="1" applyFill="1" applyBorder="1" applyAlignment="1">
      <alignment horizontal="center" vertical="center"/>
    </xf>
    <xf numFmtId="2" fontId="15" fillId="0" borderId="12" xfId="0" applyNumberFormat="1" applyFont="1" applyBorder="1" applyAlignment="1">
      <alignment horizontal="center" vertical="center"/>
    </xf>
    <xf numFmtId="2" fontId="15" fillId="0" borderId="22" xfId="0" applyNumberFormat="1" applyFont="1" applyBorder="1" applyAlignment="1">
      <alignment horizontal="center" vertical="center"/>
    </xf>
    <xf numFmtId="2" fontId="15" fillId="0" borderId="14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0" fillId="0" borderId="22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43" fontId="0" fillId="0" borderId="13" xfId="0" applyNumberFormat="1" applyBorder="1" applyAlignment="1">
      <alignment horizontal="center" vertical="center"/>
    </xf>
    <xf numFmtId="43" fontId="0" fillId="0" borderId="23" xfId="0" applyNumberFormat="1" applyBorder="1" applyAlignment="1">
      <alignment horizontal="center" vertical="center"/>
    </xf>
    <xf numFmtId="43" fontId="0" fillId="0" borderId="15" xfId="0" applyNumberForma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10" fillId="0" borderId="24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7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1" xfId="0" applyBorder="1" applyAlignment="1">
      <alignment horizontal="center"/>
    </xf>
    <xf numFmtId="9" fontId="0" fillId="0" borderId="23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9" fontId="0" fillId="0" borderId="23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9" fontId="0" fillId="0" borderId="0" xfId="0" applyNumberForma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9" fontId="0" fillId="3" borderId="0" xfId="0" applyNumberFormat="1" applyFill="1" applyBorder="1" applyAlignment="1">
      <alignment horizontal="center" vertical="center"/>
    </xf>
    <xf numFmtId="9" fontId="0" fillId="3" borderId="23" xfId="0" applyNumberFormat="1" applyFill="1" applyBorder="1" applyAlignment="1">
      <alignment horizontal="center" vertical="center"/>
    </xf>
    <xf numFmtId="9" fontId="0" fillId="3" borderId="0" xfId="0" applyNumberFormat="1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10" fillId="3" borderId="10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10" fillId="3" borderId="11" xfId="0" applyFont="1" applyFill="1" applyBorder="1" applyAlignment="1">
      <alignment horizontal="center"/>
    </xf>
    <xf numFmtId="0" fontId="0" fillId="0" borderId="0" xfId="0" applyFont="1"/>
    <xf numFmtId="10" fontId="44" fillId="3" borderId="0" xfId="5" applyNumberFormat="1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Border="1" applyAlignment="1">
      <alignment horizontal="right"/>
    </xf>
    <xf numFmtId="2" fontId="0" fillId="0" borderId="0" xfId="0" applyNumberFormat="1" applyBorder="1" applyAlignment="1">
      <alignment horizontal="right"/>
    </xf>
    <xf numFmtId="0" fontId="0" fillId="3" borderId="0" xfId="0" applyFill="1" applyBorder="1"/>
    <xf numFmtId="10" fontId="0" fillId="0" borderId="0" xfId="0" applyNumberFormat="1" applyBorder="1"/>
    <xf numFmtId="0" fontId="0" fillId="0" borderId="0" xfId="0" applyBorder="1" applyAlignment="1">
      <alignment horizontal="right"/>
    </xf>
    <xf numFmtId="2" fontId="0" fillId="0" borderId="0" xfId="7" applyNumberFormat="1" applyFont="1" applyBorder="1" applyAlignment="1">
      <alignment horizontal="center"/>
    </xf>
    <xf numFmtId="9" fontId="0" fillId="0" borderId="0" xfId="5" applyFont="1" applyBorder="1" applyAlignment="1">
      <alignment horizontal="center"/>
    </xf>
    <xf numFmtId="166" fontId="0" fillId="0" borderId="0" xfId="0" applyNumberFormat="1" applyBorder="1"/>
    <xf numFmtId="9" fontId="0" fillId="0" borderId="0" xfId="5" applyFont="1" applyBorder="1" applyAlignment="1">
      <alignment horizontal="right"/>
    </xf>
    <xf numFmtId="2" fontId="0" fillId="0" borderId="0" xfId="0" applyNumberFormat="1" applyBorder="1" applyAlignment="1">
      <alignment horizontal="center" vertical="center"/>
    </xf>
    <xf numFmtId="2" fontId="0" fillId="0" borderId="0" xfId="0" applyNumberFormat="1" applyBorder="1" applyAlignment="1">
      <alignment horizontal="center"/>
    </xf>
    <xf numFmtId="9" fontId="47" fillId="0" borderId="0" xfId="5" applyFont="1" applyBorder="1" applyAlignment="1">
      <alignment horizontal="center"/>
    </xf>
    <xf numFmtId="9" fontId="47" fillId="0" borderId="0" xfId="0" applyNumberFormat="1" applyFont="1" applyBorder="1"/>
    <xf numFmtId="9" fontId="0" fillId="3" borderId="0" xfId="0" applyNumberFormat="1" applyFill="1" applyBorder="1"/>
    <xf numFmtId="0" fontId="38" fillId="3" borderId="0" xfId="0" applyFont="1" applyFill="1" applyBorder="1" applyAlignment="1">
      <alignment horizontal="center" vertical="center"/>
    </xf>
    <xf numFmtId="0" fontId="2" fillId="0" borderId="0" xfId="2" applyBorder="1"/>
    <xf numFmtId="0" fontId="2" fillId="3" borderId="0" xfId="2" applyFill="1" applyBorder="1"/>
    <xf numFmtId="165" fontId="0" fillId="3" borderId="0" xfId="0" applyNumberFormat="1" applyFill="1" applyBorder="1"/>
    <xf numFmtId="10" fontId="49" fillId="0" borderId="0" xfId="0" applyNumberFormat="1" applyFont="1" applyBorder="1"/>
    <xf numFmtId="0" fontId="0" fillId="0" borderId="0" xfId="0" applyFont="1" applyBorder="1" applyAlignment="1">
      <alignment horizontal="right" indent="1"/>
    </xf>
    <xf numFmtId="0" fontId="0" fillId="0" borderId="0" xfId="0" applyFont="1" applyBorder="1"/>
    <xf numFmtId="2" fontId="46" fillId="0" borderId="0" xfId="0" applyNumberFormat="1" applyFont="1" applyBorder="1"/>
    <xf numFmtId="164" fontId="0" fillId="0" borderId="0" xfId="0" applyNumberFormat="1" applyFont="1" applyBorder="1"/>
    <xf numFmtId="0" fontId="46" fillId="0" borderId="0" xfId="0" applyFont="1" applyBorder="1"/>
    <xf numFmtId="0" fontId="0" fillId="0" borderId="0" xfId="0" applyBorder="1" applyAlignment="1">
      <alignment horizontal="left"/>
    </xf>
    <xf numFmtId="166" fontId="0" fillId="0" borderId="0" xfId="0" applyNumberFormat="1" applyFont="1" applyBorder="1"/>
    <xf numFmtId="0" fontId="43" fillId="3" borderId="0" xfId="0" applyFont="1" applyFill="1" applyBorder="1" applyAlignment="1">
      <alignment horizontal="center" vertical="center"/>
    </xf>
    <xf numFmtId="0" fontId="44" fillId="0" borderId="0" xfId="2" applyFont="1" applyBorder="1"/>
    <xf numFmtId="0" fontId="44" fillId="3" borderId="0" xfId="2" applyFont="1" applyFill="1" applyBorder="1"/>
    <xf numFmtId="165" fontId="44" fillId="3" borderId="0" xfId="2" applyNumberFormat="1" applyFont="1" applyFill="1" applyBorder="1" applyAlignment="1">
      <alignment horizontal="center" vertical="center"/>
    </xf>
    <xf numFmtId="0" fontId="44" fillId="3" borderId="0" xfId="4" applyFont="1" applyFill="1" applyBorder="1"/>
    <xf numFmtId="0" fontId="44" fillId="3" borderId="0" xfId="2" applyFont="1" applyFill="1" applyBorder="1" applyAlignment="1">
      <alignment horizontal="center" vertical="center"/>
    </xf>
    <xf numFmtId="0" fontId="0" fillId="14" borderId="0" xfId="0" applyFill="1" applyBorder="1"/>
    <xf numFmtId="10" fontId="0" fillId="3" borderId="0" xfId="0" applyNumberFormat="1" applyFill="1" applyBorder="1"/>
    <xf numFmtId="0" fontId="0" fillId="16" borderId="0" xfId="0" applyFill="1" applyBorder="1"/>
    <xf numFmtId="10" fontId="47" fillId="0" borderId="0" xfId="0" applyNumberFormat="1" applyFont="1" applyBorder="1"/>
    <xf numFmtId="0" fontId="45" fillId="5" borderId="10" xfId="4" applyFont="1" applyFill="1" applyBorder="1" applyAlignment="1">
      <alignment horizontal="center" vertical="center"/>
    </xf>
    <xf numFmtId="0" fontId="45" fillId="5" borderId="11" xfId="4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4" fillId="5" borderId="11" xfId="4" applyFont="1" applyFill="1" applyBorder="1" applyAlignment="1">
      <alignment horizontal="center" vertical="center"/>
    </xf>
    <xf numFmtId="9" fontId="0" fillId="3" borderId="24" xfId="0" applyNumberFormat="1" applyFill="1" applyBorder="1"/>
    <xf numFmtId="43" fontId="0" fillId="0" borderId="0" xfId="7" applyFont="1" applyBorder="1"/>
    <xf numFmtId="2" fontId="0" fillId="0" borderId="0" xfId="0" applyNumberFormat="1" applyBorder="1"/>
    <xf numFmtId="0" fontId="0" fillId="7" borderId="0" xfId="0" applyFill="1" applyBorder="1" applyAlignment="1">
      <alignment horizontal="right"/>
    </xf>
    <xf numFmtId="9" fontId="0" fillId="7" borderId="0" xfId="5" applyFont="1" applyFill="1" applyBorder="1"/>
    <xf numFmtId="0" fontId="0" fillId="13" borderId="0" xfId="0" applyFill="1" applyBorder="1" applyAlignment="1">
      <alignment horizontal="right"/>
    </xf>
    <xf numFmtId="9" fontId="0" fillId="13" borderId="0" xfId="0" applyNumberFormat="1" applyFill="1" applyBorder="1"/>
    <xf numFmtId="0" fontId="38" fillId="0" borderId="0" xfId="0" applyFont="1" applyAlignment="1">
      <alignment horizontal="center" vertical="center"/>
    </xf>
    <xf numFmtId="0" fontId="40" fillId="3" borderId="0" xfId="3" applyFont="1" applyFill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9" fontId="42" fillId="3" borderId="0" xfId="5" applyFont="1" applyFill="1" applyBorder="1" applyAlignment="1">
      <alignment horizontal="center" vertical="center"/>
    </xf>
    <xf numFmtId="10" fontId="0" fillId="0" borderId="0" xfId="5" applyNumberFormat="1" applyFont="1" applyBorder="1"/>
    <xf numFmtId="0" fontId="9" fillId="0" borderId="0" xfId="0" applyFont="1" applyBorder="1" applyAlignment="1">
      <alignment horizontal="right"/>
    </xf>
    <xf numFmtId="0" fontId="9" fillId="0" borderId="0" xfId="0" applyFont="1" applyBorder="1"/>
    <xf numFmtId="0" fontId="0" fillId="0" borderId="0" xfId="0" applyBorder="1" applyAlignment="1">
      <alignment horizontal="right" indent="1"/>
    </xf>
    <xf numFmtId="0" fontId="0" fillId="0" borderId="24" xfId="0" applyBorder="1" applyAlignment="1">
      <alignment horizontal="center" vertical="center"/>
    </xf>
    <xf numFmtId="171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 vertical="center"/>
    </xf>
    <xf numFmtId="176" fontId="0" fillId="0" borderId="0" xfId="0" applyNumberFormat="1" applyBorder="1" applyAlignment="1">
      <alignment horizontal="center"/>
    </xf>
    <xf numFmtId="0" fontId="10" fillId="0" borderId="24" xfId="0" applyFont="1" applyBorder="1" applyAlignment="1">
      <alignment horizontal="center" vertical="center"/>
    </xf>
    <xf numFmtId="0" fontId="4" fillId="5" borderId="2" xfId="3" applyFont="1" applyFill="1" applyBorder="1" applyAlignment="1">
      <alignment horizontal="center" vertical="center" wrapText="1"/>
    </xf>
    <xf numFmtId="0" fontId="50" fillId="3" borderId="0" xfId="1" applyFont="1" applyFill="1" applyBorder="1" applyAlignment="1">
      <alignment horizontal="center" vertical="center" wrapText="1"/>
    </xf>
    <xf numFmtId="0" fontId="50" fillId="3" borderId="0" xfId="0" applyFont="1" applyFill="1" applyAlignment="1">
      <alignment horizontal="center" vertical="center"/>
    </xf>
    <xf numFmtId="0" fontId="0" fillId="3" borderId="0" xfId="0" applyFont="1" applyFill="1"/>
    <xf numFmtId="0" fontId="0" fillId="3" borderId="0" xfId="0" applyFont="1" applyFill="1" applyAlignment="1">
      <alignment horizontal="center" vertical="center"/>
    </xf>
    <xf numFmtId="9" fontId="0" fillId="3" borderId="0" xfId="0" applyNumberFormat="1" applyFont="1" applyFill="1" applyAlignment="1">
      <alignment horizontal="center"/>
    </xf>
    <xf numFmtId="0" fontId="0" fillId="3" borderId="0" xfId="0" applyFont="1" applyFill="1" applyAlignment="1">
      <alignment horizontal="center"/>
    </xf>
    <xf numFmtId="0" fontId="43" fillId="0" borderId="0" xfId="0" applyFont="1"/>
    <xf numFmtId="0" fontId="51" fillId="3" borderId="0" xfId="3" applyFont="1" applyFill="1" applyAlignment="1">
      <alignment horizontal="left"/>
    </xf>
    <xf numFmtId="0" fontId="45" fillId="5" borderId="2" xfId="3" applyFont="1" applyFill="1" applyBorder="1" applyAlignment="1">
      <alignment horizontal="center" vertical="center" wrapText="1"/>
    </xf>
    <xf numFmtId="0" fontId="0" fillId="3" borderId="0" xfId="1" applyFont="1" applyFill="1" applyBorder="1" applyAlignment="1">
      <alignment horizontal="center" vertical="center" wrapText="1"/>
    </xf>
    <xf numFmtId="1" fontId="44" fillId="7" borderId="0" xfId="4" applyNumberFormat="1" applyFont="1" applyFill="1" applyAlignment="1">
      <alignment horizontal="center" vertical="center"/>
    </xf>
    <xf numFmtId="0" fontId="50" fillId="3" borderId="10" xfId="1" applyFont="1" applyFill="1" applyBorder="1" applyAlignment="1">
      <alignment horizontal="center" vertical="center" wrapText="1"/>
    </xf>
    <xf numFmtId="0" fontId="50" fillId="3" borderId="2" xfId="1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0" fontId="2" fillId="7" borderId="11" xfId="5" applyNumberFormat="1" applyFont="1" applyFill="1" applyBorder="1" applyAlignment="1">
      <alignment horizontal="center" vertical="center"/>
    </xf>
    <xf numFmtId="10" fontId="2" fillId="3" borderId="0" xfId="5" applyNumberFormat="1" applyFont="1" applyFill="1" applyBorder="1" applyAlignment="1">
      <alignment horizontal="center" vertical="center"/>
    </xf>
    <xf numFmtId="0" fontId="2" fillId="3" borderId="0" xfId="4" applyFill="1" applyAlignment="1">
      <alignment horizontal="center" vertical="center"/>
    </xf>
    <xf numFmtId="0" fontId="2" fillId="3" borderId="0" xfId="3" applyFill="1" applyAlignment="1">
      <alignment horizontal="center" vertical="center" wrapText="1"/>
    </xf>
    <xf numFmtId="9" fontId="2" fillId="3" borderId="0" xfId="5" applyFont="1" applyFill="1" applyBorder="1"/>
    <xf numFmtId="2" fontId="2" fillId="3" borderId="0" xfId="4" applyNumberFormat="1" applyFill="1" applyAlignment="1">
      <alignment horizontal="center" vertical="center"/>
    </xf>
    <xf numFmtId="2" fontId="0" fillId="3" borderId="0" xfId="0" applyNumberFormat="1" applyFill="1"/>
    <xf numFmtId="1" fontId="0" fillId="3" borderId="0" xfId="0" applyNumberFormat="1" applyFill="1"/>
    <xf numFmtId="165" fontId="2" fillId="13" borderId="0" xfId="4" applyNumberFormat="1" applyFill="1"/>
    <xf numFmtId="0" fontId="10" fillId="0" borderId="0" xfId="0" applyFont="1" applyBorder="1" applyAlignment="1">
      <alignment horizontal="center"/>
    </xf>
    <xf numFmtId="166" fontId="2" fillId="7" borderId="0" xfId="4" applyNumberFormat="1" applyFill="1" applyAlignment="1">
      <alignment horizontal="center" vertical="center"/>
    </xf>
  </cellXfs>
  <cellStyles count="10">
    <cellStyle name="20% - Énfasis5" xfId="1" builtinId="46"/>
    <cellStyle name="Millares" xfId="7" builtinId="3"/>
    <cellStyle name="Normal" xfId="0" builtinId="0"/>
    <cellStyle name="Normal 10" xfId="2" xr:uid="{639375C3-5374-441A-B5B9-29EFF394B85E}"/>
    <cellStyle name="Normal 10 2" xfId="9" xr:uid="{54299128-8906-4D17-AB40-105AB885D9E3}"/>
    <cellStyle name="Normal 2" xfId="4" xr:uid="{496AC325-42FF-4168-84A3-9E84498F6084}"/>
    <cellStyle name="Normal 2 2" xfId="6" xr:uid="{FB7AA7FF-5969-4AB8-B58E-D23D3A0812DA}"/>
    <cellStyle name="Normal 4 2" xfId="3" xr:uid="{BF8D61B1-2E2E-479D-ABA6-8FFB8D2C0E3F}"/>
    <cellStyle name="Normal 4 3" xfId="8" xr:uid="{B58AD00C-575F-4635-954F-792419154E2F}"/>
    <cellStyle name="Porcentaje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'1. EXP_IMP'!$I$115</c:f>
              <c:strCache>
                <c:ptCount val="1"/>
                <c:pt idx="0">
                  <c:v>GSL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EXP_IMP'!$J$115:$Q$115</c:f>
              <c:numCache>
                <c:formatCode>General</c:formatCode>
                <c:ptCount val="8"/>
                <c:pt idx="0">
                  <c:v>20.996445954041999</c:v>
                </c:pt>
                <c:pt idx="1">
                  <c:v>20.795929580790002</c:v>
                </c:pt>
                <c:pt idx="2">
                  <c:v>20.716882590807003</c:v>
                </c:pt>
                <c:pt idx="3">
                  <c:v>22.202066334591002</c:v>
                </c:pt>
                <c:pt idx="4">
                  <c:v>23.568165402677998</c:v>
                </c:pt>
                <c:pt idx="5">
                  <c:v>24.597135442035</c:v>
                </c:pt>
                <c:pt idx="6">
                  <c:v>25.886116327734001</c:v>
                </c:pt>
                <c:pt idx="7">
                  <c:v>27.153960894333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89-4FEB-AE9B-8947BD58AF20}"/>
            </c:ext>
          </c:extLst>
        </c:ser>
        <c:ser>
          <c:idx val="1"/>
          <c:order val="1"/>
          <c:tx>
            <c:strRef>
              <c:f>'1. EXP_IMP'!$I$116</c:f>
              <c:strCache>
                <c:ptCount val="1"/>
                <c:pt idx="0">
                  <c:v>DSL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EXP_IMP'!$J$116:$Q$116</c:f>
              <c:numCache>
                <c:formatCode>General</c:formatCode>
                <c:ptCount val="8"/>
                <c:pt idx="0">
                  <c:v>20.905026160941002</c:v>
                </c:pt>
                <c:pt idx="1">
                  <c:v>20.219447377232999</c:v>
                </c:pt>
                <c:pt idx="2">
                  <c:v>20.630671999937999</c:v>
                </c:pt>
                <c:pt idx="3">
                  <c:v>21.930071290101001</c:v>
                </c:pt>
                <c:pt idx="4">
                  <c:v>23.082531458571001</c:v>
                </c:pt>
                <c:pt idx="5">
                  <c:v>23.875429665555</c:v>
                </c:pt>
                <c:pt idx="6">
                  <c:v>25.090517790116998</c:v>
                </c:pt>
                <c:pt idx="7">
                  <c:v>25.880965890156002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89-4FEB-AE9B-8947BD58AF20}"/>
            </c:ext>
          </c:extLst>
        </c:ser>
        <c:ser>
          <c:idx val="2"/>
          <c:order val="2"/>
          <c:tx>
            <c:strRef>
              <c:f>'1. EXP_IMP'!$I$117</c:f>
              <c:strCache>
                <c:ptCount val="1"/>
                <c:pt idx="0">
                  <c:v>KER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EXP_IMP'!$J$117:$Q$117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13.695434350650002</c:v>
                </c:pt>
                <c:pt idx="2">
                  <c:v>14.458260219857999</c:v>
                </c:pt>
                <c:pt idx="3">
                  <c:v>15.795199697939999</c:v>
                </c:pt>
                <c:pt idx="4">
                  <c:v>17.191836481949998</c:v>
                </c:pt>
                <c:pt idx="5">
                  <c:v>18.196136740431001</c:v>
                </c:pt>
                <c:pt idx="6">
                  <c:v>19.62033319935</c:v>
                </c:pt>
                <c:pt idx="7">
                  <c:v>20.718097692200999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89-4FEB-AE9B-8947BD58AF20}"/>
            </c:ext>
          </c:extLst>
        </c:ser>
        <c:ser>
          <c:idx val="3"/>
          <c:order val="3"/>
          <c:tx>
            <c:strRef>
              <c:f>'1. EXP_IMP'!$I$118</c:f>
              <c:strCache>
                <c:ptCount val="1"/>
                <c:pt idx="0">
                  <c:v>LPG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EXP_IMP'!$J$118:$Q$118</c:f>
              <c:numCache>
                <c:formatCode>General</c:formatCode>
                <c:ptCount val="8"/>
                <c:pt idx="0">
                  <c:v>17.551047751146001</c:v>
                </c:pt>
                <c:pt idx="1">
                  <c:v>16.867144707893999</c:v>
                </c:pt>
                <c:pt idx="2">
                  <c:v>19.872932116751997</c:v>
                </c:pt>
                <c:pt idx="3">
                  <c:v>22.022557377326997</c:v>
                </c:pt>
                <c:pt idx="4">
                  <c:v>22.891725470484001</c:v>
                </c:pt>
                <c:pt idx="5">
                  <c:v>24.412499742618003</c:v>
                </c:pt>
                <c:pt idx="6">
                  <c:v>25.877700660591003</c:v>
                </c:pt>
                <c:pt idx="7">
                  <c:v>27.425805235919999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F89-4FEB-AE9B-8947BD58AF20}"/>
            </c:ext>
          </c:extLst>
        </c:ser>
        <c:ser>
          <c:idx val="4"/>
          <c:order val="4"/>
          <c:tx>
            <c:strRef>
              <c:f>'1. EXP_IMP'!$I$119</c:f>
              <c:strCache>
                <c:ptCount val="1"/>
                <c:pt idx="0">
                  <c:v>HFO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EXP_IMP'!$J$119:$Q$119</c:f>
              <c:numCache>
                <c:formatCode>General</c:formatCode>
                <c:ptCount val="8"/>
                <c:pt idx="0">
                  <c:v>9.2415067298189992</c:v>
                </c:pt>
                <c:pt idx="1">
                  <c:v>9.6605963379900004</c:v>
                </c:pt>
                <c:pt idx="2">
                  <c:v>9.3615136314569991</c:v>
                </c:pt>
                <c:pt idx="3">
                  <c:v>10.777456499940001</c:v>
                </c:pt>
                <c:pt idx="4">
                  <c:v>12.03505800822</c:v>
                </c:pt>
                <c:pt idx="5">
                  <c:v>13.376972577735</c:v>
                </c:pt>
                <c:pt idx="6">
                  <c:v>14.299692331392</c:v>
                </c:pt>
                <c:pt idx="7">
                  <c:v>15.089726235401999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F89-4FEB-AE9B-8947BD58AF20}"/>
            </c:ext>
          </c:extLst>
        </c:ser>
        <c:ser>
          <c:idx val="5"/>
          <c:order val="5"/>
          <c:tx>
            <c:strRef>
              <c:f>'1. EXP_IMP'!$I$120</c:f>
              <c:strCache>
                <c:ptCount val="1"/>
                <c:pt idx="0">
                  <c:v>ETH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EXP_IMP'!$J$120:$Q$120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15.076841521470868</c:v>
                </c:pt>
                <c:pt idx="2">
                  <c:v>16.842423718223472</c:v>
                </c:pt>
                <c:pt idx="3">
                  <c:v>19.600166238545455</c:v>
                </c:pt>
                <c:pt idx="4">
                  <c:v>19.747825616593868</c:v>
                </c:pt>
                <c:pt idx="5">
                  <c:v>20.304548193105546</c:v>
                </c:pt>
                <c:pt idx="6">
                  <c:v>21.409220503499576</c:v>
                </c:pt>
                <c:pt idx="7">
                  <c:v>24.151142776321418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F89-4FEB-AE9B-8947BD58AF20}"/>
            </c:ext>
          </c:extLst>
        </c:ser>
        <c:ser>
          <c:idx val="6"/>
          <c:order val="6"/>
          <c:tx>
            <c:strRef>
              <c:f>'1. EXP_IMP'!$I$121</c:f>
              <c:strCache>
                <c:ptCount val="1"/>
                <c:pt idx="0">
                  <c:v>BDSL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EXP_IMP'!$J$121:$Q$121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26.129831538723028</c:v>
                </c:pt>
                <c:pt idx="2">
                  <c:v>26.661261993541277</c:v>
                </c:pt>
                <c:pt idx="3">
                  <c:v>28.340491100056148</c:v>
                </c:pt>
                <c:pt idx="4">
                  <c:v>29.829829037705093</c:v>
                </c:pt>
                <c:pt idx="5">
                  <c:v>30.854500790068418</c:v>
                </c:pt>
                <c:pt idx="6">
                  <c:v>32.424773577803386</c:v>
                </c:pt>
                <c:pt idx="7">
                  <c:v>33.446279027916688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F89-4FEB-AE9B-8947BD58A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95519"/>
        <c:axId val="378396351"/>
      </c:scatterChart>
      <c:valAx>
        <c:axId val="378395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8396351"/>
        <c:crosses val="autoZero"/>
        <c:crossBetween val="midCat"/>
      </c:valAx>
      <c:valAx>
        <c:axId val="37839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8395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108380</xdr:colOff>
      <xdr:row>62</xdr:row>
      <xdr:rowOff>78828</xdr:rowOff>
    </xdr:from>
    <xdr:to>
      <xdr:col>4</xdr:col>
      <xdr:colOff>59536</xdr:colOff>
      <xdr:row>66</xdr:row>
      <xdr:rowOff>91966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DEE3EFC-7106-317B-D231-150725410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380" y="9065173"/>
          <a:ext cx="5025253" cy="670034"/>
        </a:xfrm>
        <a:prstGeom prst="rect">
          <a:avLst/>
        </a:prstGeom>
      </xdr:spPr>
    </xdr:pic>
    <xdr:clientData/>
  </xdr:twoCellAnchor>
  <xdr:twoCellAnchor editAs="oneCell">
    <xdr:from>
      <xdr:col>0</xdr:col>
      <xdr:colOff>170794</xdr:colOff>
      <xdr:row>67</xdr:row>
      <xdr:rowOff>49602</xdr:rowOff>
    </xdr:from>
    <xdr:to>
      <xdr:col>2</xdr:col>
      <xdr:colOff>118242</xdr:colOff>
      <xdr:row>72</xdr:row>
      <xdr:rowOff>14718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9541BB5-4146-7A84-FC5B-E172BECA2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794" y="9857068"/>
          <a:ext cx="2042948" cy="786236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72</xdr:row>
      <xdr:rowOff>1</xdr:rowOff>
    </xdr:from>
    <xdr:to>
      <xdr:col>13</xdr:col>
      <xdr:colOff>578070</xdr:colOff>
      <xdr:row>73</xdr:row>
      <xdr:rowOff>131381</xdr:rowOff>
    </xdr:to>
    <xdr:sp macro="" textlink="">
      <xdr:nvSpPr>
        <xdr:cNvPr id="12298" name="Text Box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E6D7DE-862C-7093-7155-DB3ED9B3A825}"/>
            </a:ext>
          </a:extLst>
        </xdr:cNvPr>
        <xdr:cNvSpPr txBox="1">
          <a:spLocks noChangeArrowheads="1"/>
        </xdr:cNvSpPr>
      </xdr:nvSpPr>
      <xdr:spPr bwMode="auto">
        <a:xfrm>
          <a:off x="5688725" y="10628587"/>
          <a:ext cx="7048500" cy="29560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l" rtl="0">
            <a:defRPr sz="1000"/>
          </a:pPr>
          <a:r>
            <a:rPr lang="es-CO" sz="700" b="0" i="0" u="none" strike="noStrike" baseline="0">
              <a:solidFill>
                <a:srgbClr val="000000"/>
              </a:solidFill>
              <a:latin typeface="Calibri"/>
              <a:cs typeface="Calibri"/>
            </a:rPr>
            <a:t>https://www.minambiente.gov.co/wp-content/uploads/2021/10/cambio-climatico-Informe-sobre-el-desarrollo-y-los-supuestos-para-la-realizacion-de-escenarios-de-referencia-ndc.pdf</a:t>
          </a:r>
        </a:p>
      </xdr:txBody>
    </xdr:sp>
    <xdr:clientData/>
  </xdr:twoCellAnchor>
  <xdr:twoCellAnchor editAs="oneCell">
    <xdr:from>
      <xdr:col>4</xdr:col>
      <xdr:colOff>426983</xdr:colOff>
      <xdr:row>59</xdr:row>
      <xdr:rowOff>100472</xdr:rowOff>
    </xdr:from>
    <xdr:to>
      <xdr:col>14</xdr:col>
      <xdr:colOff>337114</xdr:colOff>
      <xdr:row>74</xdr:row>
      <xdr:rowOff>2806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2668FC5-9314-2808-33C6-33092447A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7138" y="8594144"/>
          <a:ext cx="8103906" cy="23656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228600</xdr:colOff>
      <xdr:row>70</xdr:row>
      <xdr:rowOff>133335</xdr:rowOff>
    </xdr:from>
    <xdr:to>
      <xdr:col>22</xdr:col>
      <xdr:colOff>733502</xdr:colOff>
      <xdr:row>93</xdr:row>
      <xdr:rowOff>11685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506359C-5853-611F-11D8-9789F3148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21493" y="15904014"/>
          <a:ext cx="6126252" cy="4259850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85</xdr:row>
      <xdr:rowOff>101775</xdr:rowOff>
    </xdr:from>
    <xdr:to>
      <xdr:col>12</xdr:col>
      <xdr:colOff>666750</xdr:colOff>
      <xdr:row>89</xdr:row>
      <xdr:rowOff>157097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D6BF51D-B9E3-48BB-85B3-4BD3C25DE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6475" y="18723150"/>
          <a:ext cx="5915025" cy="817322"/>
        </a:xfrm>
        <a:prstGeom prst="rect">
          <a:avLst/>
        </a:prstGeom>
      </xdr:spPr>
    </xdr:pic>
    <xdr:clientData/>
  </xdr:twoCellAnchor>
  <xdr:twoCellAnchor>
    <xdr:from>
      <xdr:col>17</xdr:col>
      <xdr:colOff>347870</xdr:colOff>
      <xdr:row>113</xdr:row>
      <xdr:rowOff>77855</xdr:rowOff>
    </xdr:from>
    <xdr:to>
      <xdr:col>23</xdr:col>
      <xdr:colOff>57979</xdr:colOff>
      <xdr:row>127</xdr:row>
      <xdr:rowOff>154055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CFAB906-0AA8-20EF-97CD-6DDE77815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627929</xdr:colOff>
      <xdr:row>99</xdr:row>
      <xdr:rowOff>174251</xdr:rowOff>
    </xdr:from>
    <xdr:to>
      <xdr:col>9</xdr:col>
      <xdr:colOff>257847</xdr:colOff>
      <xdr:row>119</xdr:row>
      <xdr:rowOff>60155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A2E0D8A-DF53-39D4-5707-460F5DBD5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04304" y="19071851"/>
          <a:ext cx="5954518" cy="36959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13</xdr:col>
      <xdr:colOff>820720</xdr:colOff>
      <xdr:row>216</xdr:row>
      <xdr:rowOff>163064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BEE9F4A-EB47-FF8D-3DDC-D92B4AE1A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0" y="32385000"/>
          <a:ext cx="11250595" cy="81640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414617</xdr:colOff>
      <xdr:row>46</xdr:row>
      <xdr:rowOff>123265</xdr:rowOff>
    </xdr:from>
    <xdr:to>
      <xdr:col>11</xdr:col>
      <xdr:colOff>1125411</xdr:colOff>
      <xdr:row>71</xdr:row>
      <xdr:rowOff>109922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6ECF573-0E8E-476C-9DFF-21B606E20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617" y="8886265"/>
          <a:ext cx="8532500" cy="474915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ri&#225;n/Downloads/BalanceBuilderTemplate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 Menu"/>
      <sheetName val="ReportCover"/>
      <sheetName val="TableOfContents"/>
      <sheetName val="Definitions"/>
      <sheetName val="Definitions_ProdLang"/>
      <sheetName val="Definitions_FlowLang"/>
      <sheetName val="Exceptions"/>
      <sheetName val="Data in physical units"/>
      <sheetName val="Conversion factors"/>
      <sheetName val="Disaggregated Balance"/>
      <sheetName val="Aggregated Balance"/>
      <sheetName val="CF formulas"/>
      <sheetName val="DPU formulas"/>
      <sheetName val="Published Balance"/>
      <sheetName val="BAL_Reading_Exercise"/>
      <sheetName val="BAL_Checking_Exercise"/>
      <sheetName val="Balance Summary"/>
      <sheetName val="Coal_Table_1"/>
      <sheetName val="Coal_Table_4"/>
      <sheetName val="Gas_Table_1"/>
      <sheetName val="Gas_Table_2a"/>
      <sheetName val="Gas_Table_2b"/>
      <sheetName val="Oil_Table_1"/>
      <sheetName val="Oil_Table_2a"/>
      <sheetName val="Oil_Table_3a"/>
      <sheetName val="Oil_Table_3b"/>
      <sheetName val="Ren_Table_1"/>
      <sheetName val="Ren_Table_2"/>
      <sheetName val="Ren_Table_3"/>
      <sheetName val="Ele_Table_1"/>
      <sheetName val="Ele_Table_3"/>
      <sheetName val="Ele_Table_4"/>
      <sheetName val="Ele_Table_6a"/>
      <sheetName val="Ele_Table_6b"/>
      <sheetName val="Ele_Table_6c"/>
      <sheetName val="Ele_Table_6d"/>
      <sheetName val="Ele_Table_7a"/>
      <sheetName val="IronSteel_CokeOven"/>
      <sheetName val="IronSteel_BlastFurnace"/>
      <sheetName val="Refinery"/>
      <sheetName val="Electricity_Heat_I"/>
      <sheetName val="Electricity_Heat_II"/>
      <sheetName val="CapacityFactor"/>
      <sheetName val="VersionHistory"/>
    </sheetNames>
    <sheetDataSet>
      <sheetData sheetId="0" refreshError="1">
        <row r="3">
          <cell r="L3" t="str">
            <v>English</v>
          </cell>
        </row>
        <row r="10">
          <cell r="D10" t="str">
            <v>Statisland</v>
          </cell>
        </row>
        <row r="12">
          <cell r="D12">
            <v>2016</v>
          </cell>
        </row>
      </sheetData>
      <sheetData sheetId="1" refreshError="1"/>
      <sheetData sheetId="2" refreshError="1"/>
      <sheetData sheetId="3" refreshError="1">
        <row r="13">
          <cell r="C13" t="str">
            <v>Anthracite</v>
          </cell>
        </row>
        <row r="14">
          <cell r="C14" t="str">
            <v>Coking coal</v>
          </cell>
        </row>
        <row r="15">
          <cell r="C15" t="str">
            <v>Other bituminous coal</v>
          </cell>
        </row>
        <row r="16">
          <cell r="C16" t="str">
            <v>Sub-bituminous coal</v>
          </cell>
        </row>
        <row r="17">
          <cell r="C17" t="str">
            <v>Lignite</v>
          </cell>
        </row>
        <row r="18">
          <cell r="C18" t="str">
            <v>Patent fuel</v>
          </cell>
        </row>
        <row r="19">
          <cell r="C19" t="str">
            <v>Coke oven coke</v>
          </cell>
        </row>
        <row r="20">
          <cell r="C20" t="str">
            <v>Gas coke</v>
          </cell>
        </row>
        <row r="21">
          <cell r="C21" t="str">
            <v>Coal tar</v>
          </cell>
        </row>
        <row r="22">
          <cell r="C22" t="str">
            <v>BKB (Brown coal briquettes)</v>
          </cell>
        </row>
        <row r="23">
          <cell r="C23" t="str">
            <v>Gas works gas</v>
          </cell>
        </row>
        <row r="24">
          <cell r="C24" t="str">
            <v>Coke oven gas</v>
          </cell>
        </row>
        <row r="25">
          <cell r="C25" t="str">
            <v>Blast furnace gas</v>
          </cell>
        </row>
        <row r="26">
          <cell r="C26" t="str">
            <v>Other recovered gases</v>
          </cell>
        </row>
        <row r="27">
          <cell r="C27" t="str">
            <v>Elec/heat output from non-spec. manufactured gases</v>
          </cell>
        </row>
        <row r="28">
          <cell r="C28" t="str">
            <v>Peat</v>
          </cell>
        </row>
        <row r="29">
          <cell r="C29" t="str">
            <v>Peat products</v>
          </cell>
        </row>
        <row r="30">
          <cell r="C30" t="str">
            <v>Oil shale and oil sands</v>
          </cell>
        </row>
        <row r="32">
          <cell r="C32" t="str">
            <v>Crude oil</v>
          </cell>
        </row>
        <row r="33">
          <cell r="C33" t="str">
            <v>Natural gas liquids (NGL)</v>
          </cell>
        </row>
        <row r="34">
          <cell r="C34" t="str">
            <v>Refinery feedstocks</v>
          </cell>
        </row>
        <row r="35">
          <cell r="C35" t="str">
            <v>Additives/ blending components</v>
          </cell>
        </row>
        <row r="36">
          <cell r="C36" t="str">
            <v>Other hydro-carbons</v>
          </cell>
        </row>
        <row r="38">
          <cell r="C38" t="str">
            <v>Refinery gas</v>
          </cell>
        </row>
        <row r="39">
          <cell r="C39" t="str">
            <v>Ethane</v>
          </cell>
        </row>
        <row r="40">
          <cell r="C40" t="str">
            <v>Liquefied petroleum gases (LPG)</v>
          </cell>
        </row>
        <row r="41">
          <cell r="C41" t="str">
            <v>Motor gasoline excl. biofuels</v>
          </cell>
        </row>
        <row r="42">
          <cell r="C42" t="str">
            <v>Aviation gasoline</v>
          </cell>
        </row>
        <row r="43">
          <cell r="C43" t="str">
            <v>Gasoline type jet fuel</v>
          </cell>
        </row>
        <row r="44">
          <cell r="C44" t="str">
            <v>Kerosene type jet fuel excl. biofuels</v>
          </cell>
        </row>
        <row r="45">
          <cell r="C45" t="str">
            <v>Other kerosene</v>
          </cell>
        </row>
        <row r="46">
          <cell r="C46" t="str">
            <v>Gas/diesel oil excluding biofuels</v>
          </cell>
        </row>
        <row r="47">
          <cell r="C47" t="str">
            <v>Fuel oil</v>
          </cell>
        </row>
        <row r="48">
          <cell r="C48" t="str">
            <v>Naphtha</v>
          </cell>
        </row>
        <row r="49">
          <cell r="C49" t="str">
            <v>White spirit &amp; SBP</v>
          </cell>
        </row>
        <row r="50">
          <cell r="C50" t="str">
            <v>Lubricants</v>
          </cell>
        </row>
        <row r="51">
          <cell r="C51" t="str">
            <v>Bitumen</v>
          </cell>
        </row>
        <row r="52">
          <cell r="C52" t="str">
            <v>Paraffin waxes</v>
          </cell>
        </row>
        <row r="53">
          <cell r="C53" t="str">
            <v>Petroleum coke</v>
          </cell>
        </row>
        <row r="54">
          <cell r="C54" t="str">
            <v>Non-specified oil products</v>
          </cell>
        </row>
        <row r="56">
          <cell r="C56" t="str">
            <v>Natural gas</v>
          </cell>
        </row>
        <row r="58">
          <cell r="C58" t="str">
            <v>Industrial waste</v>
          </cell>
        </row>
        <row r="59">
          <cell r="C59" t="str">
            <v>Municipal waste (renewable)</v>
          </cell>
        </row>
        <row r="60">
          <cell r="C60" t="str">
            <v>Municipal waste (non-renewable)</v>
          </cell>
        </row>
        <row r="61">
          <cell r="C61" t="str">
            <v>Primary solid biofuels</v>
          </cell>
        </row>
        <row r="62">
          <cell r="C62" t="str">
            <v>Biogases</v>
          </cell>
        </row>
        <row r="63">
          <cell r="C63" t="str">
            <v>Biogasoline</v>
          </cell>
        </row>
        <row r="64">
          <cell r="C64" t="str">
            <v>Bio jet kerosene</v>
          </cell>
        </row>
        <row r="65">
          <cell r="C65" t="str">
            <v>Biodiesels</v>
          </cell>
        </row>
        <row r="66">
          <cell r="C66" t="str">
            <v>Other liquid biofuels</v>
          </cell>
        </row>
        <row r="67">
          <cell r="C67" t="str">
            <v>Non-specified primary biofuels/ waste</v>
          </cell>
        </row>
        <row r="68">
          <cell r="C68" t="str">
            <v>Charcoal</v>
          </cell>
        </row>
        <row r="70">
          <cell r="C70" t="str">
            <v>Nuclear</v>
          </cell>
        </row>
        <row r="71">
          <cell r="C71" t="str">
            <v>Hydro</v>
          </cell>
        </row>
        <row r="72">
          <cell r="C72" t="str">
            <v>Geothermal</v>
          </cell>
        </row>
        <row r="73">
          <cell r="C73" t="str">
            <v>Solar photovoltaic</v>
          </cell>
        </row>
        <row r="74">
          <cell r="C74" t="str">
            <v>Solar thermal</v>
          </cell>
        </row>
        <row r="75">
          <cell r="C75" t="str">
            <v>Tide/ wave/ ocean</v>
          </cell>
        </row>
        <row r="76">
          <cell r="C76" t="str">
            <v>Wind</v>
          </cell>
        </row>
        <row r="77">
          <cell r="C77" t="str">
            <v>Heat pumps</v>
          </cell>
        </row>
        <row r="80">
          <cell r="C80" t="str">
            <v>Other sources</v>
          </cell>
        </row>
        <row r="81">
          <cell r="C81" t="str">
            <v>Electricity</v>
          </cell>
        </row>
        <row r="82">
          <cell r="C82" t="str">
            <v>Heat</v>
          </cell>
        </row>
        <row r="83">
          <cell r="C83" t="str">
            <v>Heat output from non-specified combustible fuels</v>
          </cell>
        </row>
        <row r="87">
          <cell r="C87" t="str">
            <v>Production</v>
          </cell>
        </row>
        <row r="89">
          <cell r="C89" t="str">
            <v>Imports</v>
          </cell>
        </row>
        <row r="90">
          <cell r="C90" t="str">
            <v>Exports</v>
          </cell>
        </row>
        <row r="91">
          <cell r="C91" t="str">
            <v>International marine bunkers</v>
          </cell>
        </row>
        <row r="92">
          <cell r="C92" t="str">
            <v>International aviation bunkers</v>
          </cell>
        </row>
        <row r="93">
          <cell r="C93" t="str">
            <v>Stock changes</v>
          </cell>
        </row>
        <row r="94">
          <cell r="C94" t="str">
            <v>Domestic supply</v>
          </cell>
        </row>
        <row r="95">
          <cell r="C95" t="str">
            <v>Total primary energy supply (TPES)</v>
          </cell>
        </row>
        <row r="96">
          <cell r="C96" t="str">
            <v>Transfers</v>
          </cell>
        </row>
        <row r="97">
          <cell r="C97" t="str">
            <v>Statistical differences</v>
          </cell>
        </row>
        <row r="99">
          <cell r="C99" t="str">
            <v>Transformation processes</v>
          </cell>
        </row>
        <row r="100">
          <cell r="C100" t="str">
            <v>Main activity electricity plants</v>
          </cell>
        </row>
        <row r="101">
          <cell r="C101" t="str">
            <v>Autoproducer electricity plants</v>
          </cell>
        </row>
        <row r="102">
          <cell r="C102" t="str">
            <v>Main activity producer CHP plants</v>
          </cell>
        </row>
        <row r="103">
          <cell r="C103" t="str">
            <v>Autoproducer CHP plants</v>
          </cell>
        </row>
        <row r="104">
          <cell r="C104" t="str">
            <v>Main activity producer heat plants</v>
          </cell>
        </row>
        <row r="105">
          <cell r="C105" t="str">
            <v>Autoproducer heat plants</v>
          </cell>
        </row>
        <row r="106">
          <cell r="C106" t="str">
            <v>Heat pumps</v>
          </cell>
        </row>
        <row r="107">
          <cell r="C107" t="str">
            <v>Electric boilers</v>
          </cell>
        </row>
        <row r="108">
          <cell r="C108" t="str">
            <v>Chemical heat for electricity production</v>
          </cell>
        </row>
        <row r="109">
          <cell r="C109" t="str">
            <v>Patent fuel plants</v>
          </cell>
        </row>
        <row r="110">
          <cell r="C110" t="str">
            <v>Coke ovens</v>
          </cell>
        </row>
        <row r="111">
          <cell r="C111" t="str">
            <v>Gas works</v>
          </cell>
        </row>
        <row r="112">
          <cell r="C112" t="str">
            <v>Blast furnaces</v>
          </cell>
        </row>
        <row r="113">
          <cell r="C113" t="str">
            <v>Petrochemical plants</v>
          </cell>
        </row>
        <row r="114">
          <cell r="C114" t="str">
            <v>BKB / peat briquette plants</v>
          </cell>
        </row>
        <row r="115">
          <cell r="C115" t="str">
            <v>Oil refineries</v>
          </cell>
        </row>
        <row r="116">
          <cell r="C116" t="str">
            <v>Coal liquefaction plants</v>
          </cell>
        </row>
        <row r="117">
          <cell r="C117" t="str">
            <v>Gas-to-liquids (GTL) plants</v>
          </cell>
        </row>
        <row r="118">
          <cell r="C118" t="str">
            <v>For blended natural gas</v>
          </cell>
        </row>
        <row r="119">
          <cell r="C119" t="str">
            <v>Charcoal production plants</v>
          </cell>
        </row>
        <row r="120">
          <cell r="C120" t="str">
            <v>Non-specified (transformation)</v>
          </cell>
        </row>
        <row r="122">
          <cell r="C122" t="str">
            <v>Energy industry own use</v>
          </cell>
        </row>
        <row r="123">
          <cell r="C123" t="str">
            <v>Coal mines</v>
          </cell>
        </row>
        <row r="124">
          <cell r="C124" t="str">
            <v>Oil and gas extraction</v>
          </cell>
        </row>
        <row r="125">
          <cell r="C125" t="str">
            <v>Patent fuel plants</v>
          </cell>
        </row>
        <row r="126">
          <cell r="C126" t="str">
            <v>Coke ovens</v>
          </cell>
        </row>
        <row r="127">
          <cell r="C127" t="str">
            <v>Gas works</v>
          </cell>
        </row>
        <row r="128">
          <cell r="C128" t="str">
            <v>Gasification plants for biogases</v>
          </cell>
        </row>
        <row r="129">
          <cell r="C129" t="str">
            <v>Blast furnaces</v>
          </cell>
        </row>
        <row r="130">
          <cell r="C130" t="str">
            <v>BKB / peat briquette plants</v>
          </cell>
        </row>
        <row r="131">
          <cell r="C131" t="str">
            <v>Oil refineries</v>
          </cell>
        </row>
        <row r="132">
          <cell r="C132" t="str">
            <v>Coal liquefaction plants</v>
          </cell>
        </row>
        <row r="133">
          <cell r="C133" t="str">
            <v>Liquefaction (LNG) / regasification plants</v>
          </cell>
        </row>
        <row r="134">
          <cell r="C134" t="str">
            <v>Gas-to-liquids (GTL) plants</v>
          </cell>
        </row>
        <row r="135">
          <cell r="C135" t="str">
            <v>Own use in electricity, CHP and heat plants</v>
          </cell>
        </row>
        <row r="136">
          <cell r="C136" t="str">
            <v>Used for pumped storage</v>
          </cell>
        </row>
        <row r="137">
          <cell r="C137" t="str">
            <v>Nuclear industry</v>
          </cell>
        </row>
        <row r="138">
          <cell r="C138" t="str">
            <v>Charcoal production plants</v>
          </cell>
        </row>
        <row r="139">
          <cell r="C139" t="str">
            <v>Non-specified (Energy)</v>
          </cell>
        </row>
        <row r="140">
          <cell r="C140" t="str">
            <v>Losses</v>
          </cell>
        </row>
        <row r="142">
          <cell r="C142" t="str">
            <v>Final consumption</v>
          </cell>
        </row>
        <row r="143">
          <cell r="C143" t="str">
            <v>Industry</v>
          </cell>
        </row>
        <row r="144">
          <cell r="C144" t="str">
            <v>Iron and steel</v>
          </cell>
        </row>
        <row r="145">
          <cell r="C145" t="str">
            <v>Chemical and petrochemical</v>
          </cell>
        </row>
        <row r="146">
          <cell r="C146" t="str">
            <v>Non-ferrous metals</v>
          </cell>
        </row>
        <row r="147">
          <cell r="C147" t="str">
            <v>Non-metallic minerals</v>
          </cell>
        </row>
        <row r="148">
          <cell r="C148" t="str">
            <v>Transport equipment</v>
          </cell>
        </row>
        <row r="149">
          <cell r="C149" t="str">
            <v>Machinery</v>
          </cell>
        </row>
        <row r="150">
          <cell r="C150" t="str">
            <v>Mining and quarrying</v>
          </cell>
        </row>
        <row r="151">
          <cell r="C151" t="str">
            <v>Food, beverages and tobacco</v>
          </cell>
        </row>
        <row r="152">
          <cell r="C152" t="str">
            <v>Paper, pulp and print</v>
          </cell>
        </row>
        <row r="153">
          <cell r="C153" t="str">
            <v>Wood and wood products</v>
          </cell>
        </row>
        <row r="154">
          <cell r="C154" t="str">
            <v>Construction</v>
          </cell>
        </row>
        <row r="155">
          <cell r="C155" t="str">
            <v>Textiles and leather</v>
          </cell>
        </row>
        <row r="156">
          <cell r="C156" t="str">
            <v>Non-specified (Industry)</v>
          </cell>
        </row>
        <row r="157">
          <cell r="C157" t="str">
            <v>Transport</v>
          </cell>
        </row>
        <row r="158">
          <cell r="C158" t="str">
            <v>Domestic aviation</v>
          </cell>
        </row>
        <row r="159">
          <cell r="C159" t="str">
            <v>Road</v>
          </cell>
        </row>
        <row r="160">
          <cell r="C160" t="str">
            <v>Rail</v>
          </cell>
        </row>
        <row r="161">
          <cell r="C161" t="str">
            <v>Pipeline transport</v>
          </cell>
        </row>
        <row r="162">
          <cell r="C162" t="str">
            <v>Domestic navigation</v>
          </cell>
        </row>
        <row r="163">
          <cell r="C163" t="str">
            <v>Non-specified (transport)</v>
          </cell>
        </row>
        <row r="164">
          <cell r="C164" t="str">
            <v>Other</v>
          </cell>
        </row>
        <row r="165">
          <cell r="C165" t="str">
            <v>Residential</v>
          </cell>
        </row>
        <row r="166">
          <cell r="C166" t="str">
            <v>Commercial and public services</v>
          </cell>
        </row>
        <row r="167">
          <cell r="C167" t="str">
            <v>Agriculture/forestry</v>
          </cell>
        </row>
        <row r="168">
          <cell r="C168" t="str">
            <v>Fishing</v>
          </cell>
        </row>
        <row r="169">
          <cell r="C169" t="str">
            <v>Non-specified (other)</v>
          </cell>
        </row>
        <row r="170">
          <cell r="C170" t="str">
            <v>Non-energy use</v>
          </cell>
        </row>
        <row r="171">
          <cell r="C171" t="str">
            <v>Non-energy use industry/transformation/energy</v>
          </cell>
        </row>
        <row r="172">
          <cell r="C172" t="str">
            <v>Non-energy use in transport</v>
          </cell>
        </row>
        <row r="173">
          <cell r="C173" t="str">
            <v>Non-energy use in other</v>
          </cell>
        </row>
        <row r="174">
          <cell r="C174" t="str">
            <v>Memo: Non-energy use chemical/petrochemical</v>
          </cell>
        </row>
        <row r="176">
          <cell r="C176" t="str">
            <v>Electricity output in GWh</v>
          </cell>
        </row>
        <row r="177">
          <cell r="C177" t="str">
            <v>Heat output in TJ</v>
          </cell>
        </row>
      </sheetData>
      <sheetData sheetId="4" refreshError="1"/>
      <sheetData sheetId="5" refreshError="1"/>
      <sheetData sheetId="6" refreshError="1"/>
      <sheetData sheetId="7" refreshError="1">
        <row r="4">
          <cell r="B4" t="str">
            <v>SHORT NAMES</v>
          </cell>
          <cell r="C4" t="str">
            <v>ANTCOAL</v>
          </cell>
          <cell r="D4" t="str">
            <v>COKCOAL</v>
          </cell>
          <cell r="E4" t="str">
            <v>BITCOAL</v>
          </cell>
          <cell r="F4" t="str">
            <v>SUBCOAL</v>
          </cell>
          <cell r="G4" t="str">
            <v>LIGNITE</v>
          </cell>
          <cell r="H4" t="str">
            <v>PATFUEL</v>
          </cell>
          <cell r="I4" t="str">
            <v>OVENCOKE</v>
          </cell>
          <cell r="J4" t="str">
            <v>GASCOKE</v>
          </cell>
          <cell r="K4" t="str">
            <v>COALTAR</v>
          </cell>
          <cell r="L4" t="str">
            <v>BKB</v>
          </cell>
          <cell r="M4" t="str">
            <v>GASWKSGS</v>
          </cell>
          <cell r="N4" t="str">
            <v>COKEOVGS</v>
          </cell>
          <cell r="O4" t="str">
            <v>BLFURGS</v>
          </cell>
          <cell r="P4" t="str">
            <v>OGASES</v>
          </cell>
          <cell r="Q4" t="str">
            <v>MANGAS</v>
          </cell>
          <cell r="R4" t="str">
            <v>PEAT</v>
          </cell>
          <cell r="S4" t="str">
            <v>PEATPROD</v>
          </cell>
          <cell r="T4" t="str">
            <v>OILSHALE</v>
          </cell>
          <cell r="U4" t="str">
            <v>CRUDEOIL</v>
          </cell>
          <cell r="V4" t="str">
            <v>NGL</v>
          </cell>
          <cell r="W4" t="str">
            <v>REFFEEDS</v>
          </cell>
          <cell r="X4" t="str">
            <v>ADDITIVE</v>
          </cell>
          <cell r="Y4" t="str">
            <v>NONCRUDE</v>
          </cell>
          <cell r="Z4" t="str">
            <v>REFINGAS</v>
          </cell>
          <cell r="AA4" t="str">
            <v>ETHANE</v>
          </cell>
          <cell r="AB4" t="str">
            <v>LPG</v>
          </cell>
          <cell r="AC4" t="str">
            <v>NONBIOGASO</v>
          </cell>
          <cell r="AD4" t="str">
            <v>AVGAS</v>
          </cell>
          <cell r="AE4" t="str">
            <v>JETGAS</v>
          </cell>
          <cell r="AF4" t="str">
            <v>NONBIOJETK</v>
          </cell>
          <cell r="AG4" t="str">
            <v>OTHKERO</v>
          </cell>
          <cell r="AH4" t="str">
            <v>NONBIODIES</v>
          </cell>
          <cell r="AI4" t="str">
            <v>RESFUEL</v>
          </cell>
          <cell r="AJ4" t="str">
            <v>NAPHTHA</v>
          </cell>
          <cell r="AK4" t="str">
            <v>WHITESP</v>
          </cell>
          <cell r="AL4" t="str">
            <v>LUBRIC</v>
          </cell>
          <cell r="AM4" t="str">
            <v>BITUMEN</v>
          </cell>
          <cell r="AN4" t="str">
            <v>PARWAX</v>
          </cell>
          <cell r="AO4" t="str">
            <v>PETCOKE</v>
          </cell>
          <cell r="AP4" t="str">
            <v>ONONSPEC</v>
          </cell>
          <cell r="AQ4" t="str">
            <v>NATGAS</v>
          </cell>
          <cell r="AR4" t="str">
            <v>INDWASTE</v>
          </cell>
          <cell r="AS4" t="str">
            <v>MUNWASTER</v>
          </cell>
          <cell r="AT4" t="str">
            <v>MUNWASTEN</v>
          </cell>
          <cell r="AU4" t="str">
            <v>PRIMSBIO</v>
          </cell>
          <cell r="AV4" t="str">
            <v>BIOGASES</v>
          </cell>
          <cell r="AW4" t="str">
            <v>BIOGASOL</v>
          </cell>
          <cell r="AX4" t="str">
            <v>BIOJETKERO</v>
          </cell>
          <cell r="AY4" t="str">
            <v>BIODIESEL</v>
          </cell>
          <cell r="AZ4" t="str">
            <v>OBIOLIQ</v>
          </cell>
          <cell r="BA4" t="str">
            <v>RENEWNS</v>
          </cell>
          <cell r="BB4" t="str">
            <v>CHARCOAL</v>
          </cell>
          <cell r="BC4" t="str">
            <v>NUCLEAR</v>
          </cell>
          <cell r="BD4" t="str">
            <v>HYDRO</v>
          </cell>
          <cell r="BE4" t="str">
            <v>GEOTHERM</v>
          </cell>
          <cell r="BF4" t="str">
            <v>SOLARPV</v>
          </cell>
          <cell r="BG4" t="str">
            <v>SOLARTH</v>
          </cell>
          <cell r="BH4" t="str">
            <v>TIDE</v>
          </cell>
          <cell r="BI4" t="str">
            <v>WIND</v>
          </cell>
          <cell r="BJ4" t="str">
            <v>HEATPUMP</v>
          </cell>
          <cell r="BK4" t="str">
            <v>BOILER</v>
          </cell>
          <cell r="BL4" t="str">
            <v>CHEMHEAT</v>
          </cell>
          <cell r="BM4" t="str">
            <v>OTHER</v>
          </cell>
          <cell r="BN4" t="str">
            <v>ELECTR</v>
          </cell>
          <cell r="BO4" t="str">
            <v>HEAT</v>
          </cell>
          <cell r="BP4" t="str">
            <v>HEATNS</v>
          </cell>
        </row>
        <row r="5">
          <cell r="B5" t="str">
            <v>INDPROD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</row>
        <row r="6">
          <cell r="B6" t="str">
            <v>OSCOAL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</row>
        <row r="7">
          <cell r="B7" t="str">
            <v>OSNATGAS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</row>
        <row r="8">
          <cell r="B8" t="str">
            <v>OSOIL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</row>
        <row r="9">
          <cell r="B9" t="str">
            <v>OSRENEW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</row>
        <row r="10">
          <cell r="B10" t="str">
            <v>OSNONSPEC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</row>
        <row r="11">
          <cell r="B11" t="str">
            <v>IMPORTS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</row>
        <row r="12">
          <cell r="B12" t="str">
            <v>EXPORTS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</row>
        <row r="13">
          <cell r="B13" t="str">
            <v>MARBUNK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</row>
        <row r="14">
          <cell r="B14" t="str">
            <v>AVBUNK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</row>
        <row r="15">
          <cell r="B15" t="str">
            <v>STOCKCHA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</row>
        <row r="16">
          <cell r="B16" t="str">
            <v>DOMSUP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</row>
        <row r="17">
          <cell r="B17" t="str">
            <v>TRANSFER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</row>
        <row r="18">
          <cell r="B18" t="str">
            <v>STATDIFF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</row>
        <row r="19">
          <cell r="B19" t="str">
            <v>TOTTRANF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</row>
        <row r="20">
          <cell r="B20" t="str">
            <v>MAINELEC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</row>
        <row r="21">
          <cell r="B21" t="str">
            <v>AUTOELEC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</row>
        <row r="22">
          <cell r="B22" t="str">
            <v>MAINCHP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</row>
        <row r="23">
          <cell r="B23" t="str">
            <v>AUTOCHP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</row>
        <row r="24">
          <cell r="B24" t="str">
            <v>MAINHEAT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</row>
        <row r="25">
          <cell r="B25" t="str">
            <v>AUTOHEAT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</row>
        <row r="26">
          <cell r="B26" t="str">
            <v>THEAT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</row>
        <row r="27">
          <cell r="B27" t="str">
            <v>TBOILER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</row>
        <row r="28">
          <cell r="B28" t="str">
            <v>TELE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</row>
        <row r="29">
          <cell r="B29" t="str">
            <v>TPATFUEL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</row>
        <row r="30">
          <cell r="B30" t="str">
            <v>TCOKEOVS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</row>
        <row r="31">
          <cell r="B31" t="str">
            <v>TGASWKS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</row>
        <row r="32">
          <cell r="B32" t="str">
            <v>TBLASTFUR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</row>
        <row r="33">
          <cell r="B33" t="str">
            <v>TPETCHEM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</row>
        <row r="34">
          <cell r="B34" t="str">
            <v>TBKB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</row>
        <row r="35">
          <cell r="B35" t="str">
            <v>TREFINER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</row>
        <row r="36">
          <cell r="B36" t="str">
            <v>TCOALLIQ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</row>
        <row r="37">
          <cell r="B37" t="str">
            <v>TGTL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</row>
        <row r="38">
          <cell r="B38" t="str">
            <v>TBLENDGAS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</row>
        <row r="39">
          <cell r="B39" t="str">
            <v>TCHARCOAL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</row>
        <row r="40">
          <cell r="B40" t="str">
            <v>TNONSPEC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</row>
        <row r="41">
          <cell r="B41" t="str">
            <v>TOTENGY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</row>
        <row r="42">
          <cell r="B42" t="str">
            <v>EMINES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</row>
        <row r="43">
          <cell r="B43" t="str">
            <v>EOILGASEX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</row>
        <row r="44">
          <cell r="B44" t="str">
            <v>EPATFUEL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</row>
        <row r="45">
          <cell r="B45" t="str">
            <v>ECOKEOVS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</row>
        <row r="46">
          <cell r="B46" t="str">
            <v>EGASWKS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</row>
        <row r="47">
          <cell r="B47" t="str">
            <v>EBIOGAS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</row>
        <row r="48">
          <cell r="B48" t="str">
            <v>EBLASTFUR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</row>
        <row r="49">
          <cell r="B49" t="str">
            <v>EBKB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</row>
        <row r="50">
          <cell r="B50" t="str">
            <v>EREFINER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</row>
        <row r="51">
          <cell r="B51" t="str">
            <v>ECOALLIQ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</row>
        <row r="52">
          <cell r="B52" t="str">
            <v>ELNG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</row>
        <row r="53">
          <cell r="B53" t="str">
            <v>EGTL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</row>
        <row r="54">
          <cell r="B54" t="str">
            <v>EPOWERPLT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</row>
        <row r="55">
          <cell r="B55" t="str">
            <v>EPUMPST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</row>
        <row r="56">
          <cell r="B56" t="str">
            <v>ENUC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</row>
        <row r="57">
          <cell r="B57" t="str">
            <v>ECHARCOAL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</row>
        <row r="58">
          <cell r="B58" t="str">
            <v>ENONSPEC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</row>
        <row r="59">
          <cell r="B59" t="str">
            <v>DISTLOSS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</row>
        <row r="60">
          <cell r="B60" t="str">
            <v>FINCONS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</row>
        <row r="61">
          <cell r="B61" t="str">
            <v>TOTIND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</row>
        <row r="62">
          <cell r="B62" t="str">
            <v>IRONSTL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</row>
        <row r="63">
          <cell r="B63" t="str">
            <v>CHEMICAL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</row>
        <row r="64">
          <cell r="B64" t="str">
            <v>NONFERR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</row>
        <row r="65">
          <cell r="B65" t="str">
            <v>NONMET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</row>
        <row r="66">
          <cell r="B66" t="str">
            <v>TRANSEQ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</row>
        <row r="67">
          <cell r="B67" t="str">
            <v>MACHINE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</row>
        <row r="68">
          <cell r="B68" t="str">
            <v>MINING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</row>
        <row r="69">
          <cell r="B69" t="str">
            <v>FOODPRO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</row>
        <row r="70">
          <cell r="B70" t="str">
            <v>PAPERPRO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</row>
        <row r="71">
          <cell r="B71" t="str">
            <v>WOODPRO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</row>
        <row r="72">
          <cell r="B72" t="str">
            <v>CONSTRUC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</row>
        <row r="73">
          <cell r="B73" t="str">
            <v>TEXTILES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</row>
        <row r="74">
          <cell r="B74" t="str">
            <v>INONSPEC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</row>
        <row r="75">
          <cell r="B75" t="str">
            <v>TOTTRANS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</row>
        <row r="76">
          <cell r="B76" t="str">
            <v>ROAD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</row>
        <row r="77">
          <cell r="B77" t="str">
            <v>DOMESAIR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</row>
        <row r="78">
          <cell r="B78" t="str">
            <v>RAIL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</row>
        <row r="79">
          <cell r="B79" t="str">
            <v>PIPELINE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</row>
        <row r="80">
          <cell r="B80" t="str">
            <v>DOMESNAV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</row>
        <row r="81">
          <cell r="B81" t="str">
            <v>TRNONSPE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</row>
        <row r="82">
          <cell r="B82" t="str">
            <v>TOTOTHER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</row>
        <row r="83">
          <cell r="B83" t="str">
            <v>RESIDENT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</row>
        <row r="84">
          <cell r="B84" t="str">
            <v>COMMPUB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</row>
        <row r="85">
          <cell r="B85" t="str">
            <v>AGRICULT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</row>
        <row r="86">
          <cell r="B86" t="str">
            <v>FISHING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</row>
        <row r="87">
          <cell r="B87" t="str">
            <v>ONONSPEC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</row>
        <row r="88">
          <cell r="B88" t="str">
            <v>NONENUSE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</row>
        <row r="89">
          <cell r="B89" t="str">
            <v>NEINTREN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</row>
        <row r="90">
          <cell r="B90" t="str">
            <v>NETRANS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</row>
        <row r="91">
          <cell r="B91" t="str">
            <v>NEOTHER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</row>
        <row r="92">
          <cell r="B92" t="str">
            <v>NECHEM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</row>
        <row r="93">
          <cell r="B93" t="str">
            <v>ELOUTPUT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</row>
        <row r="94">
          <cell r="B94" t="str">
            <v>ELMAINE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</row>
        <row r="95">
          <cell r="B95" t="str">
            <v>ELAUTOE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</row>
        <row r="96">
          <cell r="B96" t="str">
            <v>ELMAINC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</row>
        <row r="97">
          <cell r="B97" t="str">
            <v>ELAUTOC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</row>
        <row r="98">
          <cell r="B98" t="str">
            <v>HEMAINC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</row>
        <row r="99">
          <cell r="B99" t="str">
            <v>HEAUTOC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</row>
        <row r="100">
          <cell r="B100" t="str">
            <v>HEMAINH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</row>
        <row r="101">
          <cell r="B101" t="str">
            <v>HEAUTOH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</row>
        <row r="102">
          <cell r="B102" t="str">
            <v>HEATOUT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</row>
        <row r="103">
          <cell r="B103" t="str">
            <v>MHYDPUMP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</row>
        <row r="104">
          <cell r="B104" t="str">
            <v>AHYDPUMP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</row>
        <row r="105">
          <cell r="B105" t="str">
            <v>VENTED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</row>
        <row r="106">
          <cell r="B106" t="str">
            <v>FLARED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</row>
      </sheetData>
      <sheetData sheetId="8" refreshError="1">
        <row r="4">
          <cell r="B4" t="str">
            <v>SHORT NAME</v>
          </cell>
          <cell r="C4" t="str">
            <v>NAVERAGE</v>
          </cell>
          <cell r="D4" t="str">
            <v>NINDPROD</v>
          </cell>
          <cell r="E4" t="str">
            <v>NOSOURCES</v>
          </cell>
          <cell r="F4" t="str">
            <v>NIMPORTS</v>
          </cell>
          <cell r="G4" t="str">
            <v>NEXPORTS</v>
          </cell>
          <cell r="H4" t="str">
            <v>NCOKEOVS</v>
          </cell>
          <cell r="I4" t="str">
            <v>NBLAST</v>
          </cell>
          <cell r="J4" t="str">
            <v>NMAIN</v>
          </cell>
          <cell r="K4" t="str">
            <v>NAUTOELEC</v>
          </cell>
          <cell r="L4" t="str">
            <v>NMAINCHP</v>
          </cell>
          <cell r="M4" t="str">
            <v>NAUTOCHP</v>
          </cell>
          <cell r="N4" t="str">
            <v>NMAINHEAT</v>
          </cell>
          <cell r="O4" t="str">
            <v>NAUTOHEAT</v>
          </cell>
          <cell r="P4" t="str">
            <v>NIND</v>
          </cell>
          <cell r="Q4" t="str">
            <v>NOTHER</v>
          </cell>
        </row>
        <row r="5">
          <cell r="B5" t="str">
            <v>ANTCOAL</v>
          </cell>
        </row>
        <row r="56">
          <cell r="C56">
            <v>2.3879999999999998E-2</v>
          </cell>
        </row>
        <row r="58">
          <cell r="C58">
            <v>8.5999999999999993E-2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ULIAN CAICEDO" id="{95CB8C13-05EF-46E6-BE04-8765358B713A}" userId="S::julian2218428@correo.uis.edu.co::8501259f-8f93-40de-96a0-6ff67a8360c4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45" dT="2022-11-08T14:45:56.60" personId="{95CB8C13-05EF-46E6-BE04-8765358B713A}" id="{A5C3C82D-00EF-402F-9D9F-9B485154169C}">
    <text>Constante hasta 2038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34" dT="2022-11-09T15:36:29.37" personId="{95CB8C13-05EF-46E6-BE04-8765358B713A}" id="{C3D33A80-FBA2-49ED-9F56-A08EC0925B50}">
    <text>Hidrocraqueo 0.17 kton/d,
Hidrotratamiento de nafta es 0.015 kton/d
Hidrotratamiento de diesel es 0.035 kton/d*
Hidrotratamiento de diesel II es 0.043 kton/d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3.xml"/><Relationship Id="rId4" Type="http://schemas.openxmlformats.org/officeDocument/2006/relationships/vmlDrawing" Target="../drawings/vmlDrawing4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BE79"/>
  <sheetViews>
    <sheetView topLeftCell="L10" zoomScaleNormal="100" workbookViewId="0">
      <selection activeCell="O34" sqref="O34"/>
    </sheetView>
  </sheetViews>
  <sheetFormatPr baseColWidth="10" defaultColWidth="9.140625" defaultRowHeight="15" x14ac:dyDescent="0.25"/>
  <cols>
    <col min="1" max="1" width="9.140625" style="1"/>
    <col min="2" max="2" width="14.85546875" style="1" customWidth="1"/>
    <col min="3" max="3" width="9.140625" style="1"/>
    <col min="4" max="4" width="18.7109375" style="1" customWidth="1"/>
    <col min="5" max="5" width="41.5703125" style="1" customWidth="1"/>
    <col min="6" max="6" width="9.140625" style="1"/>
    <col min="7" max="7" width="14.5703125" style="1" customWidth="1"/>
    <col min="8" max="11" width="9.140625" style="1"/>
    <col min="12" max="12" width="12.7109375" style="1" customWidth="1"/>
    <col min="13" max="13" width="14.85546875" style="1" customWidth="1"/>
    <col min="14" max="14" width="9.140625" style="1"/>
    <col min="15" max="15" width="14" style="1" customWidth="1"/>
    <col min="16" max="16" width="41.5703125" style="1" customWidth="1"/>
    <col min="17" max="17" width="9.140625" style="1"/>
    <col min="18" max="18" width="14.5703125" style="1" customWidth="1"/>
    <col min="19" max="23" width="9.140625" style="1"/>
    <col min="24" max="24" width="14.85546875" style="1" customWidth="1"/>
    <col min="25" max="25" width="9.140625" style="1"/>
    <col min="26" max="26" width="14" style="1" customWidth="1"/>
    <col min="27" max="27" width="41.5703125" style="1" customWidth="1"/>
    <col min="28" max="28" width="9.140625" style="1"/>
    <col min="29" max="29" width="14.5703125" style="1" customWidth="1"/>
    <col min="30" max="34" width="9.140625" style="1"/>
    <col min="35" max="35" width="14.85546875" style="1" customWidth="1"/>
    <col min="36" max="36" width="9.140625" style="1"/>
    <col min="37" max="37" width="14" style="1" customWidth="1"/>
    <col min="38" max="38" width="41.5703125" style="1" customWidth="1"/>
    <col min="39" max="39" width="9.140625" style="1"/>
    <col min="40" max="40" width="14.5703125" style="1" customWidth="1"/>
    <col min="41" max="1409" width="9.140625" style="1"/>
  </cols>
  <sheetData>
    <row r="2" spans="1:1409" x14ac:dyDescent="0.25">
      <c r="B2" s="16" t="s">
        <v>56</v>
      </c>
      <c r="D2" s="1" t="s">
        <v>69</v>
      </c>
      <c r="F2" s="1" t="s">
        <v>70</v>
      </c>
      <c r="I2" s="1" t="s">
        <v>71</v>
      </c>
      <c r="K2" s="1" t="s">
        <v>73</v>
      </c>
      <c r="M2" s="1" t="s">
        <v>157</v>
      </c>
    </row>
    <row r="3" spans="1:1409" x14ac:dyDescent="0.25">
      <c r="B3" s="16" t="s">
        <v>57</v>
      </c>
      <c r="D3" s="1" t="s">
        <v>51</v>
      </c>
      <c r="F3" s="1" t="s">
        <v>45</v>
      </c>
      <c r="I3" s="1" t="s">
        <v>72</v>
      </c>
      <c r="K3" s="1" t="s">
        <v>74</v>
      </c>
      <c r="M3" s="1" t="s">
        <v>158</v>
      </c>
    </row>
    <row r="4" spans="1:1409" s="18" customFormat="1" x14ac:dyDescent="0.25">
      <c r="A4" s="15"/>
      <c r="B4" s="17" t="s">
        <v>58</v>
      </c>
      <c r="C4" s="15"/>
      <c r="D4" s="15" t="s">
        <v>52</v>
      </c>
      <c r="E4" s="15"/>
      <c r="F4" s="15" t="s">
        <v>47</v>
      </c>
      <c r="G4" s="15"/>
      <c r="H4" s="15"/>
      <c r="I4" s="15"/>
      <c r="J4" s="15"/>
      <c r="K4" s="15"/>
      <c r="L4" s="15"/>
      <c r="M4" s="15" t="s">
        <v>159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  <c r="ADD4" s="15"/>
      <c r="ADE4" s="15"/>
      <c r="ADF4" s="15"/>
      <c r="ADG4" s="15"/>
      <c r="ADH4" s="15"/>
      <c r="ADI4" s="15"/>
      <c r="ADJ4" s="15"/>
      <c r="ADK4" s="15"/>
      <c r="ADL4" s="15"/>
      <c r="ADM4" s="15"/>
      <c r="ADN4" s="15"/>
      <c r="ADO4" s="15"/>
      <c r="ADP4" s="15"/>
      <c r="ADQ4" s="15"/>
      <c r="ADR4" s="15"/>
      <c r="ADS4" s="15"/>
      <c r="ADT4" s="15"/>
      <c r="ADU4" s="15"/>
      <c r="ADV4" s="15"/>
      <c r="ADW4" s="15"/>
      <c r="ADX4" s="15"/>
      <c r="ADY4" s="15"/>
      <c r="ADZ4" s="15"/>
      <c r="AEA4" s="15"/>
      <c r="AEB4" s="15"/>
      <c r="AEC4" s="15"/>
      <c r="AED4" s="15"/>
      <c r="AEE4" s="15"/>
      <c r="AEF4" s="15"/>
      <c r="AEG4" s="15"/>
      <c r="AEH4" s="15"/>
      <c r="AEI4" s="15"/>
      <c r="AEJ4" s="15"/>
      <c r="AEK4" s="15"/>
      <c r="AEL4" s="15"/>
      <c r="AEM4" s="15"/>
      <c r="AEN4" s="15"/>
      <c r="AEO4" s="15"/>
      <c r="AEP4" s="15"/>
      <c r="AEQ4" s="15"/>
      <c r="AER4" s="15"/>
      <c r="AES4" s="15"/>
      <c r="AET4" s="15"/>
      <c r="AEU4" s="15"/>
      <c r="AEV4" s="15"/>
      <c r="AEW4" s="15"/>
      <c r="AEX4" s="15"/>
      <c r="AEY4" s="15"/>
      <c r="AEZ4" s="15"/>
      <c r="AFA4" s="15"/>
      <c r="AFB4" s="15"/>
      <c r="AFC4" s="15"/>
      <c r="AFD4" s="15"/>
      <c r="AFE4" s="15"/>
      <c r="AFF4" s="15"/>
      <c r="AFG4" s="15"/>
      <c r="AFH4" s="15"/>
      <c r="AFI4" s="15"/>
      <c r="AFJ4" s="15"/>
      <c r="AFK4" s="15"/>
      <c r="AFL4" s="15"/>
      <c r="AFM4" s="15"/>
      <c r="AFN4" s="15"/>
      <c r="AFO4" s="15"/>
      <c r="AFP4" s="15"/>
      <c r="AFQ4" s="15"/>
      <c r="AFR4" s="15"/>
      <c r="AFS4" s="15"/>
      <c r="AFT4" s="15"/>
      <c r="AFU4" s="15"/>
      <c r="AFV4" s="15"/>
      <c r="AFW4" s="15"/>
      <c r="AFX4" s="15"/>
      <c r="AFY4" s="15"/>
      <c r="AFZ4" s="15"/>
      <c r="AGA4" s="15"/>
      <c r="AGB4" s="15"/>
      <c r="AGC4" s="15"/>
      <c r="AGD4" s="15"/>
      <c r="AGE4" s="15"/>
      <c r="AGF4" s="15"/>
      <c r="AGG4" s="15"/>
      <c r="AGH4" s="15"/>
      <c r="AGI4" s="15"/>
      <c r="AGJ4" s="15"/>
      <c r="AGK4" s="15"/>
      <c r="AGL4" s="15"/>
      <c r="AGM4" s="15"/>
      <c r="AGN4" s="15"/>
      <c r="AGO4" s="15"/>
      <c r="AGP4" s="15"/>
      <c r="AGQ4" s="15"/>
      <c r="AGR4" s="15"/>
      <c r="AGS4" s="15"/>
      <c r="AGT4" s="15"/>
      <c r="AGU4" s="15"/>
      <c r="AGV4" s="15"/>
      <c r="AGW4" s="15"/>
      <c r="AGX4" s="15"/>
      <c r="AGY4" s="15"/>
      <c r="AGZ4" s="15"/>
      <c r="AHA4" s="15"/>
      <c r="AHB4" s="15"/>
      <c r="AHC4" s="15"/>
      <c r="AHD4" s="15"/>
      <c r="AHE4" s="15"/>
      <c r="AHF4" s="15"/>
      <c r="AHG4" s="15"/>
      <c r="AHH4" s="15"/>
      <c r="AHI4" s="15"/>
      <c r="AHJ4" s="15"/>
      <c r="AHK4" s="15"/>
      <c r="AHL4" s="15"/>
      <c r="AHM4" s="15"/>
      <c r="AHN4" s="15"/>
      <c r="AHO4" s="15"/>
      <c r="AHP4" s="15"/>
      <c r="AHQ4" s="15"/>
      <c r="AHR4" s="15"/>
      <c r="AHS4" s="15"/>
      <c r="AHT4" s="15"/>
      <c r="AHU4" s="15"/>
      <c r="AHV4" s="15"/>
      <c r="AHW4" s="15"/>
      <c r="AHX4" s="15"/>
      <c r="AHY4" s="15"/>
      <c r="AHZ4" s="15"/>
      <c r="AIA4" s="15"/>
      <c r="AIB4" s="15"/>
      <c r="AIC4" s="15"/>
      <c r="AID4" s="15"/>
      <c r="AIE4" s="15"/>
      <c r="AIF4" s="15"/>
      <c r="AIG4" s="15"/>
      <c r="AIH4" s="15"/>
      <c r="AII4" s="15"/>
      <c r="AIJ4" s="15"/>
      <c r="AIK4" s="15"/>
      <c r="AIL4" s="15"/>
      <c r="AIM4" s="15"/>
      <c r="AIN4" s="15"/>
      <c r="AIO4" s="15"/>
      <c r="AIP4" s="15"/>
      <c r="AIQ4" s="15"/>
      <c r="AIR4" s="15"/>
      <c r="AIS4" s="15"/>
      <c r="AIT4" s="15"/>
      <c r="AIU4" s="15"/>
      <c r="AIV4" s="15"/>
      <c r="AIW4" s="15"/>
      <c r="AIX4" s="15"/>
      <c r="AIY4" s="15"/>
      <c r="AIZ4" s="15"/>
      <c r="AJA4" s="15"/>
      <c r="AJB4" s="15"/>
      <c r="AJC4" s="15"/>
      <c r="AJD4" s="15"/>
      <c r="AJE4" s="15"/>
      <c r="AJF4" s="15"/>
      <c r="AJG4" s="15"/>
      <c r="AJH4" s="15"/>
      <c r="AJI4" s="15"/>
      <c r="AJJ4" s="15"/>
      <c r="AJK4" s="15"/>
      <c r="AJL4" s="15"/>
      <c r="AJM4" s="15"/>
      <c r="AJN4" s="15"/>
      <c r="AJO4" s="15"/>
      <c r="AJP4" s="15"/>
      <c r="AJQ4" s="15"/>
      <c r="AJR4" s="15"/>
      <c r="AJS4" s="15"/>
      <c r="AJT4" s="15"/>
      <c r="AJU4" s="15"/>
      <c r="AJV4" s="15"/>
      <c r="AJW4" s="15"/>
      <c r="AJX4" s="15"/>
      <c r="AJY4" s="15"/>
      <c r="AJZ4" s="15"/>
      <c r="AKA4" s="15"/>
      <c r="AKB4" s="15"/>
      <c r="AKC4" s="15"/>
      <c r="AKD4" s="15"/>
      <c r="AKE4" s="15"/>
      <c r="AKF4" s="15"/>
      <c r="AKG4" s="15"/>
      <c r="AKH4" s="15"/>
      <c r="AKI4" s="15"/>
      <c r="AKJ4" s="15"/>
      <c r="AKK4" s="15"/>
      <c r="AKL4" s="15"/>
      <c r="AKM4" s="15"/>
      <c r="AKN4" s="15"/>
      <c r="AKO4" s="15"/>
      <c r="AKP4" s="15"/>
      <c r="AKQ4" s="15"/>
      <c r="AKR4" s="15"/>
      <c r="AKS4" s="15"/>
      <c r="AKT4" s="15"/>
      <c r="AKU4" s="15"/>
      <c r="AKV4" s="15"/>
      <c r="AKW4" s="15"/>
      <c r="AKX4" s="15"/>
      <c r="AKY4" s="15"/>
      <c r="AKZ4" s="15"/>
      <c r="ALA4" s="15"/>
      <c r="ALB4" s="15"/>
      <c r="ALC4" s="15"/>
      <c r="ALD4" s="15"/>
      <c r="ALE4" s="15"/>
      <c r="ALF4" s="15"/>
      <c r="ALG4" s="15"/>
      <c r="ALH4" s="15"/>
      <c r="ALI4" s="15"/>
      <c r="ALJ4" s="15"/>
      <c r="ALK4" s="15"/>
      <c r="ALL4" s="15"/>
      <c r="ALM4" s="15"/>
      <c r="ALN4" s="15"/>
      <c r="ALO4" s="15"/>
      <c r="ALP4" s="15"/>
      <c r="ALQ4" s="15"/>
      <c r="ALR4" s="15"/>
      <c r="ALS4" s="15"/>
      <c r="ALT4" s="15"/>
      <c r="ALU4" s="15"/>
      <c r="ALV4" s="15"/>
      <c r="ALW4" s="15"/>
      <c r="ALX4" s="15"/>
      <c r="ALY4" s="15"/>
      <c r="ALZ4" s="15"/>
      <c r="AMA4" s="15"/>
      <c r="AMB4" s="15"/>
      <c r="AMC4" s="15"/>
      <c r="AMD4" s="15"/>
      <c r="AME4" s="15"/>
      <c r="AMF4" s="15"/>
      <c r="AMG4" s="15"/>
      <c r="AMH4" s="15"/>
      <c r="AMI4" s="15"/>
      <c r="AMJ4" s="15"/>
      <c r="AMK4" s="15"/>
      <c r="AML4" s="15"/>
      <c r="AMM4" s="15"/>
      <c r="AMN4" s="15"/>
      <c r="AMO4" s="15"/>
      <c r="AMP4" s="15"/>
      <c r="AMQ4" s="15"/>
      <c r="AMR4" s="15"/>
      <c r="AMS4" s="15"/>
      <c r="AMT4" s="15"/>
      <c r="AMU4" s="15"/>
      <c r="AMV4" s="15"/>
      <c r="AMW4" s="15"/>
      <c r="AMX4" s="15"/>
      <c r="AMY4" s="15"/>
      <c r="AMZ4" s="15"/>
      <c r="ANA4" s="15"/>
      <c r="ANB4" s="15"/>
      <c r="ANC4" s="15"/>
      <c r="AND4" s="15"/>
      <c r="ANE4" s="15"/>
      <c r="ANF4" s="15"/>
      <c r="ANG4" s="15"/>
      <c r="ANH4" s="15"/>
      <c r="ANI4" s="15"/>
      <c r="ANJ4" s="15"/>
      <c r="ANK4" s="15"/>
      <c r="ANL4" s="15"/>
      <c r="ANM4" s="15"/>
      <c r="ANN4" s="15"/>
      <c r="ANO4" s="15"/>
      <c r="ANP4" s="15"/>
      <c r="ANQ4" s="15"/>
      <c r="ANR4" s="15"/>
      <c r="ANS4" s="15"/>
      <c r="ANT4" s="15"/>
      <c r="ANU4" s="15"/>
      <c r="ANV4" s="15"/>
      <c r="ANW4" s="15"/>
      <c r="ANX4" s="15"/>
      <c r="ANY4" s="15"/>
      <c r="ANZ4" s="15"/>
      <c r="AOA4" s="15"/>
      <c r="AOB4" s="15"/>
      <c r="AOC4" s="15"/>
      <c r="AOD4" s="15"/>
      <c r="AOE4" s="15"/>
      <c r="AOF4" s="15"/>
      <c r="AOG4" s="15"/>
      <c r="AOH4" s="15"/>
      <c r="AOI4" s="15"/>
      <c r="AOJ4" s="15"/>
      <c r="AOK4" s="15"/>
      <c r="AOL4" s="15"/>
      <c r="AOM4" s="15"/>
      <c r="AON4" s="15"/>
      <c r="AOO4" s="15"/>
      <c r="AOP4" s="15"/>
      <c r="AOQ4" s="15"/>
      <c r="AOR4" s="15"/>
      <c r="AOS4" s="15"/>
      <c r="AOT4" s="15"/>
      <c r="AOU4" s="15"/>
      <c r="AOV4" s="15"/>
      <c r="AOW4" s="15"/>
      <c r="AOX4" s="15"/>
      <c r="AOY4" s="15"/>
      <c r="AOZ4" s="15"/>
      <c r="APA4" s="15"/>
      <c r="APB4" s="15"/>
      <c r="APC4" s="15"/>
      <c r="APD4" s="15"/>
      <c r="APE4" s="15"/>
      <c r="APF4" s="15"/>
      <c r="APG4" s="15"/>
      <c r="APH4" s="15"/>
      <c r="API4" s="15"/>
      <c r="APJ4" s="15"/>
      <c r="APK4" s="15"/>
      <c r="APL4" s="15"/>
      <c r="APM4" s="15"/>
      <c r="APN4" s="15"/>
      <c r="APO4" s="15"/>
      <c r="APP4" s="15"/>
      <c r="APQ4" s="15"/>
      <c r="APR4" s="15"/>
      <c r="APS4" s="15"/>
      <c r="APT4" s="15"/>
      <c r="APU4" s="15"/>
      <c r="APV4" s="15"/>
      <c r="APW4" s="15"/>
      <c r="APX4" s="15"/>
      <c r="APY4" s="15"/>
      <c r="APZ4" s="15"/>
      <c r="AQA4" s="15"/>
      <c r="AQB4" s="15"/>
      <c r="AQC4" s="15"/>
      <c r="AQD4" s="15"/>
      <c r="AQE4" s="15"/>
      <c r="AQF4" s="15"/>
      <c r="AQG4" s="15"/>
      <c r="AQH4" s="15"/>
      <c r="AQI4" s="15"/>
      <c r="AQJ4" s="15"/>
      <c r="AQK4" s="15"/>
      <c r="AQL4" s="15"/>
      <c r="AQM4" s="15"/>
      <c r="AQN4" s="15"/>
      <c r="AQO4" s="15"/>
      <c r="AQP4" s="15"/>
      <c r="AQQ4" s="15"/>
      <c r="AQR4" s="15"/>
      <c r="AQS4" s="15"/>
      <c r="AQT4" s="15"/>
      <c r="AQU4" s="15"/>
      <c r="AQV4" s="15"/>
      <c r="AQW4" s="15"/>
      <c r="AQX4" s="15"/>
      <c r="AQY4" s="15"/>
      <c r="AQZ4" s="15"/>
      <c r="ARA4" s="15"/>
      <c r="ARB4" s="15"/>
      <c r="ARC4" s="15"/>
      <c r="ARD4" s="15"/>
      <c r="ARE4" s="15"/>
      <c r="ARF4" s="15"/>
      <c r="ARG4" s="15"/>
      <c r="ARH4" s="15"/>
      <c r="ARI4" s="15"/>
      <c r="ARJ4" s="15"/>
      <c r="ARK4" s="15"/>
      <c r="ARL4" s="15"/>
      <c r="ARM4" s="15"/>
      <c r="ARN4" s="15"/>
      <c r="ARO4" s="15"/>
      <c r="ARP4" s="15"/>
      <c r="ARQ4" s="15"/>
      <c r="ARR4" s="15"/>
      <c r="ARS4" s="15"/>
      <c r="ART4" s="15"/>
      <c r="ARU4" s="15"/>
      <c r="ARV4" s="15"/>
      <c r="ARW4" s="15"/>
      <c r="ARX4" s="15"/>
      <c r="ARY4" s="15"/>
      <c r="ARZ4" s="15"/>
      <c r="ASA4" s="15"/>
      <c r="ASB4" s="15"/>
      <c r="ASC4" s="15"/>
      <c r="ASD4" s="15"/>
      <c r="ASE4" s="15"/>
      <c r="ASF4" s="15"/>
      <c r="ASG4" s="15"/>
      <c r="ASH4" s="15"/>
      <c r="ASI4" s="15"/>
      <c r="ASJ4" s="15"/>
      <c r="ASK4" s="15"/>
      <c r="ASL4" s="15"/>
      <c r="ASM4" s="15"/>
      <c r="ASN4" s="15"/>
      <c r="ASO4" s="15"/>
      <c r="ASP4" s="15"/>
      <c r="ASQ4" s="15"/>
      <c r="ASR4" s="15"/>
      <c r="ASS4" s="15"/>
      <c r="AST4" s="15"/>
      <c r="ASU4" s="15"/>
      <c r="ASV4" s="15"/>
      <c r="ASW4" s="15"/>
      <c r="ASX4" s="15"/>
      <c r="ASY4" s="15"/>
      <c r="ASZ4" s="15"/>
      <c r="ATA4" s="15"/>
      <c r="ATB4" s="15"/>
      <c r="ATC4" s="15"/>
      <c r="ATD4" s="15"/>
      <c r="ATE4" s="15"/>
      <c r="ATF4" s="15"/>
      <c r="ATG4" s="15"/>
      <c r="ATH4" s="15"/>
      <c r="ATI4" s="15"/>
      <c r="ATJ4" s="15"/>
      <c r="ATK4" s="15"/>
      <c r="ATL4" s="15"/>
      <c r="ATM4" s="15"/>
      <c r="ATN4" s="15"/>
      <c r="ATO4" s="15"/>
      <c r="ATP4" s="15"/>
      <c r="ATQ4" s="15"/>
      <c r="ATR4" s="15"/>
      <c r="ATS4" s="15"/>
      <c r="ATT4" s="15"/>
      <c r="ATU4" s="15"/>
      <c r="ATV4" s="15"/>
      <c r="ATW4" s="15"/>
      <c r="ATX4" s="15"/>
      <c r="ATY4" s="15"/>
      <c r="ATZ4" s="15"/>
      <c r="AUA4" s="15"/>
      <c r="AUB4" s="15"/>
      <c r="AUC4" s="15"/>
      <c r="AUD4" s="15"/>
      <c r="AUE4" s="15"/>
      <c r="AUF4" s="15"/>
      <c r="AUG4" s="15"/>
      <c r="AUH4" s="15"/>
      <c r="AUI4" s="15"/>
      <c r="AUJ4" s="15"/>
      <c r="AUK4" s="15"/>
      <c r="AUL4" s="15"/>
      <c r="AUM4" s="15"/>
      <c r="AUN4" s="15"/>
      <c r="AUO4" s="15"/>
      <c r="AUP4" s="15"/>
      <c r="AUQ4" s="15"/>
      <c r="AUR4" s="15"/>
      <c r="AUS4" s="15"/>
      <c r="AUT4" s="15"/>
      <c r="AUU4" s="15"/>
      <c r="AUV4" s="15"/>
      <c r="AUW4" s="15"/>
      <c r="AUX4" s="15"/>
      <c r="AUY4" s="15"/>
      <c r="AUZ4" s="15"/>
      <c r="AVA4" s="15"/>
      <c r="AVB4" s="15"/>
      <c r="AVC4" s="15"/>
      <c r="AVD4" s="15"/>
      <c r="AVE4" s="15"/>
      <c r="AVF4" s="15"/>
      <c r="AVG4" s="15"/>
      <c r="AVH4" s="15"/>
      <c r="AVI4" s="15"/>
      <c r="AVJ4" s="15"/>
      <c r="AVK4" s="15"/>
      <c r="AVL4" s="15"/>
      <c r="AVM4" s="15"/>
      <c r="AVN4" s="15"/>
      <c r="AVO4" s="15"/>
      <c r="AVP4" s="15"/>
      <c r="AVQ4" s="15"/>
      <c r="AVR4" s="15"/>
      <c r="AVS4" s="15"/>
      <c r="AVT4" s="15"/>
      <c r="AVU4" s="15"/>
      <c r="AVV4" s="15"/>
      <c r="AVW4" s="15"/>
      <c r="AVX4" s="15"/>
      <c r="AVY4" s="15"/>
      <c r="AVZ4" s="15"/>
      <c r="AWA4" s="15"/>
      <c r="AWB4" s="15"/>
      <c r="AWC4" s="15"/>
      <c r="AWD4" s="15"/>
      <c r="AWE4" s="15"/>
      <c r="AWF4" s="15"/>
      <c r="AWG4" s="15"/>
      <c r="AWH4" s="15"/>
      <c r="AWI4" s="15"/>
      <c r="AWJ4" s="15"/>
      <c r="AWK4" s="15"/>
      <c r="AWL4" s="15"/>
      <c r="AWM4" s="15"/>
      <c r="AWN4" s="15"/>
      <c r="AWO4" s="15"/>
      <c r="AWP4" s="15"/>
      <c r="AWQ4" s="15"/>
      <c r="AWR4" s="15"/>
      <c r="AWS4" s="15"/>
      <c r="AWT4" s="15"/>
      <c r="AWU4" s="15"/>
      <c r="AWV4" s="15"/>
      <c r="AWW4" s="15"/>
      <c r="AWX4" s="15"/>
      <c r="AWY4" s="15"/>
      <c r="AWZ4" s="15"/>
      <c r="AXA4" s="15"/>
      <c r="AXB4" s="15"/>
      <c r="AXC4" s="15"/>
      <c r="AXD4" s="15"/>
      <c r="AXE4" s="15"/>
      <c r="AXF4" s="15"/>
      <c r="AXG4" s="15"/>
      <c r="AXH4" s="15"/>
      <c r="AXI4" s="15"/>
      <c r="AXJ4" s="15"/>
      <c r="AXK4" s="15"/>
      <c r="AXL4" s="15"/>
      <c r="AXM4" s="15"/>
      <c r="AXN4" s="15"/>
      <c r="AXO4" s="15"/>
      <c r="AXP4" s="15"/>
      <c r="AXQ4" s="15"/>
      <c r="AXR4" s="15"/>
      <c r="AXS4" s="15"/>
      <c r="AXT4" s="15"/>
      <c r="AXU4" s="15"/>
      <c r="AXV4" s="15"/>
      <c r="AXW4" s="15"/>
      <c r="AXX4" s="15"/>
      <c r="AXY4" s="15"/>
      <c r="AXZ4" s="15"/>
      <c r="AYA4" s="15"/>
      <c r="AYB4" s="15"/>
      <c r="AYC4" s="15"/>
      <c r="AYD4" s="15"/>
      <c r="AYE4" s="15"/>
      <c r="AYF4" s="15"/>
      <c r="AYG4" s="15"/>
      <c r="AYH4" s="15"/>
      <c r="AYI4" s="15"/>
      <c r="AYJ4" s="15"/>
      <c r="AYK4" s="15"/>
      <c r="AYL4" s="15"/>
      <c r="AYM4" s="15"/>
      <c r="AYN4" s="15"/>
      <c r="AYO4" s="15"/>
      <c r="AYP4" s="15"/>
      <c r="AYQ4" s="15"/>
      <c r="AYR4" s="15"/>
      <c r="AYS4" s="15"/>
      <c r="AYT4" s="15"/>
      <c r="AYU4" s="15"/>
      <c r="AYV4" s="15"/>
      <c r="AYW4" s="15"/>
      <c r="AYX4" s="15"/>
      <c r="AYY4" s="15"/>
      <c r="AYZ4" s="15"/>
      <c r="AZA4" s="15"/>
      <c r="AZB4" s="15"/>
      <c r="AZC4" s="15"/>
      <c r="AZD4" s="15"/>
      <c r="AZE4" s="15"/>
      <c r="AZF4" s="15"/>
      <c r="AZG4" s="15"/>
      <c r="AZH4" s="15"/>
      <c r="AZI4" s="15"/>
      <c r="AZJ4" s="15"/>
      <c r="AZK4" s="15"/>
      <c r="AZL4" s="15"/>
      <c r="AZM4" s="15"/>
      <c r="AZN4" s="15"/>
      <c r="AZO4" s="15"/>
      <c r="AZP4" s="15"/>
      <c r="AZQ4" s="15"/>
      <c r="AZR4" s="15"/>
      <c r="AZS4" s="15"/>
      <c r="AZT4" s="15"/>
      <c r="AZU4" s="15"/>
      <c r="AZV4" s="15"/>
      <c r="AZW4" s="15"/>
      <c r="AZX4" s="15"/>
      <c r="AZY4" s="15"/>
      <c r="AZZ4" s="15"/>
      <c r="BAA4" s="15"/>
      <c r="BAB4" s="15"/>
      <c r="BAC4" s="15"/>
      <c r="BAD4" s="15"/>
      <c r="BAE4" s="15"/>
      <c r="BAF4" s="15"/>
      <c r="BAG4" s="15"/>
      <c r="BAH4" s="15"/>
      <c r="BAI4" s="15"/>
      <c r="BAJ4" s="15"/>
      <c r="BAK4" s="15"/>
      <c r="BAL4" s="15"/>
      <c r="BAM4" s="15"/>
      <c r="BAN4" s="15"/>
      <c r="BAO4" s="15"/>
      <c r="BAP4" s="15"/>
      <c r="BAQ4" s="15"/>
      <c r="BAR4" s="15"/>
      <c r="BAS4" s="15"/>
      <c r="BAT4" s="15"/>
      <c r="BAU4" s="15"/>
      <c r="BAV4" s="15"/>
      <c r="BAW4" s="15"/>
      <c r="BAX4" s="15"/>
      <c r="BAY4" s="15"/>
      <c r="BAZ4" s="15"/>
      <c r="BBA4" s="15"/>
      <c r="BBB4" s="15"/>
      <c r="BBC4" s="15"/>
      <c r="BBD4" s="15"/>
      <c r="BBE4" s="15"/>
    </row>
    <row r="5" spans="1:1409" x14ac:dyDescent="0.25">
      <c r="B5" s="16" t="s">
        <v>59</v>
      </c>
      <c r="D5" s="1" t="s">
        <v>67</v>
      </c>
      <c r="F5" s="1" t="s">
        <v>48</v>
      </c>
      <c r="M5" s="1" t="s">
        <v>160</v>
      </c>
    </row>
    <row r="6" spans="1:1409" x14ac:dyDescent="0.25">
      <c r="B6" s="16" t="s">
        <v>60</v>
      </c>
      <c r="D6" s="1" t="s">
        <v>53</v>
      </c>
      <c r="F6" s="1" t="s">
        <v>49</v>
      </c>
      <c r="M6" s="1" t="s">
        <v>161</v>
      </c>
    </row>
    <row r="7" spans="1:1409" x14ac:dyDescent="0.25">
      <c r="B7" s="16" t="s">
        <v>61</v>
      </c>
      <c r="D7" s="1" t="s">
        <v>68</v>
      </c>
      <c r="F7" s="1" t="s">
        <v>50</v>
      </c>
      <c r="M7" s="1" t="s">
        <v>162</v>
      </c>
    </row>
    <row r="8" spans="1:1409" x14ac:dyDescent="0.25">
      <c r="B8" s="16" t="s">
        <v>62</v>
      </c>
      <c r="D8" s="1" t="s">
        <v>105</v>
      </c>
      <c r="F8" s="1" t="s">
        <v>43</v>
      </c>
    </row>
    <row r="9" spans="1:1409" x14ac:dyDescent="0.25">
      <c r="B9" s="16" t="s">
        <v>63</v>
      </c>
      <c r="F9" s="1" t="s">
        <v>44</v>
      </c>
    </row>
    <row r="10" spans="1:1409" x14ac:dyDescent="0.25">
      <c r="B10" s="16" t="s">
        <v>64</v>
      </c>
    </row>
    <row r="11" spans="1:1409" x14ac:dyDescent="0.25">
      <c r="B11" s="16" t="s">
        <v>65</v>
      </c>
    </row>
    <row r="12" spans="1:1409" x14ac:dyDescent="0.25">
      <c r="B12" s="16" t="s">
        <v>66</v>
      </c>
    </row>
    <row r="14" spans="1:1409" x14ac:dyDescent="0.25">
      <c r="X14" s="387" t="s">
        <v>102</v>
      </c>
      <c r="Y14" s="387"/>
      <c r="Z14" s="387"/>
      <c r="AA14" s="387"/>
      <c r="AB14" s="387"/>
      <c r="AC14" s="387"/>
      <c r="AD14" s="387"/>
      <c r="AE14" s="387"/>
      <c r="AF14" s="387"/>
    </row>
    <row r="15" spans="1:1409" x14ac:dyDescent="0.25">
      <c r="B15" s="387" t="s">
        <v>83</v>
      </c>
      <c r="C15" s="387"/>
      <c r="D15" s="387"/>
      <c r="E15" s="387"/>
      <c r="F15" s="387"/>
      <c r="G15" s="387"/>
      <c r="H15" s="387"/>
      <c r="I15" s="387"/>
      <c r="J15" s="387"/>
      <c r="M15" s="387" t="s">
        <v>84</v>
      </c>
      <c r="N15" s="387"/>
      <c r="O15" s="387"/>
      <c r="P15" s="387"/>
      <c r="Q15" s="387"/>
      <c r="R15" s="387"/>
      <c r="S15" s="387"/>
      <c r="T15" s="387"/>
      <c r="U15" s="387"/>
      <c r="AI15" s="387" t="s">
        <v>97</v>
      </c>
      <c r="AJ15" s="387"/>
      <c r="AK15" s="387"/>
      <c r="AL15" s="387"/>
      <c r="AM15" s="387"/>
      <c r="AN15" s="387"/>
      <c r="AO15" s="387"/>
      <c r="AP15" s="387"/>
      <c r="AQ15" s="387"/>
    </row>
    <row r="17" spans="1:1409" x14ac:dyDescent="0.25">
      <c r="B17" s="9" t="s">
        <v>20</v>
      </c>
      <c r="C17" s="9"/>
      <c r="D17" s="10"/>
      <c r="E17" s="10"/>
      <c r="F17" s="10"/>
      <c r="G17" s="10"/>
      <c r="H17" s="10"/>
      <c r="I17" s="10"/>
      <c r="J17" s="10"/>
      <c r="M17" s="9" t="s">
        <v>20</v>
      </c>
      <c r="N17" s="9"/>
      <c r="O17" s="10"/>
      <c r="P17" s="10"/>
      <c r="Q17" s="10"/>
      <c r="R17" s="10"/>
      <c r="S17" s="10"/>
      <c r="T17" s="10"/>
      <c r="U17" s="10"/>
      <c r="X17" s="9" t="s">
        <v>20</v>
      </c>
      <c r="Y17" s="9"/>
      <c r="Z17" s="10"/>
      <c r="AA17" s="10"/>
      <c r="AB17" s="10"/>
      <c r="AC17" s="10"/>
      <c r="AD17" s="10"/>
      <c r="AE17" s="10"/>
      <c r="AF17" s="10"/>
      <c r="AI17" s="9" t="s">
        <v>20</v>
      </c>
      <c r="AJ17" s="9"/>
      <c r="AK17" s="10"/>
      <c r="AL17" s="10"/>
      <c r="AM17" s="10"/>
      <c r="AN17" s="10"/>
      <c r="AO17" s="10"/>
      <c r="AP17" s="10"/>
      <c r="AQ17" s="10"/>
    </row>
    <row r="18" spans="1:1409" x14ac:dyDescent="0.25">
      <c r="B18" s="11" t="s">
        <v>21</v>
      </c>
      <c r="C18" s="12" t="s">
        <v>22</v>
      </c>
      <c r="D18" s="11" t="s">
        <v>2</v>
      </c>
      <c r="E18" s="11" t="s">
        <v>23</v>
      </c>
      <c r="F18" s="11" t="s">
        <v>24</v>
      </c>
      <c r="G18" s="11" t="s">
        <v>14</v>
      </c>
      <c r="H18" s="11" t="s">
        <v>75</v>
      </c>
      <c r="I18" s="11" t="s">
        <v>76</v>
      </c>
      <c r="J18" s="11" t="s">
        <v>77</v>
      </c>
      <c r="M18" s="11" t="s">
        <v>21</v>
      </c>
      <c r="N18" s="12" t="s">
        <v>22</v>
      </c>
      <c r="O18" s="11" t="s">
        <v>2</v>
      </c>
      <c r="P18" s="11" t="s">
        <v>23</v>
      </c>
      <c r="Q18" s="11" t="s">
        <v>24</v>
      </c>
      <c r="R18" s="11" t="s">
        <v>14</v>
      </c>
      <c r="S18" s="11" t="s">
        <v>75</v>
      </c>
      <c r="T18" s="11" t="s">
        <v>76</v>
      </c>
      <c r="U18" s="11" t="s">
        <v>77</v>
      </c>
      <c r="X18" s="11" t="s">
        <v>21</v>
      </c>
      <c r="Y18" s="12" t="s">
        <v>22</v>
      </c>
      <c r="Z18" s="11" t="s">
        <v>2</v>
      </c>
      <c r="AA18" s="11" t="s">
        <v>23</v>
      </c>
      <c r="AB18" s="11" t="s">
        <v>24</v>
      </c>
      <c r="AC18" s="11" t="s">
        <v>14</v>
      </c>
      <c r="AD18" s="11" t="s">
        <v>75</v>
      </c>
      <c r="AE18" s="11" t="s">
        <v>76</v>
      </c>
      <c r="AF18" s="11" t="s">
        <v>77</v>
      </c>
      <c r="AI18" s="11" t="s">
        <v>21</v>
      </c>
      <c r="AJ18" s="12" t="s">
        <v>22</v>
      </c>
      <c r="AK18" s="11" t="s">
        <v>2</v>
      </c>
      <c r="AL18" s="11" t="s">
        <v>23</v>
      </c>
      <c r="AM18" s="11" t="s">
        <v>24</v>
      </c>
      <c r="AN18" s="11" t="s">
        <v>14</v>
      </c>
      <c r="AO18" s="11" t="s">
        <v>75</v>
      </c>
      <c r="AP18" s="11" t="s">
        <v>76</v>
      </c>
      <c r="AQ18" s="11" t="s">
        <v>77</v>
      </c>
    </row>
    <row r="19" spans="1:1409" s="18" customFormat="1" ht="24" thickBot="1" x14ac:dyDescent="0.3">
      <c r="A19" s="15"/>
      <c r="B19" s="13" t="s">
        <v>25</v>
      </c>
      <c r="C19" s="13" t="s">
        <v>26</v>
      </c>
      <c r="D19" s="13" t="s">
        <v>27</v>
      </c>
      <c r="E19" s="13" t="s">
        <v>28</v>
      </c>
      <c r="F19" s="13" t="s">
        <v>24</v>
      </c>
      <c r="G19" s="13" t="s">
        <v>78</v>
      </c>
      <c r="H19" s="13" t="s">
        <v>79</v>
      </c>
      <c r="I19" s="13" t="s">
        <v>80</v>
      </c>
      <c r="J19" s="13" t="s">
        <v>81</v>
      </c>
      <c r="K19" s="15"/>
      <c r="L19" s="15"/>
      <c r="M19" s="13" t="s">
        <v>25</v>
      </c>
      <c r="N19" s="13" t="s">
        <v>26</v>
      </c>
      <c r="O19" s="13" t="s">
        <v>27</v>
      </c>
      <c r="P19" s="13" t="s">
        <v>28</v>
      </c>
      <c r="Q19" s="13" t="s">
        <v>24</v>
      </c>
      <c r="R19" s="13" t="s">
        <v>78</v>
      </c>
      <c r="S19" s="13" t="s">
        <v>79</v>
      </c>
      <c r="T19" s="13" t="s">
        <v>80</v>
      </c>
      <c r="U19" s="13" t="s">
        <v>81</v>
      </c>
      <c r="V19" s="15"/>
      <c r="W19" s="15"/>
      <c r="X19" s="13" t="s">
        <v>25</v>
      </c>
      <c r="Y19" s="13" t="s">
        <v>26</v>
      </c>
      <c r="Z19" s="13" t="s">
        <v>27</v>
      </c>
      <c r="AA19" s="13" t="s">
        <v>28</v>
      </c>
      <c r="AB19" s="13" t="s">
        <v>24</v>
      </c>
      <c r="AC19" s="13" t="s">
        <v>78</v>
      </c>
      <c r="AD19" s="13" t="s">
        <v>79</v>
      </c>
      <c r="AE19" s="13" t="s">
        <v>80</v>
      </c>
      <c r="AF19" s="13" t="s">
        <v>81</v>
      </c>
      <c r="AG19" s="15"/>
      <c r="AH19" s="15"/>
      <c r="AI19" s="13" t="s">
        <v>25</v>
      </c>
      <c r="AJ19" s="13" t="s">
        <v>26</v>
      </c>
      <c r="AK19" s="13" t="s">
        <v>27</v>
      </c>
      <c r="AL19" s="13" t="s">
        <v>28</v>
      </c>
      <c r="AM19" s="13" t="s">
        <v>24</v>
      </c>
      <c r="AN19" s="13" t="s">
        <v>78</v>
      </c>
      <c r="AO19" s="13" t="s">
        <v>79</v>
      </c>
      <c r="AP19" s="13" t="s">
        <v>80</v>
      </c>
      <c r="AQ19" s="13" t="s">
        <v>81</v>
      </c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</row>
    <row r="20" spans="1:1409" x14ac:dyDescent="0.25">
      <c r="B20" s="1" t="s">
        <v>82</v>
      </c>
      <c r="D20" s="1" t="str" cm="1">
        <f t="array" ref="D20:D29">+"R-"&amp;B3:B12</f>
        <v>R-CAM1</v>
      </c>
      <c r="E20" s="1" t="str" cm="1">
        <f t="array" ref="E20:E29">+"Reservas de fluidos de "&amp;$B$3:$B$12</f>
        <v>Reservas de fluidos de CAM1</v>
      </c>
      <c r="F20" s="1" t="s">
        <v>9</v>
      </c>
      <c r="M20" s="1" t="s">
        <v>82</v>
      </c>
      <c r="O20" s="1" t="str" cm="1">
        <f t="array" ref="O20:O26">+F3:F9</f>
        <v>GSL</v>
      </c>
      <c r="P20" s="1" t="s">
        <v>85</v>
      </c>
      <c r="Q20" s="1" t="s">
        <v>9</v>
      </c>
      <c r="X20" s="1" t="s">
        <v>82</v>
      </c>
      <c r="Z20" s="1" t="str" cm="1">
        <f t="array" ref="Z20:Z24">+"D"&amp;F3:F7</f>
        <v>DGSL</v>
      </c>
      <c r="AA20" s="1" t="str" cm="1">
        <f t="array" ref="AA20:AA24">+"Demanda de "&amp;P20:P24</f>
        <v>Demanda de Gasolina</v>
      </c>
      <c r="AB20" s="1" t="s">
        <v>9</v>
      </c>
      <c r="AI20" s="1" t="s">
        <v>98</v>
      </c>
      <c r="AK20" s="1" t="str" cm="1">
        <f t="array" ref="AK20:AK29">+$K$3&amp;"-"&amp;B3:B12</f>
        <v>CO2e-CAM1</v>
      </c>
      <c r="AL20" s="1" t="str" cm="1">
        <f t="array" ref="AL20:AL29">+"CO2eq del "&amp;B3:B12</f>
        <v>CO2eq del CAM1</v>
      </c>
      <c r="AM20" s="1" t="s">
        <v>101</v>
      </c>
    </row>
    <row r="21" spans="1:1409" x14ac:dyDescent="0.25">
      <c r="D21" s="1" t="str">
        <v>R-CAM2</v>
      </c>
      <c r="E21" s="1" t="str">
        <v>Reservas de fluidos de CAM2</v>
      </c>
      <c r="F21" s="1" t="s">
        <v>9</v>
      </c>
      <c r="O21" s="1" t="str">
        <v>DSL</v>
      </c>
      <c r="P21" s="1" t="s">
        <v>86</v>
      </c>
      <c r="Q21" s="1" t="s">
        <v>9</v>
      </c>
      <c r="Z21" s="1" t="str">
        <v>DDSL</v>
      </c>
      <c r="AA21" s="1" t="str">
        <v>Demanda de Diesel</v>
      </c>
      <c r="AB21" s="1" t="s">
        <v>9</v>
      </c>
      <c r="AK21" s="1" t="str">
        <v>CO2e-CAM2</v>
      </c>
      <c r="AL21" s="1" t="str">
        <v>CO2eq del CAM2</v>
      </c>
      <c r="AM21" s="1" t="s">
        <v>101</v>
      </c>
    </row>
    <row r="22" spans="1:1409" x14ac:dyDescent="0.25">
      <c r="D22" s="1" t="str">
        <v>R-CAM3</v>
      </c>
      <c r="E22" s="1" t="str">
        <v>Reservas de fluidos de CAM3</v>
      </c>
      <c r="F22" s="1" t="s">
        <v>9</v>
      </c>
      <c r="O22" s="1" t="str">
        <v>KER</v>
      </c>
      <c r="P22" s="1" t="s">
        <v>87</v>
      </c>
      <c r="Q22" s="1" t="s">
        <v>9</v>
      </c>
      <c r="Z22" s="1" t="str">
        <v>DKER</v>
      </c>
      <c r="AA22" s="1" t="str">
        <v>Demanda de Keroseno-Jet</v>
      </c>
      <c r="AB22" s="1" t="s">
        <v>9</v>
      </c>
      <c r="AK22" s="1" t="str">
        <v>CO2e-CAM3</v>
      </c>
      <c r="AL22" s="1" t="str">
        <v>CO2eq del CAM3</v>
      </c>
      <c r="AM22" s="1" t="s">
        <v>101</v>
      </c>
    </row>
    <row r="23" spans="1:1409" x14ac:dyDescent="0.25">
      <c r="D23" s="1" t="str">
        <v>R-CAM4</v>
      </c>
      <c r="E23" s="1" t="str">
        <v>Reservas de fluidos de CAM4</v>
      </c>
      <c r="F23" s="1" t="s">
        <v>9</v>
      </c>
      <c r="O23" s="1" t="str">
        <v>LPG</v>
      </c>
      <c r="P23" s="1" t="s">
        <v>49</v>
      </c>
      <c r="Q23" s="1" t="s">
        <v>9</v>
      </c>
      <c r="Z23" s="1" t="str">
        <v>DLPG</v>
      </c>
      <c r="AA23" s="1" t="str">
        <v>Demanda de LPG</v>
      </c>
      <c r="AB23" s="1" t="s">
        <v>9</v>
      </c>
      <c r="AK23" s="1" t="str">
        <v>CO2e-CAM4</v>
      </c>
      <c r="AL23" s="1" t="str">
        <v>CO2eq del CAM4</v>
      </c>
      <c r="AM23" s="1" t="s">
        <v>101</v>
      </c>
    </row>
    <row r="24" spans="1:1409" x14ac:dyDescent="0.25">
      <c r="D24" s="1" t="str">
        <v>R-CAM5</v>
      </c>
      <c r="E24" s="1" t="str">
        <v>Reservas de fluidos de CAM5</v>
      </c>
      <c r="F24" s="1" t="s">
        <v>9</v>
      </c>
      <c r="O24" s="1" t="str">
        <v>HFO</v>
      </c>
      <c r="P24" s="1" t="s">
        <v>88</v>
      </c>
      <c r="Q24" s="1" t="s">
        <v>9</v>
      </c>
      <c r="Z24" s="1" t="str">
        <v>DHFO</v>
      </c>
      <c r="AA24" s="1" t="str">
        <v>Demanda de Combustoleo</v>
      </c>
      <c r="AB24" s="1" t="s">
        <v>9</v>
      </c>
      <c r="AK24" s="1" t="str">
        <v>CO2e-CAM5</v>
      </c>
      <c r="AL24" s="1" t="str">
        <v>CO2eq del CAM5</v>
      </c>
      <c r="AM24" s="1" t="s">
        <v>101</v>
      </c>
    </row>
    <row r="25" spans="1:1409" x14ac:dyDescent="0.25">
      <c r="D25" s="1" t="str">
        <v>R-CAM6</v>
      </c>
      <c r="E25" s="1" t="str">
        <v>Reservas de fluidos de CAM6</v>
      </c>
      <c r="F25" s="1" t="s">
        <v>9</v>
      </c>
      <c r="O25" s="1" t="str">
        <v>ETH</v>
      </c>
      <c r="P25" s="1" t="s">
        <v>89</v>
      </c>
      <c r="Q25" s="1" t="s">
        <v>9</v>
      </c>
      <c r="Z25" s="1" t="str" cm="1">
        <f t="array" ref="Z25:Z28">+"D"&amp;D3:D6</f>
        <v>DGAS</v>
      </c>
      <c r="AA25" s="1" t="str" cm="1">
        <f t="array" ref="AA25:AA28">+"Demanda de "&amp;P27:P30</f>
        <v>Demanda de Gasolina natural</v>
      </c>
      <c r="AB25" s="1" t="s">
        <v>9</v>
      </c>
      <c r="AK25" s="1" t="str">
        <v>CO2e-CAM6</v>
      </c>
      <c r="AL25" s="1" t="str">
        <v>CO2eq del CAM6</v>
      </c>
      <c r="AM25" s="1" t="s">
        <v>101</v>
      </c>
    </row>
    <row r="26" spans="1:1409" x14ac:dyDescent="0.25">
      <c r="D26" s="1" t="str">
        <v>R-CAM7</v>
      </c>
      <c r="E26" s="1" t="str">
        <v>Reservas de fluidos de CAM7</v>
      </c>
      <c r="F26" s="1" t="s">
        <v>9</v>
      </c>
      <c r="O26" s="1" t="str">
        <v>BDSL</v>
      </c>
      <c r="P26" s="1" t="s">
        <v>90</v>
      </c>
      <c r="Q26" s="1" t="s">
        <v>9</v>
      </c>
      <c r="Z26" s="1" t="str">
        <v>DLOIL</v>
      </c>
      <c r="AA26" s="1" t="str">
        <v>Demanda de Petroleo liviano</v>
      </c>
      <c r="AB26" s="1" t="s">
        <v>9</v>
      </c>
      <c r="AK26" s="1" t="str">
        <v>CO2e-CAM7</v>
      </c>
      <c r="AL26" s="1" t="str">
        <v>CO2eq del CAM7</v>
      </c>
      <c r="AM26" s="1" t="s">
        <v>101</v>
      </c>
    </row>
    <row r="27" spans="1:1409" x14ac:dyDescent="0.25">
      <c r="D27" s="1" t="str">
        <v>R-CAM8</v>
      </c>
      <c r="E27" s="1" t="str">
        <v>Reservas de fluidos de CAM8</v>
      </c>
      <c r="F27" s="1" t="s">
        <v>9</v>
      </c>
      <c r="O27" s="1" t="str" cm="1">
        <f t="array" ref="O27:O30">+D3:D6</f>
        <v>GAS</v>
      </c>
      <c r="P27" s="1" t="s">
        <v>91</v>
      </c>
      <c r="Q27" s="1" t="s">
        <v>9</v>
      </c>
      <c r="Z27" s="1" t="str">
        <v>DMOIL</v>
      </c>
      <c r="AA27" s="1" t="str">
        <v>Demanda de Petroleo mediano</v>
      </c>
      <c r="AB27" s="1" t="s">
        <v>9</v>
      </c>
      <c r="AK27" s="1" t="str">
        <v>CO2e-CAM8</v>
      </c>
      <c r="AL27" s="1" t="str">
        <v>CO2eq del CAM8</v>
      </c>
      <c r="AM27" s="1" t="s">
        <v>101</v>
      </c>
    </row>
    <row r="28" spans="1:1409" x14ac:dyDescent="0.25">
      <c r="D28" s="1" t="str">
        <v>R-CAM9</v>
      </c>
      <c r="E28" s="1" t="str">
        <v>Reservas de fluidos de CAM9</v>
      </c>
      <c r="F28" s="1" t="s">
        <v>9</v>
      </c>
      <c r="O28" s="1" t="str">
        <v>LOIL</v>
      </c>
      <c r="P28" s="1" t="s">
        <v>92</v>
      </c>
      <c r="Q28" s="1" t="s">
        <v>9</v>
      </c>
      <c r="Z28" s="1" t="str">
        <v>DHOIL</v>
      </c>
      <c r="AA28" s="1" t="str">
        <v>Demanda de Petroleo pesado</v>
      </c>
      <c r="AB28" s="1" t="s">
        <v>9</v>
      </c>
      <c r="AK28" s="1" t="str">
        <v>CO2e-CAM9</v>
      </c>
      <c r="AL28" s="1" t="str">
        <v>CO2eq del CAM9</v>
      </c>
      <c r="AM28" s="1" t="s">
        <v>101</v>
      </c>
    </row>
    <row r="29" spans="1:1409" x14ac:dyDescent="0.25">
      <c r="D29" s="1" t="str">
        <v>R-CAM10</v>
      </c>
      <c r="E29" s="1" t="str">
        <v>Reservas de fluidos de CAM10</v>
      </c>
      <c r="F29" s="1" t="s">
        <v>9</v>
      </c>
      <c r="O29" s="1" t="str">
        <v>MOIL</v>
      </c>
      <c r="P29" s="1" t="s">
        <v>93</v>
      </c>
      <c r="Q29" s="1" t="s">
        <v>9</v>
      </c>
      <c r="Z29" s="1" t="s">
        <v>176</v>
      </c>
      <c r="AA29" s="1" t="s">
        <v>177</v>
      </c>
      <c r="AB29" s="1" t="s">
        <v>9</v>
      </c>
      <c r="AK29" s="1" t="str">
        <v>CO2e-CAM10</v>
      </c>
      <c r="AL29" s="1" t="str">
        <v>CO2eq del CAM10</v>
      </c>
      <c r="AM29" s="1" t="s">
        <v>101</v>
      </c>
    </row>
    <row r="30" spans="1:1409" x14ac:dyDescent="0.25">
      <c r="D30" s="1" t="str" cm="1">
        <f t="array" ref="D30:D39">+$D$3&amp;"-"&amp;$B$3:$B$12</f>
        <v>GAS-CAM1</v>
      </c>
      <c r="E30" s="1" t="str" cm="1">
        <f t="array" ref="E30:E39">+"Gas natural producido de "&amp;$B$3:$B$12</f>
        <v>Gas natural producido de CAM1</v>
      </c>
      <c r="F30" s="1" t="s">
        <v>9</v>
      </c>
      <c r="O30" s="1" t="str">
        <v>HOIL</v>
      </c>
      <c r="P30" s="1" t="s">
        <v>94</v>
      </c>
      <c r="Q30" s="1" t="s">
        <v>9</v>
      </c>
      <c r="X30" s="1" t="s">
        <v>29</v>
      </c>
      <c r="Z30" s="1" t="str" cm="1">
        <f t="array" ref="Z30:Z34">+"D"&amp;M3:M7</f>
        <v>DAGR</v>
      </c>
      <c r="AA30" s="1" t="s">
        <v>163</v>
      </c>
      <c r="AB30" s="1" t="s">
        <v>9</v>
      </c>
      <c r="AK30" s="1" t="s">
        <v>99</v>
      </c>
      <c r="AL30" s="1" t="s">
        <v>104</v>
      </c>
      <c r="AM30" s="1" t="s">
        <v>101</v>
      </c>
    </row>
    <row r="31" spans="1:1409" x14ac:dyDescent="0.25">
      <c r="D31" s="1" t="str">
        <v>GAS-CAM2</v>
      </c>
      <c r="E31" s="1" t="str">
        <v>Gas natural producido de CAM2</v>
      </c>
      <c r="F31" s="1" t="s">
        <v>9</v>
      </c>
      <c r="O31" s="1" t="s">
        <v>54</v>
      </c>
      <c r="P31" s="1" t="s">
        <v>95</v>
      </c>
      <c r="Q31" s="1" t="s">
        <v>9</v>
      </c>
      <c r="Z31" s="1" t="str">
        <v>DTER</v>
      </c>
      <c r="AA31" s="1" t="s">
        <v>164</v>
      </c>
      <c r="AB31" s="1" t="s">
        <v>9</v>
      </c>
      <c r="AK31" s="1" t="s">
        <v>100</v>
      </c>
      <c r="AL31" s="1" t="s">
        <v>103</v>
      </c>
      <c r="AM31" s="1" t="s">
        <v>101</v>
      </c>
    </row>
    <row r="32" spans="1:1409" x14ac:dyDescent="0.25">
      <c r="D32" s="1" t="str">
        <v>GAS-CAM3</v>
      </c>
      <c r="E32" s="1" t="str">
        <v>Gas natural producido de CAM3</v>
      </c>
      <c r="F32" s="1" t="s">
        <v>9</v>
      </c>
      <c r="O32" s="1" t="s">
        <v>55</v>
      </c>
      <c r="P32" s="1" t="s">
        <v>96</v>
      </c>
      <c r="Q32" s="1" t="s">
        <v>9</v>
      </c>
      <c r="Z32" s="1" t="str">
        <v>DRSD</v>
      </c>
      <c r="AA32" s="1" t="s">
        <v>165</v>
      </c>
      <c r="AB32" s="1" t="s">
        <v>9</v>
      </c>
      <c r="AK32" s="1" t="str" cm="1">
        <f t="array" ref="AK32:AK40">+"CO2e-"&amp;Z20:Z28</f>
        <v>CO2e-DGSL</v>
      </c>
      <c r="AL32" s="1" t="str" cm="1">
        <f t="array" ref="AL32:AL40">+"CO2eq de "&amp;AA20:AA28</f>
        <v>CO2eq de Demanda de Gasolina</v>
      </c>
      <c r="AM32" s="1" t="s">
        <v>101</v>
      </c>
    </row>
    <row r="33" spans="4:39" x14ac:dyDescent="0.25">
      <c r="D33" s="1" t="str">
        <v>GAS-CAM4</v>
      </c>
      <c r="E33" s="1" t="str">
        <v>Gas natural producido de CAM4</v>
      </c>
      <c r="F33" s="1" t="s">
        <v>9</v>
      </c>
      <c r="O33" s="1" t="s">
        <v>522</v>
      </c>
      <c r="P33" s="1" t="s">
        <v>525</v>
      </c>
      <c r="Q33" s="1" t="s">
        <v>9</v>
      </c>
      <c r="Z33" s="1" t="str">
        <v>DIND</v>
      </c>
      <c r="AA33" s="1" t="s">
        <v>166</v>
      </c>
      <c r="AB33" s="1" t="s">
        <v>9</v>
      </c>
      <c r="AK33" s="1" t="str">
        <v>CO2e-DDSL</v>
      </c>
      <c r="AL33" s="1" t="str">
        <v>CO2eq de Demanda de Diesel</v>
      </c>
      <c r="AM33" s="1" t="s">
        <v>101</v>
      </c>
    </row>
    <row r="34" spans="4:39" x14ac:dyDescent="0.25">
      <c r="D34" s="1" t="str">
        <v>GAS-CAM5</v>
      </c>
      <c r="E34" s="1" t="str">
        <v>Gas natural producido de CAM5</v>
      </c>
      <c r="F34" s="1" t="s">
        <v>9</v>
      </c>
      <c r="O34" s="1" t="s">
        <v>519</v>
      </c>
      <c r="P34" s="1" t="s">
        <v>518</v>
      </c>
      <c r="Q34" s="1" t="s">
        <v>9</v>
      </c>
      <c r="Z34" s="1" t="str">
        <v>DTRA</v>
      </c>
      <c r="AA34" s="1" t="s">
        <v>167</v>
      </c>
      <c r="AB34" s="1" t="s">
        <v>9</v>
      </c>
      <c r="AK34" s="1" t="str">
        <v>CO2e-DKER</v>
      </c>
      <c r="AL34" s="1" t="str">
        <v>CO2eq de Demanda de Keroseno-Jet</v>
      </c>
      <c r="AM34" s="1" t="s">
        <v>101</v>
      </c>
    </row>
    <row r="35" spans="4:39" x14ac:dyDescent="0.25">
      <c r="D35" s="1" t="str">
        <v>GAS-CAM6</v>
      </c>
      <c r="E35" s="1" t="str">
        <v>Gas natural producido de CAM6</v>
      </c>
      <c r="F35" s="1" t="s">
        <v>9</v>
      </c>
      <c r="O35" s="1" t="s">
        <v>542</v>
      </c>
      <c r="P35" s="1" t="s">
        <v>544</v>
      </c>
      <c r="Q35" s="1" t="s">
        <v>9</v>
      </c>
      <c r="X35" s="1" t="s">
        <v>82</v>
      </c>
      <c r="Z35" s="1" t="s">
        <v>523</v>
      </c>
      <c r="AA35" s="1" t="s">
        <v>530</v>
      </c>
      <c r="AB35" s="1" t="s">
        <v>9</v>
      </c>
      <c r="AK35" s="1" t="str">
        <v>CO2e-DLPG</v>
      </c>
      <c r="AL35" s="1" t="str">
        <v>CO2eq de Demanda de LPG</v>
      </c>
      <c r="AM35" s="1" t="s">
        <v>101</v>
      </c>
    </row>
    <row r="36" spans="4:39" x14ac:dyDescent="0.25">
      <c r="D36" s="1" t="str">
        <v>GAS-CAM7</v>
      </c>
      <c r="E36" s="1" t="str">
        <v>Gas natural producido de CAM7</v>
      </c>
      <c r="F36" s="1" t="s">
        <v>9</v>
      </c>
      <c r="O36" s="1" t="s">
        <v>543</v>
      </c>
      <c r="P36" s="1" t="s">
        <v>545</v>
      </c>
      <c r="Q36" s="1" t="s">
        <v>9</v>
      </c>
      <c r="Z36" s="1" t="s">
        <v>554</v>
      </c>
      <c r="AA36" s="1" t="s">
        <v>558</v>
      </c>
      <c r="AB36" s="1" t="s">
        <v>9</v>
      </c>
      <c r="AK36" s="1" t="str">
        <v>CO2e-DHFO</v>
      </c>
      <c r="AL36" s="1" t="str">
        <v>CO2eq de Demanda de Combustoleo</v>
      </c>
      <c r="AM36" s="1" t="s">
        <v>101</v>
      </c>
    </row>
    <row r="37" spans="4:39" x14ac:dyDescent="0.25">
      <c r="D37" s="1" t="str">
        <v>GAS-CAM8</v>
      </c>
      <c r="E37" s="1" t="str">
        <v>Gas natural producido de CAM8</v>
      </c>
      <c r="F37" s="1" t="s">
        <v>9</v>
      </c>
      <c r="Z37" s="1" t="s">
        <v>553</v>
      </c>
      <c r="AA37" s="1" t="s">
        <v>559</v>
      </c>
      <c r="AB37" s="1" t="s">
        <v>9</v>
      </c>
      <c r="AK37" s="1" t="str">
        <v>CO2e-DGAS</v>
      </c>
      <c r="AL37" s="1" t="str">
        <v>CO2eq de Demanda de Gasolina natural</v>
      </c>
      <c r="AM37" s="1" t="s">
        <v>101</v>
      </c>
    </row>
    <row r="38" spans="4:39" x14ac:dyDescent="0.25">
      <c r="D38" s="1" t="str">
        <v>GAS-CAM9</v>
      </c>
      <c r="E38" s="1" t="str">
        <v>Gas natural producido de CAM9</v>
      </c>
      <c r="F38" s="1" t="s">
        <v>9</v>
      </c>
      <c r="AK38" s="1" t="str">
        <v>CO2e-DLOIL</v>
      </c>
      <c r="AL38" s="1" t="str">
        <v>CO2eq de Demanda de Petroleo liviano</v>
      </c>
      <c r="AM38" s="1" t="s">
        <v>101</v>
      </c>
    </row>
    <row r="39" spans="4:39" x14ac:dyDescent="0.25">
      <c r="D39" s="1" t="str">
        <v>GAS-CAM10</v>
      </c>
      <c r="E39" s="1" t="str">
        <v>Gas natural producido de CAM10</v>
      </c>
      <c r="F39" s="1" t="s">
        <v>9</v>
      </c>
      <c r="AK39" s="1" t="str">
        <v>CO2e-DMOIL</v>
      </c>
      <c r="AL39" s="1" t="str">
        <v>CO2eq de Demanda de Petroleo mediano</v>
      </c>
      <c r="AM39" s="1" t="s">
        <v>101</v>
      </c>
    </row>
    <row r="40" spans="4:39" x14ac:dyDescent="0.25">
      <c r="D40" s="1" t="str" cm="1">
        <f t="array" ref="D40:D49">+$D$4&amp;"-"&amp;$B$3:$B$12</f>
        <v>LOIL-CAM1</v>
      </c>
      <c r="E40" s="1" t="str" cm="1">
        <f t="array" ref="E40:E49">+"Petroleo liviano producido de "&amp;$B$3:$B$12</f>
        <v>Petroleo liviano producido de CAM1</v>
      </c>
      <c r="F40" s="1" t="s">
        <v>9</v>
      </c>
      <c r="AK40" s="1" t="str">
        <v>CO2e-DHOIL</v>
      </c>
      <c r="AL40" s="1" t="str">
        <v>CO2eq de Demanda de Petroleo pesado</v>
      </c>
      <c r="AM40" s="1" t="s">
        <v>101</v>
      </c>
    </row>
    <row r="41" spans="4:39" x14ac:dyDescent="0.25">
      <c r="D41" s="1" t="str">
        <v>LOIL-CAM2</v>
      </c>
      <c r="E41" s="1" t="str">
        <v>Petroleo liviano producido de CAM2</v>
      </c>
      <c r="F41" s="1" t="s">
        <v>9</v>
      </c>
      <c r="AK41" s="1" t="s">
        <v>534</v>
      </c>
      <c r="AL41" s="1" t="s">
        <v>536</v>
      </c>
      <c r="AM41" s="1" t="s">
        <v>101</v>
      </c>
    </row>
    <row r="42" spans="4:39" x14ac:dyDescent="0.25">
      <c r="D42" s="1" t="str">
        <v>LOIL-CAM3</v>
      </c>
      <c r="E42" s="1" t="str">
        <v>Petroleo liviano producido de CAM3</v>
      </c>
      <c r="F42" s="1" t="s">
        <v>9</v>
      </c>
      <c r="AK42" s="1" t="s">
        <v>535</v>
      </c>
      <c r="AL42" s="1" t="s">
        <v>537</v>
      </c>
      <c r="AM42" s="1" t="s">
        <v>101</v>
      </c>
    </row>
    <row r="43" spans="4:39" x14ac:dyDescent="0.25">
      <c r="D43" s="1" t="str">
        <v>LOIL-CAM4</v>
      </c>
      <c r="E43" s="1" t="str">
        <v>Petroleo liviano producido de CAM4</v>
      </c>
      <c r="F43" s="1" t="s">
        <v>9</v>
      </c>
      <c r="AK43" s="1" t="s">
        <v>538</v>
      </c>
      <c r="AL43" s="1" t="s">
        <v>539</v>
      </c>
      <c r="AM43" s="1" t="s">
        <v>101</v>
      </c>
    </row>
    <row r="44" spans="4:39" x14ac:dyDescent="0.25">
      <c r="D44" s="1" t="str">
        <v>LOIL-CAM5</v>
      </c>
      <c r="E44" s="1" t="str">
        <v>Petroleo liviano producido de CAM5</v>
      </c>
      <c r="F44" s="1" t="s">
        <v>9</v>
      </c>
    </row>
    <row r="45" spans="4:39" x14ac:dyDescent="0.25">
      <c r="D45" s="1" t="str">
        <v>LOIL-CAM6</v>
      </c>
      <c r="E45" s="1" t="str">
        <v>Petroleo liviano producido de CAM6</v>
      </c>
      <c r="F45" s="1" t="s">
        <v>9</v>
      </c>
    </row>
    <row r="46" spans="4:39" x14ac:dyDescent="0.25">
      <c r="D46" s="1" t="str">
        <v>LOIL-CAM7</v>
      </c>
      <c r="E46" s="1" t="str">
        <v>Petroleo liviano producido de CAM7</v>
      </c>
      <c r="F46" s="1" t="s">
        <v>9</v>
      </c>
    </row>
    <row r="47" spans="4:39" x14ac:dyDescent="0.25">
      <c r="D47" s="1" t="str">
        <v>LOIL-CAM8</v>
      </c>
      <c r="E47" s="1" t="str">
        <v>Petroleo liviano producido de CAM8</v>
      </c>
      <c r="F47" s="1" t="s">
        <v>9</v>
      </c>
    </row>
    <row r="48" spans="4:39" x14ac:dyDescent="0.25">
      <c r="D48" s="1" t="str">
        <v>LOIL-CAM9</v>
      </c>
      <c r="E48" s="1" t="str">
        <v>Petroleo liviano producido de CAM9</v>
      </c>
      <c r="F48" s="1" t="s">
        <v>9</v>
      </c>
    </row>
    <row r="49" spans="4:6" x14ac:dyDescent="0.25">
      <c r="D49" s="1" t="str">
        <v>LOIL-CAM10</v>
      </c>
      <c r="E49" s="1" t="str">
        <v>Petroleo liviano producido de CAM10</v>
      </c>
      <c r="F49" s="1" t="s">
        <v>9</v>
      </c>
    </row>
    <row r="50" spans="4:6" x14ac:dyDescent="0.25">
      <c r="D50" s="1" t="str" cm="1">
        <f t="array" ref="D50:D59">+$D$5&amp;"-"&amp;$B$3:$B$12</f>
        <v>MOIL-CAM1</v>
      </c>
      <c r="E50" s="1" t="str" cm="1">
        <f t="array" ref="E50:E59">+"Petroleo mediano producido de "&amp;$B$3:$B$12</f>
        <v>Petroleo mediano producido de CAM1</v>
      </c>
      <c r="F50" s="1" t="s">
        <v>9</v>
      </c>
    </row>
    <row r="51" spans="4:6" x14ac:dyDescent="0.25">
      <c r="D51" s="1" t="str">
        <v>MOIL-CAM2</v>
      </c>
      <c r="E51" s="1" t="str">
        <v>Petroleo mediano producido de CAM2</v>
      </c>
      <c r="F51" s="1" t="s">
        <v>9</v>
      </c>
    </row>
    <row r="52" spans="4:6" x14ac:dyDescent="0.25">
      <c r="D52" s="1" t="str">
        <v>MOIL-CAM3</v>
      </c>
      <c r="E52" s="1" t="str">
        <v>Petroleo mediano producido de CAM3</v>
      </c>
      <c r="F52" s="1" t="s">
        <v>9</v>
      </c>
    </row>
    <row r="53" spans="4:6" x14ac:dyDescent="0.25">
      <c r="D53" s="1" t="str">
        <v>MOIL-CAM4</v>
      </c>
      <c r="E53" s="1" t="str">
        <v>Petroleo mediano producido de CAM4</v>
      </c>
      <c r="F53" s="1" t="s">
        <v>9</v>
      </c>
    </row>
    <row r="54" spans="4:6" x14ac:dyDescent="0.25">
      <c r="D54" s="1" t="str">
        <v>MOIL-CAM5</v>
      </c>
      <c r="E54" s="1" t="str">
        <v>Petroleo mediano producido de CAM5</v>
      </c>
      <c r="F54" s="1" t="s">
        <v>9</v>
      </c>
    </row>
    <row r="55" spans="4:6" x14ac:dyDescent="0.25">
      <c r="D55" s="1" t="str">
        <v>MOIL-CAM6</v>
      </c>
      <c r="E55" s="1" t="str">
        <v>Petroleo mediano producido de CAM6</v>
      </c>
      <c r="F55" s="1" t="s">
        <v>9</v>
      </c>
    </row>
    <row r="56" spans="4:6" x14ac:dyDescent="0.25">
      <c r="D56" s="1" t="str">
        <v>MOIL-CAM7</v>
      </c>
      <c r="E56" s="1" t="str">
        <v>Petroleo mediano producido de CAM7</v>
      </c>
      <c r="F56" s="1" t="s">
        <v>9</v>
      </c>
    </row>
    <row r="57" spans="4:6" x14ac:dyDescent="0.25">
      <c r="D57" s="1" t="str">
        <v>MOIL-CAM8</v>
      </c>
      <c r="E57" s="1" t="str">
        <v>Petroleo mediano producido de CAM8</v>
      </c>
      <c r="F57" s="1" t="s">
        <v>9</v>
      </c>
    </row>
    <row r="58" spans="4:6" x14ac:dyDescent="0.25">
      <c r="D58" s="1" t="str">
        <v>MOIL-CAM9</v>
      </c>
      <c r="E58" s="1" t="str">
        <v>Petroleo mediano producido de CAM9</v>
      </c>
      <c r="F58" s="1" t="s">
        <v>9</v>
      </c>
    </row>
    <row r="59" spans="4:6" x14ac:dyDescent="0.25">
      <c r="D59" s="1" t="str">
        <v>MOIL-CAM10</v>
      </c>
      <c r="E59" s="1" t="str">
        <v>Petroleo mediano producido de CAM10</v>
      </c>
      <c r="F59" s="1" t="s">
        <v>9</v>
      </c>
    </row>
    <row r="60" spans="4:6" x14ac:dyDescent="0.25">
      <c r="D60" s="1" t="str" cm="1">
        <f t="array" ref="D60:D69">+$D$6&amp;"-"&amp;$B$3:$B$12</f>
        <v>HOIL-CAM1</v>
      </c>
      <c r="E60" s="1" t="str" cm="1">
        <f t="array" ref="E60:E69">+"Petroleo pesado producido de "&amp;$B$3:$B$12</f>
        <v>Petroleo pesado producido de CAM1</v>
      </c>
      <c r="F60" s="1" t="s">
        <v>9</v>
      </c>
    </row>
    <row r="61" spans="4:6" x14ac:dyDescent="0.25">
      <c r="D61" s="1" t="str">
        <v>HOIL-CAM2</v>
      </c>
      <c r="E61" s="1" t="str">
        <v>Petroleo pesado producido de CAM2</v>
      </c>
      <c r="F61" s="1" t="s">
        <v>9</v>
      </c>
    </row>
    <row r="62" spans="4:6" x14ac:dyDescent="0.25">
      <c r="D62" s="1" t="str">
        <v>HOIL-CAM3</v>
      </c>
      <c r="E62" s="1" t="str">
        <v>Petroleo pesado producido de CAM3</v>
      </c>
      <c r="F62" s="1" t="s">
        <v>9</v>
      </c>
    </row>
    <row r="63" spans="4:6" x14ac:dyDescent="0.25">
      <c r="D63" s="1" t="str">
        <v>HOIL-CAM4</v>
      </c>
      <c r="E63" s="1" t="str">
        <v>Petroleo pesado producido de CAM4</v>
      </c>
      <c r="F63" s="1" t="s">
        <v>9</v>
      </c>
    </row>
    <row r="64" spans="4:6" x14ac:dyDescent="0.25">
      <c r="D64" s="1" t="str">
        <v>HOIL-CAM5</v>
      </c>
      <c r="E64" s="1" t="str">
        <v>Petroleo pesado producido de CAM5</v>
      </c>
      <c r="F64" s="1" t="s">
        <v>9</v>
      </c>
    </row>
    <row r="65" spans="4:6" x14ac:dyDescent="0.25">
      <c r="D65" s="1" t="str">
        <v>HOIL-CAM6</v>
      </c>
      <c r="E65" s="1" t="str">
        <v>Petroleo pesado producido de CAM6</v>
      </c>
      <c r="F65" s="1" t="s">
        <v>9</v>
      </c>
    </row>
    <row r="66" spans="4:6" x14ac:dyDescent="0.25">
      <c r="D66" s="1" t="str">
        <v>HOIL-CAM7</v>
      </c>
      <c r="E66" s="1" t="str">
        <v>Petroleo pesado producido de CAM7</v>
      </c>
      <c r="F66" s="1" t="s">
        <v>9</v>
      </c>
    </row>
    <row r="67" spans="4:6" x14ac:dyDescent="0.25">
      <c r="D67" s="1" t="str">
        <v>HOIL-CAM8</v>
      </c>
      <c r="E67" s="1" t="str">
        <v>Petroleo pesado producido de CAM8</v>
      </c>
      <c r="F67" s="1" t="s">
        <v>9</v>
      </c>
    </row>
    <row r="68" spans="4:6" x14ac:dyDescent="0.25">
      <c r="D68" s="1" t="str">
        <v>HOIL-CAM9</v>
      </c>
      <c r="E68" s="1" t="str">
        <v>Petroleo pesado producido de CAM9</v>
      </c>
      <c r="F68" s="1" t="s">
        <v>9</v>
      </c>
    </row>
    <row r="69" spans="4:6" x14ac:dyDescent="0.25">
      <c r="D69" s="1" t="str">
        <v>HOIL-CAM10</v>
      </c>
      <c r="E69" s="1" t="str">
        <v>Petroleo pesado producido de CAM10</v>
      </c>
      <c r="F69" s="1" t="s">
        <v>9</v>
      </c>
    </row>
    <row r="70" spans="4:6" x14ac:dyDescent="0.25">
      <c r="D70" s="1" t="str" cm="1">
        <f t="array" ref="D70:D79">+$D$8&amp;"-"&amp;$B$3:$B$12</f>
        <v>GAS-plt-CAM1</v>
      </c>
      <c r="E70" s="1" t="str" cm="1">
        <f t="array" ref="E70:E79">+"Gas natural rementen de planta de "&amp;$B$3:$B$12</f>
        <v>Gas natural rementen de planta de CAM1</v>
      </c>
      <c r="F70" s="1" t="s">
        <v>9</v>
      </c>
    </row>
    <row r="71" spans="4:6" x14ac:dyDescent="0.25">
      <c r="D71" s="1" t="str">
        <v>GAS-plt-CAM2</v>
      </c>
      <c r="E71" s="1" t="str">
        <v>Gas natural rementen de planta de CAM2</v>
      </c>
      <c r="F71" s="1" t="s">
        <v>9</v>
      </c>
    </row>
    <row r="72" spans="4:6" x14ac:dyDescent="0.25">
      <c r="D72" s="1" t="str">
        <v>GAS-plt-CAM3</v>
      </c>
      <c r="E72" s="1" t="str">
        <v>Gas natural rementen de planta de CAM3</v>
      </c>
      <c r="F72" s="1" t="s">
        <v>9</v>
      </c>
    </row>
    <row r="73" spans="4:6" x14ac:dyDescent="0.25">
      <c r="D73" s="1" t="str">
        <v>GAS-plt-CAM4</v>
      </c>
      <c r="E73" s="1" t="str">
        <v>Gas natural rementen de planta de CAM4</v>
      </c>
      <c r="F73" s="1" t="s">
        <v>9</v>
      </c>
    </row>
    <row r="74" spans="4:6" x14ac:dyDescent="0.25">
      <c r="D74" s="1" t="str">
        <v>GAS-plt-CAM5</v>
      </c>
      <c r="E74" s="1" t="str">
        <v>Gas natural rementen de planta de CAM5</v>
      </c>
      <c r="F74" s="1" t="s">
        <v>9</v>
      </c>
    </row>
    <row r="75" spans="4:6" x14ac:dyDescent="0.25">
      <c r="D75" s="1" t="str">
        <v>GAS-plt-CAM6</v>
      </c>
      <c r="E75" s="1" t="str">
        <v>Gas natural rementen de planta de CAM6</v>
      </c>
      <c r="F75" s="1" t="s">
        <v>9</v>
      </c>
    </row>
    <row r="76" spans="4:6" x14ac:dyDescent="0.25">
      <c r="D76" s="1" t="str">
        <v>GAS-plt-CAM7</v>
      </c>
      <c r="E76" s="1" t="str">
        <v>Gas natural rementen de planta de CAM7</v>
      </c>
      <c r="F76" s="1" t="s">
        <v>9</v>
      </c>
    </row>
    <row r="77" spans="4:6" x14ac:dyDescent="0.25">
      <c r="D77" s="1" t="str">
        <v>GAS-plt-CAM8</v>
      </c>
      <c r="E77" s="1" t="str">
        <v>Gas natural rementen de planta de CAM8</v>
      </c>
      <c r="F77" s="1" t="s">
        <v>9</v>
      </c>
    </row>
    <row r="78" spans="4:6" x14ac:dyDescent="0.25">
      <c r="D78" s="1" t="str">
        <v>GAS-plt-CAM9</v>
      </c>
      <c r="E78" s="1" t="str">
        <v>Gas natural rementen de planta de CAM9</v>
      </c>
      <c r="F78" s="1" t="s">
        <v>9</v>
      </c>
    </row>
    <row r="79" spans="4:6" x14ac:dyDescent="0.25">
      <c r="D79" s="1" t="str">
        <v>GAS-plt-CAM10</v>
      </c>
      <c r="E79" s="1" t="str">
        <v>Gas natural rementen de planta de CAM10</v>
      </c>
      <c r="F79" s="1" t="s">
        <v>9</v>
      </c>
    </row>
  </sheetData>
  <mergeCells count="4">
    <mergeCell ref="B15:J15"/>
    <mergeCell ref="M15:U15"/>
    <mergeCell ref="X14:AF14"/>
    <mergeCell ref="AI15:AQ15"/>
  </mergeCells>
  <phoneticPr fontId="8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FC13F-5027-431F-8210-AC6A0A4D336D}">
  <dimension ref="B3:AD73"/>
  <sheetViews>
    <sheetView showGridLines="0" topLeftCell="E18" zoomScale="85" zoomScaleNormal="85" workbookViewId="0">
      <selection activeCell="V20" sqref="V20"/>
    </sheetView>
  </sheetViews>
  <sheetFormatPr baseColWidth="10" defaultRowHeight="15" x14ac:dyDescent="0.25"/>
  <cols>
    <col min="3" max="3" width="7.140625" customWidth="1"/>
    <col min="4" max="4" width="16.85546875" customWidth="1"/>
    <col min="5" max="5" width="42.85546875" customWidth="1"/>
    <col min="8" max="8" width="15.28515625" customWidth="1"/>
    <col min="9" max="9" width="14.85546875" customWidth="1"/>
    <col min="13" max="13" width="7.140625" customWidth="1"/>
    <col min="14" max="14" width="16.85546875" customWidth="1"/>
    <col min="15" max="15" width="42.85546875" customWidth="1"/>
    <col min="18" max="18" width="15.28515625" customWidth="1"/>
    <col min="19" max="19" width="14.85546875" customWidth="1"/>
    <col min="23" max="23" width="7.140625" customWidth="1"/>
    <col min="24" max="24" width="16.85546875" customWidth="1"/>
    <col min="25" max="25" width="42.85546875" customWidth="1"/>
    <col min="28" max="28" width="15.28515625" customWidth="1"/>
    <col min="29" max="29" width="14.85546875" customWidth="1"/>
  </cols>
  <sheetData>
    <row r="3" spans="2:6" x14ac:dyDescent="0.25">
      <c r="B3" t="s">
        <v>56</v>
      </c>
      <c r="D3" t="s">
        <v>106</v>
      </c>
      <c r="E3" t="s">
        <v>119</v>
      </c>
      <c r="F3" s="20" t="s">
        <v>120</v>
      </c>
    </row>
    <row r="4" spans="2:6" x14ac:dyDescent="0.25">
      <c r="B4" t="s">
        <v>57</v>
      </c>
      <c r="D4" t="s">
        <v>113</v>
      </c>
      <c r="E4" s="1" t="s">
        <v>45</v>
      </c>
      <c r="F4" s="19" t="s">
        <v>117</v>
      </c>
    </row>
    <row r="5" spans="2:6" x14ac:dyDescent="0.25">
      <c r="B5" t="s">
        <v>58</v>
      </c>
      <c r="D5" t="s">
        <v>114</v>
      </c>
      <c r="E5" s="15" t="s">
        <v>47</v>
      </c>
      <c r="F5" s="19" t="s">
        <v>118</v>
      </c>
    </row>
    <row r="6" spans="2:6" x14ac:dyDescent="0.25">
      <c r="B6" t="s">
        <v>59</v>
      </c>
      <c r="D6" t="s">
        <v>115</v>
      </c>
      <c r="E6" s="1" t="s">
        <v>48</v>
      </c>
    </row>
    <row r="7" spans="2:6" x14ac:dyDescent="0.25">
      <c r="B7" t="s">
        <v>60</v>
      </c>
      <c r="D7" t="s">
        <v>116</v>
      </c>
      <c r="E7" s="1" t="s">
        <v>49</v>
      </c>
    </row>
    <row r="8" spans="2:6" x14ac:dyDescent="0.25">
      <c r="B8" t="s">
        <v>61</v>
      </c>
      <c r="D8" t="s">
        <v>125</v>
      </c>
      <c r="E8" s="1" t="s">
        <v>50</v>
      </c>
    </row>
    <row r="9" spans="2:6" x14ac:dyDescent="0.25">
      <c r="B9" t="s">
        <v>62</v>
      </c>
      <c r="D9" t="s">
        <v>122</v>
      </c>
      <c r="E9" s="1" t="s">
        <v>43</v>
      </c>
    </row>
    <row r="10" spans="2:6" x14ac:dyDescent="0.25">
      <c r="B10" t="s">
        <v>63</v>
      </c>
      <c r="D10" t="s">
        <v>126</v>
      </c>
      <c r="E10" s="1" t="s">
        <v>44</v>
      </c>
    </row>
    <row r="11" spans="2:6" x14ac:dyDescent="0.25">
      <c r="B11" t="s">
        <v>64</v>
      </c>
      <c r="E11" s="1" t="s">
        <v>51</v>
      </c>
    </row>
    <row r="12" spans="2:6" x14ac:dyDescent="0.25">
      <c r="B12" t="s">
        <v>65</v>
      </c>
      <c r="E12" s="15" t="s">
        <v>52</v>
      </c>
    </row>
    <row r="13" spans="2:6" x14ac:dyDescent="0.25">
      <c r="B13" t="s">
        <v>66</v>
      </c>
      <c r="E13" s="1" t="s">
        <v>67</v>
      </c>
    </row>
    <row r="14" spans="2:6" x14ac:dyDescent="0.25">
      <c r="E14" s="1" t="s">
        <v>53</v>
      </c>
    </row>
    <row r="15" spans="2:6" x14ac:dyDescent="0.25">
      <c r="E15" s="1"/>
    </row>
    <row r="16" spans="2:6" x14ac:dyDescent="0.25">
      <c r="E16" s="1"/>
    </row>
    <row r="17" spans="2:30" x14ac:dyDescent="0.25">
      <c r="E17" s="1"/>
    </row>
    <row r="18" spans="2:30" x14ac:dyDescent="0.25">
      <c r="B18" s="388" t="s">
        <v>121</v>
      </c>
      <c r="C18" s="388"/>
      <c r="D18" s="388"/>
      <c r="E18" s="388"/>
      <c r="F18" s="388"/>
      <c r="G18" s="388"/>
      <c r="H18" s="388"/>
      <c r="I18" s="388"/>
      <c r="J18" s="388"/>
      <c r="L18" s="388" t="s">
        <v>127</v>
      </c>
      <c r="M18" s="388"/>
      <c r="N18" s="388"/>
      <c r="O18" s="388"/>
      <c r="P18" s="388"/>
      <c r="Q18" s="388"/>
      <c r="R18" s="388"/>
      <c r="S18" s="388"/>
      <c r="T18" s="388"/>
      <c r="V18" s="388" t="s">
        <v>123</v>
      </c>
      <c r="W18" s="388"/>
      <c r="X18" s="388"/>
      <c r="Y18" s="388"/>
      <c r="Z18" s="388"/>
      <c r="AA18" s="388"/>
      <c r="AB18" s="388"/>
      <c r="AC18" s="388"/>
      <c r="AD18" s="388"/>
    </row>
    <row r="20" spans="2:30" x14ac:dyDescent="0.25">
      <c r="B20" s="14" t="s">
        <v>30</v>
      </c>
      <c r="C20" s="1"/>
      <c r="D20" s="1"/>
      <c r="E20" s="1"/>
      <c r="F20" s="1"/>
      <c r="G20" s="1"/>
      <c r="H20" s="1"/>
      <c r="I20" s="1"/>
      <c r="J20" s="1"/>
      <c r="L20" s="14" t="s">
        <v>30</v>
      </c>
      <c r="M20" s="1"/>
      <c r="N20" s="1"/>
      <c r="O20" s="1"/>
      <c r="P20" s="1"/>
      <c r="Q20" s="1"/>
      <c r="R20" s="1"/>
      <c r="S20" s="1"/>
      <c r="T20" s="1"/>
      <c r="V20" s="14" t="s">
        <v>30</v>
      </c>
      <c r="W20" s="1"/>
      <c r="X20" s="1"/>
      <c r="Y20" s="1"/>
      <c r="Z20" s="1"/>
      <c r="AA20" s="1"/>
      <c r="AB20" s="1"/>
      <c r="AC20" s="1"/>
      <c r="AD20" s="1"/>
    </row>
    <row r="21" spans="2:30" x14ac:dyDescent="0.25">
      <c r="B21" s="11" t="s">
        <v>32</v>
      </c>
      <c r="C21" s="12" t="s">
        <v>22</v>
      </c>
      <c r="D21" s="11" t="s">
        <v>11</v>
      </c>
      <c r="E21" s="11" t="s">
        <v>33</v>
      </c>
      <c r="F21" s="11" t="s">
        <v>34</v>
      </c>
      <c r="G21" s="11" t="s">
        <v>35</v>
      </c>
      <c r="H21" s="11" t="s">
        <v>107</v>
      </c>
      <c r="I21" s="11" t="s">
        <v>108</v>
      </c>
      <c r="J21" s="11" t="s">
        <v>109</v>
      </c>
      <c r="L21" s="11" t="s">
        <v>32</v>
      </c>
      <c r="M21" s="12" t="s">
        <v>22</v>
      </c>
      <c r="N21" s="11" t="s">
        <v>11</v>
      </c>
      <c r="O21" s="11" t="s">
        <v>33</v>
      </c>
      <c r="P21" s="11" t="s">
        <v>34</v>
      </c>
      <c r="Q21" s="11" t="s">
        <v>35</v>
      </c>
      <c r="R21" s="11" t="s">
        <v>107</v>
      </c>
      <c r="S21" s="11" t="s">
        <v>108</v>
      </c>
      <c r="T21" s="11" t="s">
        <v>109</v>
      </c>
      <c r="V21" s="11" t="s">
        <v>32</v>
      </c>
      <c r="W21" s="12" t="s">
        <v>22</v>
      </c>
      <c r="X21" s="11" t="s">
        <v>11</v>
      </c>
      <c r="Y21" s="11" t="s">
        <v>33</v>
      </c>
      <c r="Z21" s="11" t="s">
        <v>34</v>
      </c>
      <c r="AA21" s="11" t="s">
        <v>35</v>
      </c>
      <c r="AB21" s="11" t="s">
        <v>107</v>
      </c>
      <c r="AC21" s="11" t="s">
        <v>108</v>
      </c>
      <c r="AD21" s="11" t="s">
        <v>109</v>
      </c>
    </row>
    <row r="22" spans="2:30" s="18" customFormat="1" ht="24" thickBot="1" x14ac:dyDescent="0.3">
      <c r="B22" s="13" t="s">
        <v>36</v>
      </c>
      <c r="C22" s="13" t="s">
        <v>26</v>
      </c>
      <c r="D22" s="13" t="s">
        <v>37</v>
      </c>
      <c r="E22" s="13" t="s">
        <v>38</v>
      </c>
      <c r="F22" s="13" t="s">
        <v>39</v>
      </c>
      <c r="G22" s="13" t="s">
        <v>40</v>
      </c>
      <c r="H22" s="13" t="s">
        <v>110</v>
      </c>
      <c r="I22" s="13" t="s">
        <v>111</v>
      </c>
      <c r="J22" s="13" t="s">
        <v>112</v>
      </c>
      <c r="L22" s="13" t="s">
        <v>36</v>
      </c>
      <c r="M22" s="13" t="s">
        <v>26</v>
      </c>
      <c r="N22" s="13" t="s">
        <v>37</v>
      </c>
      <c r="O22" s="13" t="s">
        <v>38</v>
      </c>
      <c r="P22" s="13" t="s">
        <v>39</v>
      </c>
      <c r="Q22" s="13" t="s">
        <v>40</v>
      </c>
      <c r="R22" s="13" t="s">
        <v>110</v>
      </c>
      <c r="S22" s="13" t="s">
        <v>111</v>
      </c>
      <c r="T22" s="13" t="s">
        <v>112</v>
      </c>
      <c r="V22" s="13" t="s">
        <v>36</v>
      </c>
      <c r="W22" s="13" t="s">
        <v>26</v>
      </c>
      <c r="X22" s="13" t="s">
        <v>37</v>
      </c>
      <c r="Y22" s="13" t="s">
        <v>38</v>
      </c>
      <c r="Z22" s="13" t="s">
        <v>39</v>
      </c>
      <c r="AA22" s="13" t="s">
        <v>40</v>
      </c>
      <c r="AB22" s="13" t="s">
        <v>110</v>
      </c>
      <c r="AC22" s="13" t="s">
        <v>111</v>
      </c>
      <c r="AD22" s="13" t="s">
        <v>112</v>
      </c>
    </row>
    <row r="23" spans="2:30" ht="15.75" thickBot="1" x14ac:dyDescent="0.3">
      <c r="B23" s="13" t="s">
        <v>4</v>
      </c>
      <c r="C23" s="13"/>
      <c r="D23" s="13"/>
      <c r="E23" s="13"/>
      <c r="F23" s="13"/>
      <c r="G23" s="13"/>
      <c r="H23" s="13"/>
      <c r="I23" s="13"/>
      <c r="J23" s="13"/>
      <c r="L23" s="13" t="s">
        <v>4</v>
      </c>
      <c r="M23" s="13"/>
      <c r="N23" s="13"/>
      <c r="O23" s="13"/>
      <c r="P23" s="13"/>
      <c r="Q23" s="13"/>
      <c r="R23" s="13"/>
      <c r="S23" s="13"/>
      <c r="T23" s="13"/>
      <c r="V23" s="13" t="s">
        <v>4</v>
      </c>
      <c r="W23" s="13"/>
      <c r="X23" s="13"/>
      <c r="Y23" s="13"/>
      <c r="Z23" s="13"/>
      <c r="AA23" s="13"/>
      <c r="AB23" s="13"/>
      <c r="AC23" s="13"/>
      <c r="AD23" s="13"/>
    </row>
    <row r="24" spans="2:30" x14ac:dyDescent="0.25">
      <c r="B24" t="s">
        <v>113</v>
      </c>
      <c r="D24" t="str" cm="1">
        <f t="array" ref="D24:D33">+$D$4&amp;"-"&amp;$B$4:$B$13</f>
        <v>MIN-CAM1</v>
      </c>
      <c r="E24" t="str" cm="1">
        <f t="array" ref="E24:E33">+"Mina de reservas de fluidos de "&amp;B4:B13</f>
        <v>Mina de reservas de fluidos de CAM1</v>
      </c>
      <c r="F24" t="s">
        <v>9</v>
      </c>
      <c r="G24" t="s">
        <v>42</v>
      </c>
      <c r="L24" t="s">
        <v>46</v>
      </c>
      <c r="N24" t="str" cm="1">
        <f t="array" ref="N24:N33">+$D$5&amp;"-"&amp;B4:B13</f>
        <v>PROF-CAM1</v>
      </c>
      <c r="O24" t="str" cm="1">
        <f t="array" ref="O24:O33">+"Produccion con flaring de "&amp;B4:B13</f>
        <v>Produccion con flaring de CAM1</v>
      </c>
      <c r="P24" t="s">
        <v>9</v>
      </c>
      <c r="Q24" t="s">
        <v>42</v>
      </c>
      <c r="V24" t="s">
        <v>46</v>
      </c>
      <c r="X24" t="s">
        <v>116</v>
      </c>
      <c r="Y24" t="s">
        <v>124</v>
      </c>
      <c r="Z24" t="s">
        <v>9</v>
      </c>
      <c r="AA24" t="s">
        <v>42</v>
      </c>
    </row>
    <row r="25" spans="2:30" x14ac:dyDescent="0.25">
      <c r="D25" t="str">
        <v>MIN-CAM2</v>
      </c>
      <c r="E25" t="str">
        <v>Mina de reservas de fluidos de CAM2</v>
      </c>
      <c r="F25" t="s">
        <v>9</v>
      </c>
      <c r="G25" t="s">
        <v>42</v>
      </c>
      <c r="N25" t="str">
        <v>PROF-CAM2</v>
      </c>
      <c r="O25" t="str">
        <v>Produccion con flaring de CAM2</v>
      </c>
      <c r="P25" t="s">
        <v>9</v>
      </c>
      <c r="Q25" t="s">
        <v>42</v>
      </c>
    </row>
    <row r="26" spans="2:30" x14ac:dyDescent="0.25">
      <c r="D26" t="str">
        <v>MIN-CAM3</v>
      </c>
      <c r="E26" t="str">
        <v>Mina de reservas de fluidos de CAM3</v>
      </c>
      <c r="F26" t="s">
        <v>9</v>
      </c>
      <c r="G26" t="s">
        <v>42</v>
      </c>
      <c r="N26" t="str">
        <v>PROF-CAM3</v>
      </c>
      <c r="O26" t="str">
        <v>Produccion con flaring de CAM3</v>
      </c>
      <c r="P26" t="s">
        <v>9</v>
      </c>
      <c r="Q26" t="s">
        <v>42</v>
      </c>
    </row>
    <row r="27" spans="2:30" x14ac:dyDescent="0.25">
      <c r="D27" t="str">
        <v>MIN-CAM4</v>
      </c>
      <c r="E27" t="str">
        <v>Mina de reservas de fluidos de CAM4</v>
      </c>
      <c r="F27" t="s">
        <v>9</v>
      </c>
      <c r="G27" t="s">
        <v>42</v>
      </c>
      <c r="N27" t="str">
        <v>PROF-CAM4</v>
      </c>
      <c r="O27" t="str">
        <v>Produccion con flaring de CAM4</v>
      </c>
      <c r="P27" t="s">
        <v>9</v>
      </c>
      <c r="Q27" t="s">
        <v>42</v>
      </c>
    </row>
    <row r="28" spans="2:30" x14ac:dyDescent="0.25">
      <c r="D28" t="str">
        <v>MIN-CAM5</v>
      </c>
      <c r="E28" t="str">
        <v>Mina de reservas de fluidos de CAM5</v>
      </c>
      <c r="F28" t="s">
        <v>9</v>
      </c>
      <c r="G28" t="s">
        <v>42</v>
      </c>
      <c r="N28" t="str">
        <v>PROF-CAM5</v>
      </c>
      <c r="O28" t="str">
        <v>Produccion con flaring de CAM5</v>
      </c>
      <c r="P28" t="s">
        <v>9</v>
      </c>
      <c r="Q28" t="s">
        <v>42</v>
      </c>
    </row>
    <row r="29" spans="2:30" x14ac:dyDescent="0.25">
      <c r="D29" t="str">
        <v>MIN-CAM6</v>
      </c>
      <c r="E29" t="str">
        <v>Mina de reservas de fluidos de CAM6</v>
      </c>
      <c r="F29" t="s">
        <v>9</v>
      </c>
      <c r="G29" t="s">
        <v>42</v>
      </c>
      <c r="N29" t="str">
        <v>PROF-CAM6</v>
      </c>
      <c r="O29" t="str">
        <v>Produccion con flaring de CAM6</v>
      </c>
      <c r="P29" t="s">
        <v>9</v>
      </c>
      <c r="Q29" t="s">
        <v>42</v>
      </c>
    </row>
    <row r="30" spans="2:30" x14ac:dyDescent="0.25">
      <c r="D30" t="str">
        <v>MIN-CAM7</v>
      </c>
      <c r="E30" t="str">
        <v>Mina de reservas de fluidos de CAM7</v>
      </c>
      <c r="F30" t="s">
        <v>9</v>
      </c>
      <c r="G30" t="s">
        <v>42</v>
      </c>
      <c r="N30" t="str">
        <v>PROF-CAM7</v>
      </c>
      <c r="O30" t="str">
        <v>Produccion con flaring de CAM7</v>
      </c>
      <c r="P30" t="s">
        <v>9</v>
      </c>
      <c r="Q30" t="s">
        <v>42</v>
      </c>
    </row>
    <row r="31" spans="2:30" x14ac:dyDescent="0.25">
      <c r="D31" t="str">
        <v>MIN-CAM8</v>
      </c>
      <c r="E31" t="str">
        <v>Mina de reservas de fluidos de CAM8</v>
      </c>
      <c r="F31" t="s">
        <v>9</v>
      </c>
      <c r="G31" t="s">
        <v>42</v>
      </c>
      <c r="N31" t="str">
        <v>PROF-CAM8</v>
      </c>
      <c r="O31" t="str">
        <v>Produccion con flaring de CAM8</v>
      </c>
      <c r="P31" t="s">
        <v>9</v>
      </c>
      <c r="Q31" t="s">
        <v>42</v>
      </c>
    </row>
    <row r="32" spans="2:30" x14ac:dyDescent="0.25">
      <c r="D32" t="str">
        <v>MIN-CAM9</v>
      </c>
      <c r="E32" t="str">
        <v>Mina de reservas de fluidos de CAM9</v>
      </c>
      <c r="F32" t="s">
        <v>9</v>
      </c>
      <c r="G32" t="s">
        <v>42</v>
      </c>
      <c r="N32" t="str">
        <v>PROF-CAM9</v>
      </c>
      <c r="O32" t="str">
        <v>Produccion con flaring de CAM9</v>
      </c>
      <c r="P32" t="s">
        <v>9</v>
      </c>
      <c r="Q32" t="s">
        <v>42</v>
      </c>
    </row>
    <row r="33" spans="4:17" x14ac:dyDescent="0.25">
      <c r="D33" t="str">
        <v>MIN-CAM10</v>
      </c>
      <c r="E33" t="str">
        <v>Mina de reservas de fluidos de CAM10</v>
      </c>
      <c r="F33" t="s">
        <v>9</v>
      </c>
      <c r="G33" t="s">
        <v>42</v>
      </c>
      <c r="N33" t="str">
        <v>PROF-CAM10</v>
      </c>
      <c r="O33" t="str">
        <v>Produccion con flaring de CAM10</v>
      </c>
      <c r="P33" t="s">
        <v>9</v>
      </c>
      <c r="Q33" t="s">
        <v>42</v>
      </c>
    </row>
    <row r="34" spans="4:17" x14ac:dyDescent="0.25">
      <c r="N34" t="str" cm="1">
        <f t="array" ref="N34:N43">+$D$9&amp;"-"&amp;B4:B13</f>
        <v>PROSF-CAM1</v>
      </c>
      <c r="O34" t="str" cm="1">
        <f t="array" ref="O34:O43">+"Produccion sin flaring de "&amp;$B$4:$B$13</f>
        <v>Produccion sin flaring de CAM1</v>
      </c>
      <c r="P34" t="s">
        <v>9</v>
      </c>
      <c r="Q34" t="s">
        <v>42</v>
      </c>
    </row>
    <row r="35" spans="4:17" x14ac:dyDescent="0.25">
      <c r="N35" t="str">
        <v>PROSF-CAM2</v>
      </c>
      <c r="O35" t="str">
        <v>Produccion sin flaring de CAM2</v>
      </c>
      <c r="P35" t="s">
        <v>9</v>
      </c>
      <c r="Q35" t="s">
        <v>42</v>
      </c>
    </row>
    <row r="36" spans="4:17" x14ac:dyDescent="0.25">
      <c r="N36" t="str">
        <v>PROSF-CAM3</v>
      </c>
      <c r="O36" t="str">
        <v>Produccion sin flaring de CAM3</v>
      </c>
      <c r="P36" t="s">
        <v>9</v>
      </c>
      <c r="Q36" t="s">
        <v>42</v>
      </c>
    </row>
    <row r="37" spans="4:17" x14ac:dyDescent="0.25">
      <c r="N37" t="str">
        <v>PROSF-CAM4</v>
      </c>
      <c r="O37" t="str">
        <v>Produccion sin flaring de CAM4</v>
      </c>
      <c r="P37" t="s">
        <v>9</v>
      </c>
      <c r="Q37" t="s">
        <v>42</v>
      </c>
    </row>
    <row r="38" spans="4:17" x14ac:dyDescent="0.25">
      <c r="N38" t="str">
        <v>PROSF-CAM5</v>
      </c>
      <c r="O38" t="str">
        <v>Produccion sin flaring de CAM5</v>
      </c>
      <c r="P38" t="s">
        <v>9</v>
      </c>
      <c r="Q38" t="s">
        <v>42</v>
      </c>
    </row>
    <row r="39" spans="4:17" x14ac:dyDescent="0.25">
      <c r="N39" t="str">
        <v>PROSF-CAM6</v>
      </c>
      <c r="O39" t="str">
        <v>Produccion sin flaring de CAM6</v>
      </c>
      <c r="P39" t="s">
        <v>9</v>
      </c>
      <c r="Q39" t="s">
        <v>42</v>
      </c>
    </row>
    <row r="40" spans="4:17" x14ac:dyDescent="0.25">
      <c r="N40" t="str">
        <v>PROSF-CAM7</v>
      </c>
      <c r="O40" t="str">
        <v>Produccion sin flaring de CAM7</v>
      </c>
      <c r="P40" t="s">
        <v>9</v>
      </c>
      <c r="Q40" t="s">
        <v>42</v>
      </c>
    </row>
    <row r="41" spans="4:17" x14ac:dyDescent="0.25">
      <c r="N41" t="str">
        <v>PROSF-CAM8</v>
      </c>
      <c r="O41" t="str">
        <v>Produccion sin flaring de CAM8</v>
      </c>
      <c r="P41" t="s">
        <v>9</v>
      </c>
      <c r="Q41" t="s">
        <v>42</v>
      </c>
    </row>
    <row r="42" spans="4:17" x14ac:dyDescent="0.25">
      <c r="N42" t="str">
        <v>PROSF-CAM9</v>
      </c>
      <c r="O42" t="str">
        <v>Produccion sin flaring de CAM9</v>
      </c>
      <c r="P42" t="s">
        <v>9</v>
      </c>
      <c r="Q42" t="s">
        <v>42</v>
      </c>
    </row>
    <row r="43" spans="4:17" x14ac:dyDescent="0.25">
      <c r="N43" t="str">
        <v>PROSF-CAM10</v>
      </c>
      <c r="O43" t="str">
        <v>Produccion sin flaring de CAM10</v>
      </c>
      <c r="P43" t="s">
        <v>9</v>
      </c>
      <c r="Q43" t="s">
        <v>42</v>
      </c>
    </row>
    <row r="44" spans="4:17" x14ac:dyDescent="0.25">
      <c r="N44" t="str" cm="1">
        <f t="array" ref="N44:N53">+$D$6&amp;"-"&amp;B4:B13</f>
        <v>COL-CAM1</v>
      </c>
      <c r="O44" t="str" cm="1">
        <f t="array" ref="O44:O53">+"Colectores de "&amp;B4:B13</f>
        <v>Colectores de CAM1</v>
      </c>
      <c r="P44" t="s">
        <v>9</v>
      </c>
      <c r="Q44" t="s">
        <v>42</v>
      </c>
    </row>
    <row r="45" spans="4:17" x14ac:dyDescent="0.25">
      <c r="N45" t="str">
        <v>COL-CAM2</v>
      </c>
      <c r="O45" t="str">
        <v>Colectores de CAM2</v>
      </c>
      <c r="P45" t="s">
        <v>9</v>
      </c>
      <c r="Q45" t="s">
        <v>42</v>
      </c>
    </row>
    <row r="46" spans="4:17" x14ac:dyDescent="0.25">
      <c r="N46" t="str">
        <v>COL-CAM3</v>
      </c>
      <c r="O46" t="str">
        <v>Colectores de CAM3</v>
      </c>
      <c r="P46" t="s">
        <v>9</v>
      </c>
      <c r="Q46" t="s">
        <v>42</v>
      </c>
    </row>
    <row r="47" spans="4:17" x14ac:dyDescent="0.25">
      <c r="N47" t="str">
        <v>COL-CAM4</v>
      </c>
      <c r="O47" t="str">
        <v>Colectores de CAM4</v>
      </c>
      <c r="P47" t="s">
        <v>9</v>
      </c>
      <c r="Q47" t="s">
        <v>42</v>
      </c>
    </row>
    <row r="48" spans="4:17" x14ac:dyDescent="0.25">
      <c r="N48" t="str">
        <v>COL-CAM5</v>
      </c>
      <c r="O48" t="str">
        <v>Colectores de CAM5</v>
      </c>
      <c r="P48" t="s">
        <v>9</v>
      </c>
      <c r="Q48" t="s">
        <v>42</v>
      </c>
    </row>
    <row r="49" spans="14:17" x14ac:dyDescent="0.25">
      <c r="N49" t="str">
        <v>COL-CAM6</v>
      </c>
      <c r="O49" t="str">
        <v>Colectores de CAM6</v>
      </c>
      <c r="P49" t="s">
        <v>9</v>
      </c>
      <c r="Q49" t="s">
        <v>42</v>
      </c>
    </row>
    <row r="50" spans="14:17" x14ac:dyDescent="0.25">
      <c r="N50" t="str">
        <v>COL-CAM7</v>
      </c>
      <c r="O50" t="str">
        <v>Colectores de CAM7</v>
      </c>
      <c r="P50" t="s">
        <v>9</v>
      </c>
      <c r="Q50" t="s">
        <v>42</v>
      </c>
    </row>
    <row r="51" spans="14:17" x14ac:dyDescent="0.25">
      <c r="N51" t="str">
        <v>COL-CAM8</v>
      </c>
      <c r="O51" t="str">
        <v>Colectores de CAM8</v>
      </c>
      <c r="P51" t="s">
        <v>9</v>
      </c>
      <c r="Q51" t="s">
        <v>42</v>
      </c>
    </row>
    <row r="52" spans="14:17" x14ac:dyDescent="0.25">
      <c r="N52" t="str">
        <v>COL-CAM9</v>
      </c>
      <c r="O52" t="str">
        <v>Colectores de CAM9</v>
      </c>
      <c r="P52" t="s">
        <v>9</v>
      </c>
      <c r="Q52" t="s">
        <v>42</v>
      </c>
    </row>
    <row r="53" spans="14:17" x14ac:dyDescent="0.25">
      <c r="N53" t="str">
        <v>COL-CAM10</v>
      </c>
      <c r="O53" t="str">
        <v>Colectores de CAM10</v>
      </c>
      <c r="P53" t="s">
        <v>9</v>
      </c>
      <c r="Q53" t="s">
        <v>42</v>
      </c>
    </row>
    <row r="54" spans="14:17" x14ac:dyDescent="0.25">
      <c r="N54" t="str" cm="1">
        <f t="array" ref="N54:N63">+$D$8&amp;"-"&amp;$B$4:$B$13</f>
        <v>AUTO-G-CAM1</v>
      </c>
      <c r="O54" t="str" cm="1">
        <f t="array" ref="O54:O63">+"Autogeneracion con gas natural de "&amp;$B$4:$B$13</f>
        <v>Autogeneracion con gas natural de CAM1</v>
      </c>
      <c r="P54" t="s">
        <v>9</v>
      </c>
      <c r="Q54" t="s">
        <v>42</v>
      </c>
    </row>
    <row r="55" spans="14:17" x14ac:dyDescent="0.25">
      <c r="N55" t="str">
        <v>AUTO-G-CAM2</v>
      </c>
      <c r="O55" t="str">
        <v>Autogeneracion con gas natural de CAM2</v>
      </c>
      <c r="P55" t="s">
        <v>9</v>
      </c>
      <c r="Q55" t="s">
        <v>42</v>
      </c>
    </row>
    <row r="56" spans="14:17" x14ac:dyDescent="0.25">
      <c r="N56" t="str">
        <v>AUTO-G-CAM3</v>
      </c>
      <c r="O56" t="str">
        <v>Autogeneracion con gas natural de CAM3</v>
      </c>
      <c r="P56" t="s">
        <v>9</v>
      </c>
      <c r="Q56" t="s">
        <v>42</v>
      </c>
    </row>
    <row r="57" spans="14:17" x14ac:dyDescent="0.25">
      <c r="N57" t="str">
        <v>AUTO-G-CAM4</v>
      </c>
      <c r="O57" t="str">
        <v>Autogeneracion con gas natural de CAM4</v>
      </c>
      <c r="P57" t="s">
        <v>9</v>
      </c>
      <c r="Q57" t="s">
        <v>42</v>
      </c>
    </row>
    <row r="58" spans="14:17" x14ac:dyDescent="0.25">
      <c r="N58" t="str">
        <v>AUTO-G-CAM5</v>
      </c>
      <c r="O58" t="str">
        <v>Autogeneracion con gas natural de CAM5</v>
      </c>
      <c r="P58" t="s">
        <v>9</v>
      </c>
      <c r="Q58" t="s">
        <v>42</v>
      </c>
    </row>
    <row r="59" spans="14:17" x14ac:dyDescent="0.25">
      <c r="N59" t="str">
        <v>AUTO-G-CAM6</v>
      </c>
      <c r="O59" t="str">
        <v>Autogeneracion con gas natural de CAM6</v>
      </c>
      <c r="P59" t="s">
        <v>9</v>
      </c>
      <c r="Q59" t="s">
        <v>42</v>
      </c>
    </row>
    <row r="60" spans="14:17" x14ac:dyDescent="0.25">
      <c r="N60" t="str">
        <v>AUTO-G-CAM7</v>
      </c>
      <c r="O60" t="str">
        <v>Autogeneracion con gas natural de CAM7</v>
      </c>
      <c r="P60" t="s">
        <v>9</v>
      </c>
      <c r="Q60" t="s">
        <v>42</v>
      </c>
    </row>
    <row r="61" spans="14:17" x14ac:dyDescent="0.25">
      <c r="N61" t="str">
        <v>AUTO-G-CAM8</v>
      </c>
      <c r="O61" t="str">
        <v>Autogeneracion con gas natural de CAM8</v>
      </c>
      <c r="P61" t="s">
        <v>9</v>
      </c>
      <c r="Q61" t="s">
        <v>42</v>
      </c>
    </row>
    <row r="62" spans="14:17" x14ac:dyDescent="0.25">
      <c r="N62" t="str">
        <v>AUTO-G-CAM9</v>
      </c>
      <c r="O62" t="str">
        <v>Autogeneracion con gas natural de CAM9</v>
      </c>
      <c r="P62" t="s">
        <v>9</v>
      </c>
      <c r="Q62" t="s">
        <v>42</v>
      </c>
    </row>
    <row r="63" spans="14:17" x14ac:dyDescent="0.25">
      <c r="N63" t="str">
        <v>AUTO-G-CAM10</v>
      </c>
      <c r="O63" t="str">
        <v>Autogeneracion con gas natural de CAM10</v>
      </c>
      <c r="P63" t="s">
        <v>9</v>
      </c>
      <c r="Q63" t="s">
        <v>42</v>
      </c>
    </row>
    <row r="64" spans="14:17" x14ac:dyDescent="0.25">
      <c r="N64" t="str" cm="1">
        <f t="array" ref="N64:N73">+$D$10&amp;"-"&amp;$B$4:$B$13</f>
        <v>AUTO-O-CAM1</v>
      </c>
      <c r="O64" t="str" cm="1">
        <f t="array" ref="O64:O73">+"Autogeneracion con petroleo de "&amp;$B$4:$B$13</f>
        <v>Autogeneracion con petroleo de CAM1</v>
      </c>
      <c r="P64" t="s">
        <v>9</v>
      </c>
      <c r="Q64" t="s">
        <v>42</v>
      </c>
    </row>
    <row r="65" spans="14:17" x14ac:dyDescent="0.25">
      <c r="N65" t="str">
        <v>AUTO-O-CAM2</v>
      </c>
      <c r="O65" t="str">
        <v>Autogeneracion con petroleo de CAM2</v>
      </c>
      <c r="P65" t="s">
        <v>9</v>
      </c>
      <c r="Q65" t="s">
        <v>42</v>
      </c>
    </row>
    <row r="66" spans="14:17" x14ac:dyDescent="0.25">
      <c r="N66" t="str">
        <v>AUTO-O-CAM3</v>
      </c>
      <c r="O66" t="str">
        <v>Autogeneracion con petroleo de CAM3</v>
      </c>
      <c r="P66" t="s">
        <v>9</v>
      </c>
      <c r="Q66" t="s">
        <v>42</v>
      </c>
    </row>
    <row r="67" spans="14:17" x14ac:dyDescent="0.25">
      <c r="N67" t="str">
        <v>AUTO-O-CAM4</v>
      </c>
      <c r="O67" t="str">
        <v>Autogeneracion con petroleo de CAM4</v>
      </c>
      <c r="P67" t="s">
        <v>9</v>
      </c>
      <c r="Q67" t="s">
        <v>42</v>
      </c>
    </row>
    <row r="68" spans="14:17" x14ac:dyDescent="0.25">
      <c r="N68" t="str">
        <v>AUTO-O-CAM5</v>
      </c>
      <c r="O68" t="str">
        <v>Autogeneracion con petroleo de CAM5</v>
      </c>
      <c r="P68" t="s">
        <v>9</v>
      </c>
      <c r="Q68" t="s">
        <v>42</v>
      </c>
    </row>
    <row r="69" spans="14:17" x14ac:dyDescent="0.25">
      <c r="N69" t="str">
        <v>AUTO-O-CAM6</v>
      </c>
      <c r="O69" t="str">
        <v>Autogeneracion con petroleo de CAM6</v>
      </c>
      <c r="P69" t="s">
        <v>9</v>
      </c>
      <c r="Q69" t="s">
        <v>42</v>
      </c>
    </row>
    <row r="70" spans="14:17" x14ac:dyDescent="0.25">
      <c r="N70" t="str">
        <v>AUTO-O-CAM7</v>
      </c>
      <c r="O70" t="str">
        <v>Autogeneracion con petroleo de CAM7</v>
      </c>
      <c r="P70" t="s">
        <v>9</v>
      </c>
      <c r="Q70" t="s">
        <v>42</v>
      </c>
    </row>
    <row r="71" spans="14:17" x14ac:dyDescent="0.25">
      <c r="N71" t="str">
        <v>AUTO-O-CAM8</v>
      </c>
      <c r="O71" t="str">
        <v>Autogeneracion con petroleo de CAM8</v>
      </c>
      <c r="P71" t="s">
        <v>9</v>
      </c>
      <c r="Q71" t="s">
        <v>42</v>
      </c>
    </row>
    <row r="72" spans="14:17" x14ac:dyDescent="0.25">
      <c r="N72" t="str">
        <v>AUTO-O-CAM9</v>
      </c>
      <c r="O72" t="str">
        <v>Autogeneracion con petroleo de CAM9</v>
      </c>
      <c r="P72" t="s">
        <v>9</v>
      </c>
      <c r="Q72" t="s">
        <v>42</v>
      </c>
    </row>
    <row r="73" spans="14:17" x14ac:dyDescent="0.25">
      <c r="N73" t="str">
        <v>AUTO-O-CAM10</v>
      </c>
      <c r="O73" t="str">
        <v>Autogeneracion con petroleo de CAM10</v>
      </c>
      <c r="P73" t="s">
        <v>9</v>
      </c>
      <c r="Q73" t="s">
        <v>42</v>
      </c>
    </row>
  </sheetData>
  <mergeCells count="3">
    <mergeCell ref="B18:J18"/>
    <mergeCell ref="L18:T18"/>
    <mergeCell ref="V18:AD18"/>
  </mergeCells>
  <phoneticPr fontId="8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3B481-B784-44EB-B851-520B7BFBE4D5}">
  <sheetPr>
    <tabColor theme="7" tint="-0.249977111117893"/>
  </sheetPr>
  <dimension ref="B2:AS265"/>
  <sheetViews>
    <sheetView showGridLines="0" topLeftCell="A15" zoomScale="145" zoomScaleNormal="145" workbookViewId="0">
      <selection activeCell="B34" sqref="B34:C34"/>
    </sheetView>
  </sheetViews>
  <sheetFormatPr baseColWidth="10" defaultColWidth="9.140625" defaultRowHeight="12.75" x14ac:dyDescent="0.2"/>
  <cols>
    <col min="1" max="1" width="2.7109375" style="38" customWidth="1"/>
    <col min="2" max="2" width="28.7109375" style="38" customWidth="1"/>
    <col min="3" max="3" width="24.28515625" style="38" customWidth="1"/>
    <col min="4" max="4" width="20.42578125" style="38" customWidth="1"/>
    <col min="5" max="5" width="11.5703125" style="38" customWidth="1"/>
    <col min="6" max="6" width="13.85546875" style="38" customWidth="1"/>
    <col min="7" max="7" width="13.5703125" style="38" customWidth="1"/>
    <col min="8" max="9" width="7.85546875" style="38" customWidth="1"/>
    <col min="10" max="10" width="26.5703125" style="124" customWidth="1"/>
    <col min="11" max="11" width="11.140625" style="124" customWidth="1"/>
    <col min="12" max="12" width="7.85546875" style="124" customWidth="1"/>
    <col min="13" max="13" width="11.42578125" style="124" customWidth="1"/>
    <col min="14" max="14" width="11.140625" style="125" bestFit="1" customWidth="1"/>
    <col min="15" max="15" width="10.42578125" style="38" bestFit="1" customWidth="1"/>
    <col min="16" max="16" width="12.42578125" style="38" bestFit="1" customWidth="1"/>
    <col min="17" max="18" width="9.140625" style="38"/>
    <col min="19" max="19" width="11.85546875" style="38" bestFit="1" customWidth="1"/>
    <col min="20" max="16384" width="9.140625" style="38"/>
  </cols>
  <sheetData>
    <row r="2" spans="2:41" ht="23.25" customHeight="1" x14ac:dyDescent="0.25">
      <c r="B2" s="202"/>
      <c r="F2" s="389" t="s">
        <v>281</v>
      </c>
      <c r="G2" s="390"/>
    </row>
    <row r="3" spans="2:41" ht="15" x14ac:dyDescent="0.25">
      <c r="F3" s="212" t="s">
        <v>407</v>
      </c>
      <c r="G3" s="207" t="s">
        <v>408</v>
      </c>
    </row>
    <row r="4" spans="2:41" ht="15" x14ac:dyDescent="0.25">
      <c r="F4" s="213" t="s">
        <v>463</v>
      </c>
      <c r="G4" s="187" t="s">
        <v>285</v>
      </c>
    </row>
    <row r="5" spans="2:41" ht="15" x14ac:dyDescent="0.25">
      <c r="B5" s="243" t="s">
        <v>250</v>
      </c>
      <c r="C5" s="244" t="s">
        <v>492</v>
      </c>
      <c r="D5" s="244" t="s">
        <v>493</v>
      </c>
      <c r="E5" s="245" t="s">
        <v>494</v>
      </c>
      <c r="F5" s="213" t="s">
        <v>474</v>
      </c>
      <c r="G5" s="187" t="s">
        <v>476</v>
      </c>
    </row>
    <row r="6" spans="2:41" ht="15" x14ac:dyDescent="0.25">
      <c r="B6" s="208" t="s">
        <v>409</v>
      </c>
      <c r="C6" s="227" t="s">
        <v>495</v>
      </c>
      <c r="D6" s="222" t="s">
        <v>506</v>
      </c>
      <c r="E6" s="156" t="s">
        <v>51</v>
      </c>
      <c r="F6" s="214">
        <f>E45</f>
        <v>1.0095573442026637</v>
      </c>
      <c r="G6" s="203">
        <f>F45</f>
        <v>55.539114956987063</v>
      </c>
    </row>
    <row r="7" spans="2:41" ht="15" x14ac:dyDescent="0.25">
      <c r="B7" s="209" t="s">
        <v>410</v>
      </c>
      <c r="C7" s="228" t="s">
        <v>496</v>
      </c>
      <c r="D7" s="391" t="s">
        <v>507</v>
      </c>
      <c r="E7" s="145" t="s">
        <v>52</v>
      </c>
      <c r="F7" s="215">
        <f>E46</f>
        <v>6.0871741676095334</v>
      </c>
      <c r="G7" s="204">
        <f>F46</f>
        <v>77.841777688967127</v>
      </c>
      <c r="J7" s="124">
        <f>IF(E62&lt;$S$49,D44*(100%-$Q$49),D44*(100%-$Q$49))</f>
        <v>0</v>
      </c>
    </row>
    <row r="8" spans="2:41" ht="15" x14ac:dyDescent="0.25">
      <c r="B8" s="210" t="s">
        <v>415</v>
      </c>
      <c r="C8" s="229" t="s">
        <v>497</v>
      </c>
      <c r="D8" s="392"/>
      <c r="E8" s="19" t="s">
        <v>67</v>
      </c>
      <c r="F8" s="220"/>
      <c r="G8" s="218"/>
    </row>
    <row r="9" spans="2:41" ht="15" x14ac:dyDescent="0.25">
      <c r="B9" s="211" t="s">
        <v>411</v>
      </c>
      <c r="C9" s="230" t="s">
        <v>497</v>
      </c>
      <c r="D9" s="393"/>
      <c r="E9" s="153" t="s">
        <v>53</v>
      </c>
      <c r="F9" s="221"/>
      <c r="G9" s="219"/>
    </row>
    <row r="10" spans="2:41" ht="15" x14ac:dyDescent="0.25">
      <c r="B10" s="209" t="s">
        <v>412</v>
      </c>
      <c r="C10" s="228" t="s">
        <v>498</v>
      </c>
      <c r="D10" s="223" t="s">
        <v>508</v>
      </c>
      <c r="E10" s="145" t="s">
        <v>45</v>
      </c>
      <c r="F10" s="215">
        <f t="shared" ref="F10:G16" si="0">E49</f>
        <v>5.3308987344700309</v>
      </c>
      <c r="G10" s="204">
        <f t="shared" si="0"/>
        <v>69.193827140333724</v>
      </c>
    </row>
    <row r="11" spans="2:41" ht="15" x14ac:dyDescent="0.25">
      <c r="B11" s="210" t="s">
        <v>413</v>
      </c>
      <c r="C11" s="229" t="s">
        <v>499</v>
      </c>
      <c r="D11" s="226" t="s">
        <v>509</v>
      </c>
      <c r="E11" s="19" t="s">
        <v>47</v>
      </c>
      <c r="F11" s="216">
        <f t="shared" si="0"/>
        <v>5.6708498400612823</v>
      </c>
      <c r="G11" s="205">
        <f t="shared" si="0"/>
        <v>75.166375708662926</v>
      </c>
      <c r="AK11" s="124"/>
      <c r="AL11" s="124"/>
      <c r="AM11" s="124"/>
      <c r="AN11" s="124"/>
      <c r="AO11" s="125"/>
    </row>
    <row r="12" spans="2:41" ht="15" x14ac:dyDescent="0.25">
      <c r="B12" s="210" t="s">
        <v>87</v>
      </c>
      <c r="C12" s="229" t="s">
        <v>500</v>
      </c>
      <c r="D12" s="226" t="s">
        <v>510</v>
      </c>
      <c r="E12" s="19" t="s">
        <v>48</v>
      </c>
      <c r="F12" s="216">
        <f t="shared" si="0"/>
        <v>4.7117947967516214</v>
      </c>
      <c r="G12" s="205">
        <f t="shared" si="0"/>
        <v>87.735056011523966</v>
      </c>
      <c r="AK12" s="124"/>
      <c r="AL12" s="124"/>
      <c r="AM12" s="124"/>
      <c r="AN12" s="124"/>
      <c r="AO12" s="125"/>
    </row>
    <row r="13" spans="2:41" ht="15" x14ac:dyDescent="0.25">
      <c r="B13" s="210" t="s">
        <v>414</v>
      </c>
      <c r="C13" s="229" t="s">
        <v>501</v>
      </c>
      <c r="D13" s="224" t="s">
        <v>511</v>
      </c>
      <c r="E13" s="19" t="s">
        <v>49</v>
      </c>
      <c r="F13" s="216">
        <f t="shared" si="0"/>
        <v>4.0562660463586173</v>
      </c>
      <c r="G13" s="205">
        <f t="shared" si="0"/>
        <v>47.28933824683137</v>
      </c>
      <c r="AK13" s="124" t="s">
        <v>560</v>
      </c>
      <c r="AL13" s="124">
        <v>450000</v>
      </c>
      <c r="AM13" s="124" t="s">
        <v>561</v>
      </c>
      <c r="AN13" s="124"/>
      <c r="AO13" s="125"/>
    </row>
    <row r="14" spans="2:41" ht="15" x14ac:dyDescent="0.25">
      <c r="B14" s="211" t="s">
        <v>416</v>
      </c>
      <c r="C14" s="230" t="s">
        <v>502</v>
      </c>
      <c r="D14" s="225" t="s">
        <v>512</v>
      </c>
      <c r="E14" s="153" t="s">
        <v>50</v>
      </c>
      <c r="F14" s="217">
        <f t="shared" si="0"/>
        <v>5.4608206169323079</v>
      </c>
      <c r="G14" s="206">
        <f t="shared" si="0"/>
        <v>78.281203343664757</v>
      </c>
      <c r="AK14" s="124"/>
      <c r="AL14" s="124">
        <f>+AL13*365/1000</f>
        <v>164250</v>
      </c>
      <c r="AM14" s="124" t="s">
        <v>562</v>
      </c>
      <c r="AN14" s="124"/>
      <c r="AO14" s="125"/>
    </row>
    <row r="15" spans="2:41" ht="15" x14ac:dyDescent="0.25">
      <c r="B15" s="209" t="s">
        <v>89</v>
      </c>
      <c r="C15" s="228" t="s">
        <v>503</v>
      </c>
      <c r="D15" s="223" t="s">
        <v>513</v>
      </c>
      <c r="E15" s="145" t="s">
        <v>43</v>
      </c>
      <c r="F15" s="215">
        <f t="shared" si="0"/>
        <v>2.9335934898501512</v>
      </c>
      <c r="G15" s="204">
        <f t="shared" si="0"/>
        <v>84.75811612074672</v>
      </c>
      <c r="AK15" s="124"/>
      <c r="AL15" s="273">
        <f>+AL14*F7/1000</f>
        <v>999.81835702986587</v>
      </c>
      <c r="AM15" s="124" t="s">
        <v>9</v>
      </c>
      <c r="AN15" s="124"/>
      <c r="AO15" s="125"/>
    </row>
    <row r="16" spans="2:41" ht="15" x14ac:dyDescent="0.25">
      <c r="B16" s="211" t="s">
        <v>90</v>
      </c>
      <c r="C16" s="230" t="s">
        <v>504</v>
      </c>
      <c r="D16" s="225" t="s">
        <v>514</v>
      </c>
      <c r="E16" s="153" t="s">
        <v>44</v>
      </c>
      <c r="F16" s="217">
        <f t="shared" si="0"/>
        <v>5.274111587340502</v>
      </c>
      <c r="G16" s="206">
        <f t="shared" si="0"/>
        <v>54.806487022879928</v>
      </c>
      <c r="AK16" s="124"/>
      <c r="AL16" s="124"/>
      <c r="AM16" s="124"/>
      <c r="AN16" s="124"/>
      <c r="AO16" s="125"/>
    </row>
    <row r="17" spans="2:45" ht="15" x14ac:dyDescent="0.25">
      <c r="B17" s="209" t="s">
        <v>490</v>
      </c>
      <c r="C17" s="239" t="s">
        <v>505</v>
      </c>
      <c r="D17" s="231" t="s">
        <v>516</v>
      </c>
      <c r="E17" s="232" t="s">
        <v>54</v>
      </c>
      <c r="F17" s="192">
        <f>+F15*C22+F10*(1-C22)</f>
        <v>5.1927630695557223</v>
      </c>
      <c r="G17" s="234">
        <f>+G15*C21+G10*(1-C21)</f>
        <v>70.750256038375028</v>
      </c>
      <c r="AK17" s="124"/>
      <c r="AL17" s="124"/>
      <c r="AM17" s="124"/>
      <c r="AN17" s="124"/>
      <c r="AO17" s="125"/>
    </row>
    <row r="18" spans="2:45" ht="15" x14ac:dyDescent="0.25">
      <c r="B18" s="211" t="s">
        <v>417</v>
      </c>
      <c r="C18" s="238" t="s">
        <v>505</v>
      </c>
      <c r="D18" s="238" t="s">
        <v>516</v>
      </c>
      <c r="E18" s="233" t="s">
        <v>55</v>
      </c>
      <c r="F18" s="195">
        <f>+F16*D22+F11*(1-D22)</f>
        <v>5.6336916725609152</v>
      </c>
      <c r="G18" s="235">
        <f>+G16*C22+G11*(1-C22)</f>
        <v>73.993213981551321</v>
      </c>
      <c r="AK18" s="124" t="s">
        <v>563</v>
      </c>
      <c r="AL18" s="124">
        <v>5119</v>
      </c>
      <c r="AM18" s="124" t="s">
        <v>564</v>
      </c>
      <c r="AN18" s="276">
        <f>+AL18*0.0036</f>
        <v>18.4284</v>
      </c>
      <c r="AO18" s="125" t="s">
        <v>9</v>
      </c>
    </row>
    <row r="19" spans="2:45" x14ac:dyDescent="0.2">
      <c r="B19" s="142" t="s">
        <v>485</v>
      </c>
      <c r="AK19" s="124"/>
      <c r="AL19" s="124">
        <v>2300</v>
      </c>
      <c r="AM19" s="124" t="s">
        <v>564</v>
      </c>
      <c r="AN19" s="276">
        <f t="shared" ref="AN19:AN23" si="1">+AL19*0.0036</f>
        <v>8.2799999999999994</v>
      </c>
      <c r="AO19" s="125" t="s">
        <v>9</v>
      </c>
    </row>
    <row r="20" spans="2:45" ht="10.5" customHeight="1" x14ac:dyDescent="0.2">
      <c r="B20" s="236"/>
      <c r="C20" s="236" t="s">
        <v>89</v>
      </c>
      <c r="D20" s="236" t="s">
        <v>90</v>
      </c>
      <c r="AK20" s="124"/>
      <c r="AL20" s="124">
        <f>+AL19+AL18</f>
        <v>7419</v>
      </c>
      <c r="AM20" s="124" t="s">
        <v>564</v>
      </c>
      <c r="AN20" s="276">
        <f t="shared" si="1"/>
        <v>26.708400000000001</v>
      </c>
      <c r="AO20" s="125" t="s">
        <v>9</v>
      </c>
    </row>
    <row r="21" spans="2:45" ht="10.5" customHeight="1" x14ac:dyDescent="0.2">
      <c r="B21" s="236" t="s">
        <v>489</v>
      </c>
      <c r="C21" s="237">
        <v>0.1</v>
      </c>
      <c r="D21" s="237">
        <v>0.1</v>
      </c>
      <c r="AK21" s="124"/>
      <c r="AL21" s="124"/>
      <c r="AM21" s="124"/>
      <c r="AN21" s="276"/>
      <c r="AO21" s="125"/>
    </row>
    <row r="22" spans="2:45" ht="9.75" customHeight="1" x14ac:dyDescent="0.2">
      <c r="B22" s="166" t="s">
        <v>491</v>
      </c>
      <c r="C22" s="168">
        <f>+C21*F15/(C21*F15+(1-C21)*F10)</f>
        <v>5.7621225008503835E-2</v>
      </c>
      <c r="D22" s="168">
        <f>+D21*F16/(D21*F16+(1-D21)*F11)</f>
        <v>9.3659149944684009E-2</v>
      </c>
      <c r="AK22" s="124" t="s">
        <v>565</v>
      </c>
      <c r="AL22" s="124">
        <v>3031</v>
      </c>
      <c r="AM22" s="124" t="s">
        <v>564</v>
      </c>
      <c r="AN22" s="276">
        <f t="shared" si="1"/>
        <v>10.9116</v>
      </c>
      <c r="AO22" s="125" t="s">
        <v>9</v>
      </c>
    </row>
    <row r="23" spans="2:45" x14ac:dyDescent="0.2">
      <c r="AK23" s="124"/>
      <c r="AL23" s="124">
        <v>1646</v>
      </c>
      <c r="AM23" s="124" t="s">
        <v>564</v>
      </c>
      <c r="AN23" s="276">
        <f t="shared" si="1"/>
        <v>5.9256000000000002</v>
      </c>
      <c r="AO23" s="125" t="s">
        <v>9</v>
      </c>
    </row>
    <row r="24" spans="2:45" x14ac:dyDescent="0.2">
      <c r="B24" s="241" t="s">
        <v>517</v>
      </c>
      <c r="C24" s="158" t="s">
        <v>520</v>
      </c>
      <c r="D24" s="158" t="s">
        <v>520</v>
      </c>
      <c r="E24" s="241" t="s">
        <v>522</v>
      </c>
      <c r="F24" s="246">
        <v>4.7615165047769556</v>
      </c>
      <c r="G24" s="247">
        <f>56337.8123815025/1000</f>
        <v>56.337812381502502</v>
      </c>
      <c r="AK24" s="124"/>
      <c r="AL24" s="124"/>
      <c r="AM24" s="124"/>
      <c r="AN24" s="276">
        <f>+AN22+AN23</f>
        <v>16.837199999999999</v>
      </c>
      <c r="AO24" s="125" t="s">
        <v>9</v>
      </c>
    </row>
    <row r="25" spans="2:45" x14ac:dyDescent="0.2">
      <c r="B25" s="242" t="s">
        <v>518</v>
      </c>
      <c r="C25" s="159" t="s">
        <v>521</v>
      </c>
      <c r="D25" s="159" t="s">
        <v>515</v>
      </c>
      <c r="E25" s="242" t="s">
        <v>519</v>
      </c>
      <c r="F25" s="242">
        <v>4.1867999999999999</v>
      </c>
      <c r="G25" s="240">
        <f>0.0407840415743265*1000</f>
        <v>40.784041574326501</v>
      </c>
      <c r="AK25" s="124"/>
      <c r="AL25" s="124"/>
      <c r="AM25" s="124"/>
      <c r="AN25" s="124"/>
      <c r="AO25" s="125"/>
    </row>
    <row r="26" spans="2:45" x14ac:dyDescent="0.2">
      <c r="AK26" s="124"/>
      <c r="AL26" s="124"/>
      <c r="AM26" s="124"/>
      <c r="AN26" s="124"/>
      <c r="AO26" s="125"/>
    </row>
    <row r="27" spans="2:45" x14ac:dyDescent="0.2">
      <c r="AK27" s="124" t="s">
        <v>566</v>
      </c>
      <c r="AL27" s="277">
        <f>+AN24/AL15</f>
        <v>1.6840258914647084E-2</v>
      </c>
      <c r="AM27" s="124" t="s">
        <v>567</v>
      </c>
      <c r="AN27" s="124"/>
      <c r="AO27" s="125"/>
    </row>
    <row r="28" spans="2:45" ht="15" x14ac:dyDescent="0.25">
      <c r="B28" s="38" t="s">
        <v>540</v>
      </c>
      <c r="E28" s="38" t="s">
        <v>542</v>
      </c>
      <c r="F28" s="190">
        <f>+F15*C32+F10*(1-C32)</f>
        <v>5.1186992628422185</v>
      </c>
      <c r="G28" s="234">
        <f>+G15*C32+G10*(1-C32)</f>
        <v>70.571513150623119</v>
      </c>
      <c r="AK28" s="124"/>
      <c r="AL28" s="124"/>
      <c r="AM28" s="124"/>
      <c r="AN28" s="124"/>
      <c r="AO28" s="125"/>
    </row>
    <row r="29" spans="2:45" ht="15" x14ac:dyDescent="0.25">
      <c r="B29" s="38" t="s">
        <v>541</v>
      </c>
      <c r="E29" s="38" t="s">
        <v>543</v>
      </c>
      <c r="F29" s="195">
        <f>+F16*D32+F11*(1-D32)</f>
        <v>5.6149155493940253</v>
      </c>
      <c r="G29" s="235">
        <f>+G16*D32+G11*(1-D32)</f>
        <v>72.295929201693298</v>
      </c>
      <c r="AK29" s="124"/>
      <c r="AL29" s="124"/>
      <c r="AM29" s="124"/>
      <c r="AN29" s="124"/>
      <c r="AO29" s="125"/>
      <c r="AP29" s="38" t="s">
        <v>571</v>
      </c>
    </row>
    <row r="30" spans="2:45" x14ac:dyDescent="0.2">
      <c r="B30" s="236"/>
      <c r="C30" s="236" t="s">
        <v>89</v>
      </c>
      <c r="D30" s="236" t="s">
        <v>90</v>
      </c>
      <c r="AK30" s="124" t="s">
        <v>568</v>
      </c>
      <c r="AL30" s="275">
        <f>3400/31</f>
        <v>109.6774193548387</v>
      </c>
      <c r="AM30" s="124" t="s">
        <v>569</v>
      </c>
      <c r="AN30" s="278">
        <f>+AL30*$F$6/1000</f>
        <v>0.11072564420287279</v>
      </c>
      <c r="AO30" s="125" t="s">
        <v>9</v>
      </c>
      <c r="AP30" s="279">
        <f>+AN30*$G$6</f>
        <v>6.1496042820697996</v>
      </c>
      <c r="AQ30" s="38" t="s">
        <v>101</v>
      </c>
    </row>
    <row r="31" spans="2:45" x14ac:dyDescent="0.2">
      <c r="B31" s="236" t="s">
        <v>489</v>
      </c>
      <c r="C31" s="237">
        <v>0.15</v>
      </c>
      <c r="D31" s="237">
        <v>0.15</v>
      </c>
      <c r="AK31" s="124"/>
      <c r="AL31" s="275">
        <f>+AL30*365</f>
        <v>40032.258064516129</v>
      </c>
      <c r="AM31" s="124" t="s">
        <v>268</v>
      </c>
      <c r="AN31" s="278">
        <f>+AL31*$F$6/1000</f>
        <v>40.414860134048567</v>
      </c>
      <c r="AO31" s="125" t="s">
        <v>9</v>
      </c>
      <c r="AP31" s="279">
        <f>+AN31*$G$6</f>
        <v>2244.6055629554771</v>
      </c>
      <c r="AQ31" s="38" t="s">
        <v>101</v>
      </c>
      <c r="AR31" s="280">
        <f>+AN31*0.35/0.0036</f>
        <v>3929.2225130324991</v>
      </c>
      <c r="AS31" s="38" t="s">
        <v>564</v>
      </c>
    </row>
    <row r="32" spans="2:45" x14ac:dyDescent="0.2">
      <c r="B32" s="166" t="s">
        <v>491</v>
      </c>
      <c r="C32" s="168">
        <f>+C31*F15/(C31*F15+(1-C31)*F10)</f>
        <v>8.8515833394198815E-2</v>
      </c>
      <c r="D32" s="168">
        <f>+D31*F16/(D31*F16+(1-D31)*F11)</f>
        <v>0.14098537331267513</v>
      </c>
      <c r="AK32" s="124"/>
      <c r="AL32" s="124"/>
      <c r="AM32" s="124"/>
      <c r="AN32" s="124"/>
      <c r="AO32" s="125"/>
      <c r="AP32" s="279"/>
    </row>
    <row r="33" spans="2:43" x14ac:dyDescent="0.2">
      <c r="AK33" s="124"/>
      <c r="AL33" s="124"/>
      <c r="AM33" s="124"/>
      <c r="AN33" s="124"/>
      <c r="AO33" s="125"/>
      <c r="AP33" s="279"/>
    </row>
    <row r="34" spans="2:43" x14ac:dyDescent="0.2">
      <c r="B34" s="38">
        <v>8.9880000000000002E-2</v>
      </c>
      <c r="C34" s="38" t="s">
        <v>696</v>
      </c>
      <c r="AK34" s="124" t="s">
        <v>570</v>
      </c>
      <c r="AL34" s="274">
        <f>825/31</f>
        <v>26.612903225806452</v>
      </c>
      <c r="AM34" s="124" t="s">
        <v>569</v>
      </c>
      <c r="AN34" s="278">
        <f>+AL34*$F$6/1000</f>
        <v>2.6867251902167662E-2</v>
      </c>
      <c r="AO34" s="125" t="s">
        <v>9</v>
      </c>
      <c r="AP34" s="279">
        <f>+AN34*$G$6</f>
        <v>1.4921833919728191</v>
      </c>
      <c r="AQ34" s="38" t="s">
        <v>101</v>
      </c>
    </row>
    <row r="35" spans="2:43" x14ac:dyDescent="0.2">
      <c r="AK35" s="124"/>
      <c r="AL35" s="274">
        <f>+AL34/365</f>
        <v>7.2912063632346438E-2</v>
      </c>
      <c r="AM35" s="124" t="s">
        <v>268</v>
      </c>
      <c r="AN35" s="278">
        <f>+AL35*$F$6/1000</f>
        <v>7.360890932100729E-5</v>
      </c>
      <c r="AO35" s="125" t="s">
        <v>9</v>
      </c>
      <c r="AP35" s="279">
        <f>+AN35*$G$6</f>
        <v>4.0881736766378608E-3</v>
      </c>
      <c r="AQ35" s="38" t="s">
        <v>101</v>
      </c>
    </row>
    <row r="36" spans="2:43" x14ac:dyDescent="0.2">
      <c r="AK36" s="124"/>
      <c r="AL36" s="124"/>
      <c r="AM36" s="124"/>
      <c r="AN36" s="124"/>
      <c r="AO36" s="125"/>
    </row>
    <row r="37" spans="2:43" x14ac:dyDescent="0.2">
      <c r="AK37" s="124"/>
      <c r="AL37" s="124"/>
      <c r="AM37" s="124"/>
      <c r="AN37" s="124"/>
      <c r="AO37" s="125"/>
      <c r="AP37" s="279">
        <f>+AP35+AP31</f>
        <v>2244.6096511291539</v>
      </c>
      <c r="AQ37" s="38" t="s">
        <v>101</v>
      </c>
    </row>
    <row r="38" spans="2:43" x14ac:dyDescent="0.2">
      <c r="AK38" s="124"/>
      <c r="AL38" s="124"/>
      <c r="AM38" s="124"/>
      <c r="AN38" s="124"/>
      <c r="AO38" s="125"/>
    </row>
    <row r="40" spans="2:43" x14ac:dyDescent="0.2">
      <c r="E40" s="199"/>
      <c r="F40" s="200"/>
      <c r="G40" s="169"/>
      <c r="H40" s="158"/>
      <c r="I40" s="158"/>
      <c r="J40" s="170"/>
      <c r="K40" s="170"/>
      <c r="L40" s="170"/>
      <c r="M40" s="170"/>
      <c r="N40" s="171"/>
    </row>
    <row r="41" spans="2:43" ht="15" x14ac:dyDescent="0.25">
      <c r="C41"/>
      <c r="D41"/>
      <c r="E41" s="417" t="s">
        <v>281</v>
      </c>
      <c r="F41" s="418"/>
      <c r="G41" s="417" t="s">
        <v>487</v>
      </c>
      <c r="H41" s="420"/>
      <c r="I41" s="420"/>
      <c r="J41" s="420"/>
      <c r="K41" s="420"/>
      <c r="L41" s="420"/>
      <c r="M41" s="420"/>
      <c r="N41" s="418"/>
    </row>
    <row r="42" spans="2:43" ht="15" x14ac:dyDescent="0.25">
      <c r="B42"/>
      <c r="C42"/>
      <c r="D42"/>
      <c r="E42" s="175" t="s">
        <v>407</v>
      </c>
      <c r="F42" s="186" t="s">
        <v>408</v>
      </c>
      <c r="G42" s="172"/>
      <c r="K42" s="419" t="s">
        <v>334</v>
      </c>
      <c r="L42" s="419"/>
      <c r="M42" s="419"/>
      <c r="N42" s="174"/>
    </row>
    <row r="43" spans="2:43" ht="15" x14ac:dyDescent="0.25">
      <c r="D43" s="20"/>
      <c r="E43" s="175" t="s">
        <v>463</v>
      </c>
      <c r="F43" s="187" t="s">
        <v>285</v>
      </c>
      <c r="G43" s="172"/>
      <c r="K43" s="124">
        <v>1</v>
      </c>
      <c r="L43" s="124">
        <v>28</v>
      </c>
      <c r="M43" s="124">
        <v>265</v>
      </c>
      <c r="N43" s="174"/>
    </row>
    <row r="44" spans="2:43" ht="15" x14ac:dyDescent="0.25">
      <c r="B44" s="121" t="s">
        <v>250</v>
      </c>
      <c r="C44" s="121" t="s">
        <v>406</v>
      </c>
      <c r="D44" s="20"/>
      <c r="E44" s="175" t="s">
        <v>474</v>
      </c>
      <c r="F44" s="187" t="s">
        <v>476</v>
      </c>
      <c r="G44" s="175" t="s">
        <v>474</v>
      </c>
      <c r="I44" s="38" t="s">
        <v>354</v>
      </c>
      <c r="J44" s="176" t="s">
        <v>488</v>
      </c>
      <c r="K44" s="173" t="s">
        <v>402</v>
      </c>
      <c r="L44" s="173" t="s">
        <v>403</v>
      </c>
      <c r="M44" s="173" t="s">
        <v>404</v>
      </c>
      <c r="N44" s="177" t="s">
        <v>475</v>
      </c>
    </row>
    <row r="45" spans="2:43" ht="15" x14ac:dyDescent="0.25">
      <c r="B45" s="102" t="s">
        <v>409</v>
      </c>
      <c r="C45" s="155" t="s">
        <v>468</v>
      </c>
      <c r="D45" s="156" t="s">
        <v>51</v>
      </c>
      <c r="E45" s="188">
        <f>+G111</f>
        <v>1.0095573442026637</v>
      </c>
      <c r="F45" s="189">
        <f>+L111*1000</f>
        <v>55.539114956987063</v>
      </c>
      <c r="G45" s="178">
        <v>1.0095573442026637</v>
      </c>
      <c r="H45" s="161" t="s">
        <v>477</v>
      </c>
      <c r="I45" s="157">
        <f>47.6420911660953*1000</f>
        <v>47642.091166095299</v>
      </c>
      <c r="J45" s="165" t="s">
        <v>486</v>
      </c>
      <c r="K45" s="124">
        <v>55539.086900000002</v>
      </c>
      <c r="L45" s="124">
        <v>1</v>
      </c>
      <c r="M45" s="124">
        <v>0.1</v>
      </c>
      <c r="N45" s="179">
        <f>+SUMPRODUCT($K$43:$M$43,K45:M45)/1000</f>
        <v>55.593586900000005</v>
      </c>
    </row>
    <row r="46" spans="2:43" ht="15" x14ac:dyDescent="0.25">
      <c r="B46" s="143" t="s">
        <v>410</v>
      </c>
      <c r="C46" s="144" t="s">
        <v>467</v>
      </c>
      <c r="D46" s="145" t="s">
        <v>52</v>
      </c>
      <c r="E46" s="408">
        <f>+G114</f>
        <v>6.0871741676095334</v>
      </c>
      <c r="F46" s="411">
        <f>+L114*1000</f>
        <v>77.841777688967127</v>
      </c>
      <c r="G46" s="402">
        <v>6.0871741676095334</v>
      </c>
      <c r="H46" s="405" t="s">
        <v>477</v>
      </c>
      <c r="I46" s="405">
        <v>40670.462586675276</v>
      </c>
      <c r="J46" s="414" t="s">
        <v>483</v>
      </c>
      <c r="K46" s="124">
        <v>77841.778000000006</v>
      </c>
      <c r="L46" s="124">
        <v>3</v>
      </c>
      <c r="M46" s="124">
        <v>0.6</v>
      </c>
      <c r="N46" s="179">
        <f>+SUMPRODUCT($K$43:$M$43,K46:M46)/1000</f>
        <v>78.084778</v>
      </c>
    </row>
    <row r="47" spans="2:43" ht="15" x14ac:dyDescent="0.25">
      <c r="B47" s="148" t="s">
        <v>415</v>
      </c>
      <c r="C47" t="s">
        <v>467</v>
      </c>
      <c r="D47" s="19" t="s">
        <v>67</v>
      </c>
      <c r="E47" s="409"/>
      <c r="F47" s="412"/>
      <c r="G47" s="403"/>
      <c r="H47" s="406"/>
      <c r="I47" s="406"/>
      <c r="J47" s="415"/>
      <c r="N47" s="179"/>
    </row>
    <row r="48" spans="2:43" ht="15" x14ac:dyDescent="0.25">
      <c r="B48" s="151" t="s">
        <v>411</v>
      </c>
      <c r="C48" s="152" t="s">
        <v>467</v>
      </c>
      <c r="D48" s="153" t="s">
        <v>53</v>
      </c>
      <c r="E48" s="410"/>
      <c r="F48" s="413"/>
      <c r="G48" s="404"/>
      <c r="H48" s="407"/>
      <c r="I48" s="407"/>
      <c r="J48" s="416"/>
      <c r="N48" s="179"/>
    </row>
    <row r="49" spans="2:14" ht="15" x14ac:dyDescent="0.25">
      <c r="B49" s="143" t="s">
        <v>412</v>
      </c>
      <c r="C49" s="144" t="s">
        <v>466</v>
      </c>
      <c r="D49" s="145" t="s">
        <v>45</v>
      </c>
      <c r="E49" s="190">
        <f>+G134</f>
        <v>5.3308987344700309</v>
      </c>
      <c r="F49" s="191">
        <f>+L134*1000</f>
        <v>69.193827140333724</v>
      </c>
      <c r="G49" s="180">
        <v>5.336650070123496</v>
      </c>
      <c r="H49" s="162" t="s">
        <v>477</v>
      </c>
      <c r="I49" s="158">
        <v>45329.53267685703</v>
      </c>
      <c r="J49" s="147" t="s">
        <v>481</v>
      </c>
      <c r="K49" s="124">
        <v>69323.686000000002</v>
      </c>
      <c r="L49" s="124">
        <v>3</v>
      </c>
      <c r="M49" s="124">
        <v>0.6</v>
      </c>
      <c r="N49" s="179">
        <f t="shared" ref="N49:N55" si="2">+SUMPRODUCT($K$43:$M$43,K49:M49)/1000</f>
        <v>69.566686000000004</v>
      </c>
    </row>
    <row r="50" spans="2:14" ht="15" x14ac:dyDescent="0.25">
      <c r="B50" s="148" t="s">
        <v>413</v>
      </c>
      <c r="C50" t="s">
        <v>465</v>
      </c>
      <c r="D50" s="19" t="s">
        <v>47</v>
      </c>
      <c r="E50" s="192">
        <f>+G128</f>
        <v>5.6708498400612823</v>
      </c>
      <c r="F50" s="193">
        <f>+L128*1000</f>
        <v>75.166375708662926</v>
      </c>
      <c r="G50" s="181">
        <v>5.7452112402404705</v>
      </c>
      <c r="H50" s="163" t="s">
        <v>478</v>
      </c>
      <c r="I50" s="38">
        <v>42418.466233751533</v>
      </c>
      <c r="J50" s="150" t="s">
        <v>482</v>
      </c>
      <c r="K50" s="124">
        <v>74193.482999999993</v>
      </c>
      <c r="L50" s="124">
        <v>1</v>
      </c>
      <c r="M50" s="124">
        <v>0.6</v>
      </c>
      <c r="N50" s="179">
        <f t="shared" si="2"/>
        <v>74.380482999999998</v>
      </c>
    </row>
    <row r="51" spans="2:14" ht="15" x14ac:dyDescent="0.25">
      <c r="B51" s="148" t="s">
        <v>87</v>
      </c>
      <c r="C51" t="s">
        <v>464</v>
      </c>
      <c r="D51" s="19" t="s">
        <v>48</v>
      </c>
      <c r="E51" s="194">
        <f>+G136</f>
        <v>4.7117947967516214</v>
      </c>
      <c r="F51" s="193">
        <f>+L136*1000</f>
        <v>87.735056011523966</v>
      </c>
      <c r="G51" s="181">
        <v>4.672084636568222</v>
      </c>
      <c r="H51" s="163" t="s">
        <v>478</v>
      </c>
      <c r="I51" s="38">
        <v>35576.910585045494</v>
      </c>
      <c r="J51" s="150" t="s">
        <v>362</v>
      </c>
      <c r="K51" s="124">
        <v>88461.130999999994</v>
      </c>
      <c r="L51" s="124">
        <v>3</v>
      </c>
      <c r="M51" s="124">
        <v>0.6</v>
      </c>
      <c r="N51" s="179">
        <f t="shared" si="2"/>
        <v>88.70413099999999</v>
      </c>
    </row>
    <row r="52" spans="2:14" ht="15" x14ac:dyDescent="0.25">
      <c r="B52" s="148" t="s">
        <v>414</v>
      </c>
      <c r="C52" t="s">
        <v>470</v>
      </c>
      <c r="D52" s="19" t="s">
        <v>49</v>
      </c>
      <c r="E52" s="192">
        <f>+G133</f>
        <v>4.0562660463586173</v>
      </c>
      <c r="F52" s="193">
        <f>+L133*1000</f>
        <v>47.28933824683137</v>
      </c>
      <c r="G52" s="181">
        <v>4.0562660463586173</v>
      </c>
      <c r="H52" s="163" t="s">
        <v>477</v>
      </c>
      <c r="I52" s="38">
        <v>45989.410956446904</v>
      </c>
      <c r="J52" s="150" t="s">
        <v>484</v>
      </c>
      <c r="K52" s="124">
        <v>67185.115000000005</v>
      </c>
      <c r="L52" s="124">
        <v>1</v>
      </c>
      <c r="M52" s="124">
        <v>0.1</v>
      </c>
      <c r="N52" s="179">
        <f t="shared" si="2"/>
        <v>67.239615000000001</v>
      </c>
    </row>
    <row r="53" spans="2:14" ht="15" x14ac:dyDescent="0.25">
      <c r="B53" s="148" t="s">
        <v>416</v>
      </c>
      <c r="C53" t="s">
        <v>469</v>
      </c>
      <c r="D53" s="19" t="s">
        <v>50</v>
      </c>
      <c r="E53" s="192">
        <f>+G131</f>
        <v>5.4608206169323079</v>
      </c>
      <c r="F53" s="193">
        <f>+L131*1000</f>
        <v>78.281203343664757</v>
      </c>
      <c r="G53" s="181">
        <v>5.4608206169323079</v>
      </c>
      <c r="H53" s="163" t="s">
        <v>477</v>
      </c>
      <c r="I53" s="38">
        <v>40442.162000000004</v>
      </c>
      <c r="J53" s="150" t="s">
        <v>479</v>
      </c>
      <c r="K53" s="124">
        <v>78281.202999999994</v>
      </c>
      <c r="L53" s="124">
        <v>3</v>
      </c>
      <c r="M53" s="124">
        <v>0.6</v>
      </c>
      <c r="N53" s="179">
        <f t="shared" si="2"/>
        <v>78.524203</v>
      </c>
    </row>
    <row r="54" spans="2:14" ht="15" x14ac:dyDescent="0.25">
      <c r="B54" s="143" t="s">
        <v>89</v>
      </c>
      <c r="C54" s="144" t="s">
        <v>471</v>
      </c>
      <c r="D54" s="145" t="s">
        <v>43</v>
      </c>
      <c r="E54" s="190">
        <f>+G124</f>
        <v>2.9335934898501512</v>
      </c>
      <c r="F54" s="191">
        <f>+L124*1000</f>
        <v>84.75811612074672</v>
      </c>
      <c r="G54" s="180">
        <v>2.9335934898501512</v>
      </c>
      <c r="H54" s="162" t="s">
        <v>477</v>
      </c>
      <c r="I54" s="158">
        <v>22480.19962297516</v>
      </c>
      <c r="J54" s="147" t="s">
        <v>405</v>
      </c>
      <c r="K54" s="124">
        <v>84758.115999999995</v>
      </c>
      <c r="L54" s="124">
        <v>3</v>
      </c>
      <c r="M54" s="124">
        <v>0.6</v>
      </c>
      <c r="N54" s="179">
        <f t="shared" si="2"/>
        <v>85.001115999999996</v>
      </c>
    </row>
    <row r="55" spans="2:14" ht="15" x14ac:dyDescent="0.25">
      <c r="B55" s="151" t="s">
        <v>90</v>
      </c>
      <c r="C55" s="152" t="s">
        <v>472</v>
      </c>
      <c r="D55" s="153" t="s">
        <v>44</v>
      </c>
      <c r="E55" s="195">
        <f>+G125</f>
        <v>5.274111587340502</v>
      </c>
      <c r="F55" s="196">
        <f>+L125*1000</f>
        <v>54.806487022879928</v>
      </c>
      <c r="G55" s="182">
        <v>5.274111587340502</v>
      </c>
      <c r="H55" s="164" t="s">
        <v>477</v>
      </c>
      <c r="I55" s="159">
        <v>37907.854789510107</v>
      </c>
      <c r="J55" s="154" t="s">
        <v>480</v>
      </c>
      <c r="K55" s="124">
        <v>54806.487000000001</v>
      </c>
      <c r="L55" s="124">
        <v>3</v>
      </c>
      <c r="M55" s="124">
        <v>0.6</v>
      </c>
      <c r="N55" s="179">
        <f t="shared" si="2"/>
        <v>55.049486999999999</v>
      </c>
    </row>
    <row r="56" spans="2:14" ht="15" x14ac:dyDescent="0.25">
      <c r="B56" t="s">
        <v>490</v>
      </c>
      <c r="C56" t="s">
        <v>473</v>
      </c>
      <c r="D56" s="68" t="s">
        <v>54</v>
      </c>
      <c r="E56" s="192">
        <f>+E54*C61+E49*(1-C61)</f>
        <v>5.1927630695557223</v>
      </c>
      <c r="F56" s="197">
        <f>+F54*D60+F49*(1-D60)</f>
        <v>70.750256038375028</v>
      </c>
      <c r="G56" s="201">
        <v>4.7913520938098202</v>
      </c>
      <c r="H56" s="146" t="s">
        <v>478</v>
      </c>
      <c r="I56" s="146">
        <v>40659.333347540545</v>
      </c>
      <c r="J56" s="147" t="s">
        <v>370</v>
      </c>
      <c r="N56" s="174"/>
    </row>
    <row r="57" spans="2:14" ht="15" x14ac:dyDescent="0.25">
      <c r="B57" t="s">
        <v>417</v>
      </c>
      <c r="C57" t="s">
        <v>473</v>
      </c>
      <c r="D57" s="68" t="s">
        <v>55</v>
      </c>
      <c r="E57" s="195">
        <f>+E55*D61+E50*(1-D61)</f>
        <v>5.6336916725609152</v>
      </c>
      <c r="F57" s="198">
        <f>+F55*D61+F50*(1-D61)</f>
        <v>73.259485841384091</v>
      </c>
      <c r="G57" s="183"/>
      <c r="H57" s="159"/>
      <c r="I57" s="159"/>
      <c r="J57" s="160"/>
      <c r="K57" s="184"/>
      <c r="L57" s="184"/>
      <c r="M57" s="184"/>
      <c r="N57" s="185"/>
    </row>
    <row r="58" spans="2:14" x14ac:dyDescent="0.2">
      <c r="B58" s="142" t="s">
        <v>485</v>
      </c>
    </row>
    <row r="59" spans="2:14" x14ac:dyDescent="0.2">
      <c r="B59" s="166"/>
      <c r="C59" s="166" t="s">
        <v>89</v>
      </c>
      <c r="D59" s="166" t="s">
        <v>90</v>
      </c>
    </row>
    <row r="60" spans="2:14" x14ac:dyDescent="0.2">
      <c r="B60" s="166" t="s">
        <v>489</v>
      </c>
      <c r="C60" s="167">
        <v>0.1</v>
      </c>
      <c r="D60" s="167">
        <v>0.1</v>
      </c>
    </row>
    <row r="61" spans="2:14" x14ac:dyDescent="0.2">
      <c r="B61" s="166" t="s">
        <v>491</v>
      </c>
      <c r="C61" s="168">
        <f>+C60*E54/(C60*E54+(1-C60)*E49)</f>
        <v>5.7621225008503835E-2</v>
      </c>
      <c r="D61" s="168">
        <f>+D60*E55/(D60*E55+(1-D60)*E50)</f>
        <v>9.3659149944684009E-2</v>
      </c>
    </row>
    <row r="102" spans="2:23" ht="15" x14ac:dyDescent="0.25">
      <c r="B102" s="123" t="s">
        <v>418</v>
      </c>
    </row>
    <row r="103" spans="2:23" x14ac:dyDescent="0.2">
      <c r="P103" s="38">
        <v>186633</v>
      </c>
    </row>
    <row r="104" spans="2:23" x14ac:dyDescent="0.2">
      <c r="B104" s="126" t="s">
        <v>419</v>
      </c>
      <c r="D104" s="127"/>
      <c r="E104" s="127"/>
      <c r="F104" s="128"/>
      <c r="P104" s="129">
        <f>+P103/G134</f>
        <v>35009.668968801758</v>
      </c>
      <c r="W104" s="130">
        <v>947817100000</v>
      </c>
    </row>
    <row r="105" spans="2:23" x14ac:dyDescent="0.2">
      <c r="D105" s="131"/>
      <c r="E105" s="131"/>
      <c r="F105" s="132"/>
      <c r="P105" s="38">
        <f>+P104*1000</f>
        <v>35009668.968801759</v>
      </c>
      <c r="W105" s="38">
        <f>+W104/1000000000</f>
        <v>947.81709999999998</v>
      </c>
    </row>
    <row r="106" spans="2:23" x14ac:dyDescent="0.2">
      <c r="B106" s="397" t="s">
        <v>248</v>
      </c>
      <c r="C106" s="398"/>
      <c r="D106" s="398"/>
      <c r="E106" s="398"/>
      <c r="F106" s="398"/>
      <c r="G106" s="398"/>
      <c r="H106" s="398"/>
      <c r="I106" s="398"/>
      <c r="J106" s="398"/>
      <c r="K106" s="398"/>
      <c r="L106" s="399"/>
      <c r="M106" s="133"/>
      <c r="N106" s="133"/>
      <c r="P106" s="38">
        <f>+P105/42</f>
        <v>833563.54687623237</v>
      </c>
    </row>
    <row r="107" spans="2:23" ht="12.75" customHeight="1" x14ac:dyDescent="0.2">
      <c r="B107" s="76" t="s">
        <v>249</v>
      </c>
      <c r="C107" s="77" t="s">
        <v>250</v>
      </c>
      <c r="D107" s="394" t="s">
        <v>251</v>
      </c>
      <c r="E107" s="395"/>
      <c r="F107" s="395"/>
      <c r="G107" s="395"/>
      <c r="H107" s="395"/>
      <c r="I107" s="395"/>
      <c r="J107" s="396"/>
      <c r="K107" s="80" t="s">
        <v>252</v>
      </c>
      <c r="L107" s="81"/>
      <c r="M107" s="134"/>
      <c r="N107" s="134"/>
    </row>
    <row r="108" spans="2:23" ht="24" x14ac:dyDescent="0.2">
      <c r="B108" s="76"/>
      <c r="C108" s="76"/>
      <c r="D108" s="82" t="s">
        <v>253</v>
      </c>
      <c r="E108" s="82" t="s">
        <v>253</v>
      </c>
      <c r="F108" s="82" t="s">
        <v>254</v>
      </c>
      <c r="G108" s="82" t="s">
        <v>255</v>
      </c>
      <c r="H108" s="82" t="s">
        <v>256</v>
      </c>
      <c r="I108" s="82" t="s">
        <v>257</v>
      </c>
      <c r="J108" s="82" t="s">
        <v>258</v>
      </c>
      <c r="K108" s="82" t="s">
        <v>259</v>
      </c>
      <c r="L108" s="82" t="s">
        <v>260</v>
      </c>
      <c r="M108" s="134"/>
      <c r="N108" s="134"/>
      <c r="S108" s="38" t="s">
        <v>420</v>
      </c>
      <c r="T108" s="38" t="s">
        <v>421</v>
      </c>
    </row>
    <row r="109" spans="2:23" x14ac:dyDescent="0.2">
      <c r="B109" s="83" t="s">
        <v>261</v>
      </c>
      <c r="C109" s="84" t="s">
        <v>262</v>
      </c>
      <c r="D109" s="85" t="s">
        <v>263</v>
      </c>
      <c r="E109" s="85">
        <v>1</v>
      </c>
      <c r="F109" s="86">
        <f>G109/4.1868</f>
        <v>3.5212923829401559</v>
      </c>
      <c r="G109" s="86">
        <f>G203</f>
        <v>14.742946948893843</v>
      </c>
      <c r="H109" s="86">
        <f t="shared" ref="H109:H120" si="3">F109*4.1868/3.6</f>
        <v>4.0952630413594004</v>
      </c>
      <c r="I109" s="86">
        <f t="shared" ref="I109:I120" si="4">F109*0.1</f>
        <v>0.3521292382940156</v>
      </c>
      <c r="J109" s="86">
        <f t="shared" ref="J109:J115" si="5">H109*$H$151/$H$150</f>
        <v>13.973615570068167</v>
      </c>
      <c r="K109" s="87">
        <f>G109*L109</f>
        <v>1.6649168293688128</v>
      </c>
      <c r="L109" s="87">
        <f>L203/1000000</f>
        <v>0.11292971718206792</v>
      </c>
      <c r="M109" s="86" t="s">
        <v>422</v>
      </c>
      <c r="N109" s="86" t="s">
        <v>423</v>
      </c>
      <c r="R109" s="83" t="s">
        <v>261</v>
      </c>
      <c r="S109" s="38">
        <f>N203</f>
        <v>750</v>
      </c>
      <c r="T109" s="38">
        <v>1240</v>
      </c>
    </row>
    <row r="110" spans="2:23" x14ac:dyDescent="0.2">
      <c r="B110" s="88" t="s">
        <v>264</v>
      </c>
      <c r="C110" s="89" t="s">
        <v>265</v>
      </c>
      <c r="D110" s="90" t="s">
        <v>263</v>
      </c>
      <c r="E110" s="90">
        <v>1</v>
      </c>
      <c r="F110" s="91">
        <f t="shared" ref="F110:F120" si="6">G110/4.1868</f>
        <v>6.8692647535293689</v>
      </c>
      <c r="G110" s="91">
        <f>G192</f>
        <v>28.760237670076762</v>
      </c>
      <c r="H110" s="91">
        <f t="shared" si="3"/>
        <v>7.988954908354656</v>
      </c>
      <c r="I110" s="91">
        <f t="shared" si="4"/>
        <v>0.68692647535293694</v>
      </c>
      <c r="J110" s="91">
        <f t="shared" si="5"/>
        <v>27.25944184012674</v>
      </c>
      <c r="K110" s="92">
        <f>G110*L110</f>
        <v>2.5348128434012014</v>
      </c>
      <c r="L110" s="92">
        <f>L192/1000000</f>
        <v>8.8136018640712299E-2</v>
      </c>
      <c r="M110" s="91" t="s">
        <v>422</v>
      </c>
      <c r="N110" s="91" t="s">
        <v>424</v>
      </c>
      <c r="R110" s="88" t="s">
        <v>264</v>
      </c>
      <c r="S110" s="38">
        <f>N192</f>
        <v>25</v>
      </c>
      <c r="T110" s="38">
        <v>465</v>
      </c>
    </row>
    <row r="111" spans="2:23" x14ac:dyDescent="0.2">
      <c r="B111" s="83" t="s">
        <v>266</v>
      </c>
      <c r="C111" s="84" t="s">
        <v>267</v>
      </c>
      <c r="D111" s="85" t="s">
        <v>268</v>
      </c>
      <c r="E111" s="85">
        <v>1</v>
      </c>
      <c r="F111" s="86">
        <f t="shared" si="6"/>
        <v>0.24112862907295876</v>
      </c>
      <c r="G111" s="86">
        <f>G166</f>
        <v>1.0095573442026637</v>
      </c>
      <c r="H111" s="86">
        <f t="shared" si="3"/>
        <v>0.28043259561185102</v>
      </c>
      <c r="I111" s="86">
        <f t="shared" si="4"/>
        <v>2.4112862907295876E-2</v>
      </c>
      <c r="J111" s="86">
        <f t="shared" si="5"/>
        <v>0.95687560110805836</v>
      </c>
      <c r="K111" s="87">
        <f t="shared" ref="K111:K120" si="7">G111*L111</f>
        <v>5.6069921395342302E-2</v>
      </c>
      <c r="L111" s="87">
        <f>L166/1000000</f>
        <v>5.5539114956987067E-2</v>
      </c>
      <c r="M111" s="86" t="s">
        <v>422</v>
      </c>
      <c r="N111" s="86" t="s">
        <v>424</v>
      </c>
      <c r="O111" s="38" t="s">
        <v>425</v>
      </c>
      <c r="P111" s="129">
        <f>H111*1000000/H143</f>
        <v>9.9033845712759661</v>
      </c>
      <c r="Q111" s="129"/>
      <c r="R111" s="83" t="s">
        <v>266</v>
      </c>
      <c r="S111" s="38">
        <f>N166</f>
        <v>25</v>
      </c>
      <c r="T111" s="38">
        <v>31</v>
      </c>
    </row>
    <row r="112" spans="2:23" x14ac:dyDescent="0.2">
      <c r="B112" s="88" t="s">
        <v>269</v>
      </c>
      <c r="C112" s="89" t="s">
        <v>270</v>
      </c>
      <c r="D112" s="90" t="s">
        <v>256</v>
      </c>
      <c r="E112" s="90">
        <v>1</v>
      </c>
      <c r="F112" s="91">
        <f t="shared" si="6"/>
        <v>0.85984522785898543</v>
      </c>
      <c r="G112" s="91">
        <v>3.6</v>
      </c>
      <c r="H112" s="91">
        <f t="shared" si="3"/>
        <v>1</v>
      </c>
      <c r="I112" s="91">
        <f t="shared" si="4"/>
        <v>8.5984522785898548E-2</v>
      </c>
      <c r="J112" s="91">
        <f t="shared" si="5"/>
        <v>3.4121411564883757</v>
      </c>
      <c r="K112" s="92">
        <f t="shared" si="7"/>
        <v>0</v>
      </c>
      <c r="L112" s="92"/>
      <c r="M112" s="91" t="s">
        <v>422</v>
      </c>
      <c r="N112" s="91" t="s">
        <v>423</v>
      </c>
      <c r="R112" s="88" t="s">
        <v>269</v>
      </c>
      <c r="S112" s="38">
        <v>0</v>
      </c>
      <c r="T112" s="38">
        <v>0</v>
      </c>
    </row>
    <row r="113" spans="2:20" x14ac:dyDescent="0.2">
      <c r="B113" s="83" t="s">
        <v>271</v>
      </c>
      <c r="C113" s="84" t="s">
        <v>272</v>
      </c>
      <c r="D113" s="85" t="s">
        <v>263</v>
      </c>
      <c r="E113" s="85">
        <v>1</v>
      </c>
      <c r="F113" s="86">
        <f t="shared" si="6"/>
        <v>4.0588160682184977</v>
      </c>
      <c r="G113" s="86">
        <f>G210</f>
        <v>16.993451114417205</v>
      </c>
      <c r="H113" s="86">
        <f t="shared" si="3"/>
        <v>4.720403087338112</v>
      </c>
      <c r="I113" s="86">
        <f t="shared" si="4"/>
        <v>0.40588160682184982</v>
      </c>
      <c r="J113" s="86">
        <f t="shared" si="5"/>
        <v>16.106681649521164</v>
      </c>
      <c r="K113" s="87">
        <f t="shared" si="7"/>
        <v>1.5213374066407455</v>
      </c>
      <c r="L113" s="87">
        <f>L210/1000000</f>
        <v>8.9524923242345178E-2</v>
      </c>
      <c r="M113" s="86" t="s">
        <v>422</v>
      </c>
      <c r="N113" s="86" t="s">
        <v>423</v>
      </c>
      <c r="R113" s="83" t="s">
        <v>271</v>
      </c>
      <c r="S113" s="38">
        <f>N210</f>
        <v>750</v>
      </c>
      <c r="T113" s="38">
        <v>1240</v>
      </c>
    </row>
    <row r="114" spans="2:20" x14ac:dyDescent="0.2">
      <c r="B114" s="88" t="s">
        <v>273</v>
      </c>
      <c r="C114" s="89" t="s">
        <v>274</v>
      </c>
      <c r="D114" s="90" t="s">
        <v>275</v>
      </c>
      <c r="E114" s="90">
        <v>1</v>
      </c>
      <c r="F114" s="91">
        <f t="shared" si="6"/>
        <v>1.4538965719904302</v>
      </c>
      <c r="G114" s="91">
        <f>I177</f>
        <v>6.0871741676095334</v>
      </c>
      <c r="H114" s="91">
        <f t="shared" si="3"/>
        <v>1.6908817132248701</v>
      </c>
      <c r="I114" s="91">
        <f t="shared" si="4"/>
        <v>0.14538965719904304</v>
      </c>
      <c r="J114" s="91">
        <f t="shared" si="5"/>
        <v>5.7695270844481543</v>
      </c>
      <c r="K114" s="92">
        <f t="shared" si="7"/>
        <v>0.47383645830908488</v>
      </c>
      <c r="L114" s="92">
        <f>L177/1000000</f>
        <v>7.7841777688967134E-2</v>
      </c>
      <c r="M114" s="91" t="s">
        <v>422</v>
      </c>
      <c r="N114" s="91" t="s">
        <v>424</v>
      </c>
      <c r="R114" s="88" t="s">
        <v>273</v>
      </c>
      <c r="S114" s="38">
        <v>75</v>
      </c>
      <c r="T114" s="38">
        <v>186</v>
      </c>
    </row>
    <row r="115" spans="2:20" x14ac:dyDescent="0.2">
      <c r="B115" s="83" t="s">
        <v>277</v>
      </c>
      <c r="C115" s="84" t="s">
        <v>278</v>
      </c>
      <c r="D115" s="85" t="s">
        <v>255</v>
      </c>
      <c r="E115" s="85">
        <v>1</v>
      </c>
      <c r="F115" s="86">
        <f t="shared" si="6"/>
        <v>0.23884589662749595</v>
      </c>
      <c r="G115" s="86">
        <v>1</v>
      </c>
      <c r="H115" s="86">
        <f t="shared" si="3"/>
        <v>0.27777777777777779</v>
      </c>
      <c r="I115" s="86">
        <f t="shared" si="4"/>
        <v>2.3884589662749596E-2</v>
      </c>
      <c r="J115" s="86">
        <f t="shared" si="5"/>
        <v>0.94781698791343771</v>
      </c>
      <c r="K115" s="87">
        <f t="shared" si="7"/>
        <v>0</v>
      </c>
      <c r="L115" s="87"/>
      <c r="M115" s="86" t="s">
        <v>422</v>
      </c>
      <c r="N115" s="86" t="s">
        <v>423</v>
      </c>
      <c r="R115" s="83" t="s">
        <v>277</v>
      </c>
      <c r="S115" s="38">
        <f>N212</f>
        <v>750</v>
      </c>
      <c r="T115" s="38">
        <v>0.31</v>
      </c>
    </row>
    <row r="116" spans="2:20" x14ac:dyDescent="0.2">
      <c r="B116" s="93" t="s">
        <v>279</v>
      </c>
      <c r="C116" s="94"/>
      <c r="D116" s="95" t="str">
        <f>D117</f>
        <v>kTon</v>
      </c>
      <c r="E116" s="95">
        <f>AVERAGE(E117:E119)</f>
        <v>1</v>
      </c>
      <c r="F116" s="96">
        <f t="shared" ref="F116:L116" si="8">AVERAGE(F117:F119)</f>
        <v>4.275596997028372</v>
      </c>
      <c r="G116" s="96">
        <f t="shared" si="8"/>
        <v>17.901069507158386</v>
      </c>
      <c r="H116" s="96">
        <f t="shared" si="8"/>
        <v>4.9725193075439966</v>
      </c>
      <c r="I116" s="96">
        <f t="shared" si="8"/>
        <v>0.42755969970283725</v>
      </c>
      <c r="J116" s="96">
        <f t="shared" si="8"/>
        <v>16.966937780703947</v>
      </c>
      <c r="K116" s="97">
        <f t="shared" si="8"/>
        <v>1.8279689577448019</v>
      </c>
      <c r="L116" s="97">
        <f t="shared" si="8"/>
        <v>0.10252143505231959</v>
      </c>
      <c r="M116" s="135"/>
      <c r="N116" s="135"/>
      <c r="R116" s="93" t="s">
        <v>279</v>
      </c>
      <c r="S116" s="38">
        <v>750</v>
      </c>
      <c r="T116" s="38">
        <v>1240</v>
      </c>
    </row>
    <row r="117" spans="2:20" x14ac:dyDescent="0.2">
      <c r="B117" s="98"/>
      <c r="C117" s="99" t="s">
        <v>280</v>
      </c>
      <c r="D117" s="90" t="s">
        <v>263</v>
      </c>
      <c r="E117" s="90">
        <v>1</v>
      </c>
      <c r="F117" s="91">
        <f t="shared" si="6"/>
        <v>5.0673787049521417</v>
      </c>
      <c r="G117" s="91">
        <f>AVERAGE(G208:G209)</f>
        <v>21.216101161893626</v>
      </c>
      <c r="H117" s="91">
        <f>F117*4.1868/3.6</f>
        <v>5.8933614338593401</v>
      </c>
      <c r="I117" s="91">
        <f>F117*0.1</f>
        <v>0.50673787049521424</v>
      </c>
      <c r="J117" s="91">
        <f>H117*$H$151/$H$150</f>
        <v>20.108981098532801</v>
      </c>
      <c r="K117" s="92">
        <f t="shared" si="7"/>
        <v>2.069501849101949</v>
      </c>
      <c r="L117" s="92">
        <f>AVERAGE(L208:L209)/1000000</f>
        <v>9.7543928232157684E-2</v>
      </c>
      <c r="M117" s="91" t="s">
        <v>422</v>
      </c>
      <c r="N117" s="91" t="s">
        <v>423</v>
      </c>
      <c r="R117" s="98"/>
    </row>
    <row r="118" spans="2:20" x14ac:dyDescent="0.2">
      <c r="B118" s="100"/>
      <c r="C118" s="101" t="s">
        <v>282</v>
      </c>
      <c r="D118" s="85" t="s">
        <v>263</v>
      </c>
      <c r="E118" s="85">
        <v>1</v>
      </c>
      <c r="F118" s="86">
        <f t="shared" si="6"/>
        <v>3.5714481871268098</v>
      </c>
      <c r="G118" s="86">
        <f>G207</f>
        <v>14.952939269862526</v>
      </c>
      <c r="H118" s="86">
        <f>F118*4.1868/3.6</f>
        <v>4.153594241628479</v>
      </c>
      <c r="I118" s="86">
        <f>F118*0.1</f>
        <v>0.357144818712681</v>
      </c>
      <c r="J118" s="86">
        <f>H118*$H$151/$H$150</f>
        <v>14.172649859213658</v>
      </c>
      <c r="K118" s="87">
        <f t="shared" si="7"/>
        <v>1.5532506057099089</v>
      </c>
      <c r="L118" s="87">
        <f>L207/1000000</f>
        <v>0.10387593888249565</v>
      </c>
      <c r="M118" s="86" t="s">
        <v>422</v>
      </c>
      <c r="N118" s="86" t="s">
        <v>423</v>
      </c>
      <c r="R118" s="100"/>
    </row>
    <row r="119" spans="2:20" x14ac:dyDescent="0.2">
      <c r="B119" s="98"/>
      <c r="C119" s="99" t="s">
        <v>284</v>
      </c>
      <c r="D119" s="90" t="s">
        <v>263</v>
      </c>
      <c r="E119" s="90">
        <v>1</v>
      </c>
      <c r="F119" s="91">
        <f t="shared" si="6"/>
        <v>4.1879640990061651</v>
      </c>
      <c r="G119" s="91">
        <f>AVERAGE(G205:G206)</f>
        <v>17.53416808971901</v>
      </c>
      <c r="H119" s="91">
        <f>F119*4.1868/3.6</f>
        <v>4.870602247144169</v>
      </c>
      <c r="I119" s="91">
        <f>F119*0.1</f>
        <v>0.41879640990061651</v>
      </c>
      <c r="J119" s="91">
        <f>H119*$H$151/$H$150</f>
        <v>16.619182384365388</v>
      </c>
      <c r="K119" s="92">
        <f t="shared" si="7"/>
        <v>1.8611544184225481</v>
      </c>
      <c r="L119" s="92">
        <f>AVERAGE(L205:L206)/1000000</f>
        <v>0.10614443804230542</v>
      </c>
      <c r="M119" s="91" t="s">
        <v>422</v>
      </c>
      <c r="N119" s="91" t="s">
        <v>423</v>
      </c>
      <c r="R119" s="98"/>
    </row>
    <row r="120" spans="2:20" x14ac:dyDescent="0.2">
      <c r="B120" s="83" t="s">
        <v>286</v>
      </c>
      <c r="C120" s="84" t="s">
        <v>287</v>
      </c>
      <c r="D120" s="85" t="s">
        <v>256</v>
      </c>
      <c r="E120" s="85">
        <v>1</v>
      </c>
      <c r="F120" s="86">
        <f t="shared" si="6"/>
        <v>0.85984522785898543</v>
      </c>
      <c r="G120" s="86">
        <v>3.6</v>
      </c>
      <c r="H120" s="86">
        <f t="shared" si="3"/>
        <v>1</v>
      </c>
      <c r="I120" s="86">
        <f t="shared" si="4"/>
        <v>8.5984522785898548E-2</v>
      </c>
      <c r="J120" s="86">
        <f>H120*$H$151/$H$150</f>
        <v>3.4121411564883757</v>
      </c>
      <c r="K120" s="87">
        <f t="shared" si="7"/>
        <v>0</v>
      </c>
      <c r="L120" s="87"/>
      <c r="M120" s="86" t="s">
        <v>422</v>
      </c>
      <c r="N120" s="86" t="s">
        <v>423</v>
      </c>
      <c r="R120" s="83" t="s">
        <v>286</v>
      </c>
      <c r="S120" s="38">
        <v>750</v>
      </c>
      <c r="T120" s="38">
        <v>1240</v>
      </c>
    </row>
    <row r="121" spans="2:20" x14ac:dyDescent="0.2">
      <c r="B121" s="88" t="s">
        <v>288</v>
      </c>
      <c r="C121" s="89" t="s">
        <v>289</v>
      </c>
      <c r="D121" s="90" t="s">
        <v>290</v>
      </c>
      <c r="E121" s="90">
        <f>E132</f>
        <v>1</v>
      </c>
      <c r="F121" s="91">
        <f t="shared" ref="F121:L121" si="9">F132</f>
        <v>1</v>
      </c>
      <c r="G121" s="91">
        <f t="shared" si="9"/>
        <v>4.1867999999999999</v>
      </c>
      <c r="H121" s="91">
        <f t="shared" si="9"/>
        <v>1.163</v>
      </c>
      <c r="I121" s="91">
        <f t="shared" si="9"/>
        <v>0.1</v>
      </c>
      <c r="J121" s="91">
        <f t="shared" si="9"/>
        <v>3.9683201649959812</v>
      </c>
      <c r="K121" s="92">
        <f t="shared" si="9"/>
        <v>0.17075462526339016</v>
      </c>
      <c r="L121" s="92">
        <f t="shared" si="9"/>
        <v>4.0784041574326496E-2</v>
      </c>
      <c r="M121" s="91" t="s">
        <v>422</v>
      </c>
      <c r="N121" s="91" t="s">
        <v>423</v>
      </c>
      <c r="R121" s="88" t="s">
        <v>288</v>
      </c>
      <c r="S121" s="38">
        <v>0</v>
      </c>
      <c r="T121" s="38">
        <v>0</v>
      </c>
    </row>
    <row r="122" spans="2:20" x14ac:dyDescent="0.2">
      <c r="B122" s="83" t="s">
        <v>291</v>
      </c>
      <c r="C122" s="84" t="s">
        <v>292</v>
      </c>
      <c r="D122" s="85" t="s">
        <v>290</v>
      </c>
      <c r="E122" s="85">
        <f>E132</f>
        <v>1</v>
      </c>
      <c r="F122" s="86">
        <f t="shared" ref="F122:L122" si="10">F132</f>
        <v>1</v>
      </c>
      <c r="G122" s="86">
        <f t="shared" si="10"/>
        <v>4.1867999999999999</v>
      </c>
      <c r="H122" s="86">
        <f t="shared" si="10"/>
        <v>1.163</v>
      </c>
      <c r="I122" s="86">
        <f t="shared" si="10"/>
        <v>0.1</v>
      </c>
      <c r="J122" s="86">
        <f t="shared" si="10"/>
        <v>3.9683201649959812</v>
      </c>
      <c r="K122" s="87">
        <f t="shared" si="10"/>
        <v>0.17075462526339016</v>
      </c>
      <c r="L122" s="87">
        <f t="shared" si="10"/>
        <v>4.0784041574326496E-2</v>
      </c>
      <c r="M122" s="86" t="s">
        <v>422</v>
      </c>
      <c r="N122" s="86" t="s">
        <v>423</v>
      </c>
      <c r="R122" s="83" t="s">
        <v>291</v>
      </c>
      <c r="S122" s="38">
        <v>0</v>
      </c>
      <c r="T122" s="38">
        <v>0</v>
      </c>
    </row>
    <row r="123" spans="2:20" x14ac:dyDescent="0.2">
      <c r="B123" s="397" t="s">
        <v>293</v>
      </c>
      <c r="C123" s="398"/>
      <c r="D123" s="398"/>
      <c r="E123" s="398"/>
      <c r="F123" s="398"/>
      <c r="G123" s="398"/>
      <c r="H123" s="398"/>
      <c r="I123" s="398"/>
      <c r="J123" s="398"/>
      <c r="K123" s="398"/>
      <c r="L123" s="399"/>
      <c r="M123" s="136"/>
      <c r="N123" s="136"/>
      <c r="P123" s="38" t="s">
        <v>426</v>
      </c>
    </row>
    <row r="124" spans="2:20" x14ac:dyDescent="0.2">
      <c r="B124" s="83" t="s">
        <v>294</v>
      </c>
      <c r="C124" s="84" t="s">
        <v>295</v>
      </c>
      <c r="D124" s="85" t="s">
        <v>275</v>
      </c>
      <c r="E124" s="85">
        <v>1</v>
      </c>
      <c r="F124" s="86">
        <f>G124/4.1868</f>
        <v>0.70067676742384433</v>
      </c>
      <c r="G124" s="86">
        <f>I182</f>
        <v>2.9335934898501512</v>
      </c>
      <c r="H124" s="86">
        <f t="shared" ref="H124:H136" si="11">F124*4.1868/3.6</f>
        <v>0.81488708051393088</v>
      </c>
      <c r="I124" s="86">
        <f t="shared" ref="I124:I136" si="12">F124*0.1</f>
        <v>7.0067676742384441E-2</v>
      </c>
      <c r="J124" s="86">
        <f t="shared" ref="J124:J134" si="13">H124*$H$151/$H$150</f>
        <v>2.7805097453122407</v>
      </c>
      <c r="K124" s="87">
        <f>G124*L124</f>
        <v>0.24864585766378575</v>
      </c>
      <c r="L124" s="87">
        <f>L182/1000000</f>
        <v>8.4758116120746727E-2</v>
      </c>
      <c r="M124" s="86" t="s">
        <v>427</v>
      </c>
      <c r="N124" s="86" t="s">
        <v>423</v>
      </c>
      <c r="R124" s="83" t="s">
        <v>294</v>
      </c>
      <c r="S124" s="38">
        <v>75</v>
      </c>
      <c r="T124" s="38">
        <v>186</v>
      </c>
    </row>
    <row r="125" spans="2:20" x14ac:dyDescent="0.2">
      <c r="B125" s="88" t="s">
        <v>296</v>
      </c>
      <c r="C125" s="89" t="s">
        <v>297</v>
      </c>
      <c r="D125" s="90" t="s">
        <v>275</v>
      </c>
      <c r="E125" s="90">
        <v>1</v>
      </c>
      <c r="F125" s="91">
        <f t="shared" ref="F125:F136" si="14">G125/4.1868</f>
        <v>1.2596999109918081</v>
      </c>
      <c r="G125" s="91">
        <f>I181</f>
        <v>5.274111587340502</v>
      </c>
      <c r="H125" s="91">
        <f t="shared" si="11"/>
        <v>1.4650309964834727</v>
      </c>
      <c r="I125" s="91">
        <f t="shared" si="12"/>
        <v>0.12596999109918081</v>
      </c>
      <c r="J125" s="91">
        <f t="shared" si="13"/>
        <v>4.9988925586324342</v>
      </c>
      <c r="K125" s="92">
        <f>G125*L125</f>
        <v>0.28905552826879788</v>
      </c>
      <c r="L125" s="92">
        <f>L181/1000000</f>
        <v>5.4806487022879928E-2</v>
      </c>
      <c r="M125" s="91" t="s">
        <v>427</v>
      </c>
      <c r="N125" s="91" t="s">
        <v>423</v>
      </c>
      <c r="R125" s="88" t="s">
        <v>296</v>
      </c>
      <c r="S125" s="38">
        <v>75</v>
      </c>
      <c r="T125" s="38">
        <v>186</v>
      </c>
    </row>
    <row r="126" spans="2:20" x14ac:dyDescent="0.2">
      <c r="B126" s="83" t="s">
        <v>298</v>
      </c>
      <c r="C126" s="84" t="s">
        <v>299</v>
      </c>
      <c r="D126" s="85" t="s">
        <v>263</v>
      </c>
      <c r="E126" s="85">
        <v>1</v>
      </c>
      <c r="F126" s="86">
        <f t="shared" si="14"/>
        <v>6.4989968472341646</v>
      </c>
      <c r="G126" s="86">
        <v>27.21</v>
      </c>
      <c r="H126" s="86">
        <f t="shared" si="11"/>
        <v>7.5583333333333336</v>
      </c>
      <c r="I126" s="86">
        <f t="shared" si="12"/>
        <v>0.64989968472341653</v>
      </c>
      <c r="J126" s="86">
        <f t="shared" si="13"/>
        <v>25.790100241124641</v>
      </c>
      <c r="K126" s="87">
        <f t="shared" ref="K126:K136" si="15">G126*L126</f>
        <v>2.4359731614242124</v>
      </c>
      <c r="L126" s="87">
        <f>L210/1000000</f>
        <v>8.9524923242345178E-2</v>
      </c>
      <c r="M126" s="86" t="s">
        <v>427</v>
      </c>
      <c r="N126" s="86" t="s">
        <v>423</v>
      </c>
      <c r="R126" s="83" t="s">
        <v>298</v>
      </c>
      <c r="S126" s="125">
        <v>750</v>
      </c>
      <c r="T126" s="38">
        <v>1240</v>
      </c>
    </row>
    <row r="127" spans="2:20" x14ac:dyDescent="0.2">
      <c r="B127" s="88" t="s">
        <v>300</v>
      </c>
      <c r="C127" s="89" t="s">
        <v>301</v>
      </c>
      <c r="D127" s="90" t="s">
        <v>263</v>
      </c>
      <c r="E127" s="90">
        <v>1</v>
      </c>
      <c r="F127" s="91">
        <f>G127/4.1868</f>
        <v>4.8008025222126687</v>
      </c>
      <c r="G127" s="91">
        <v>20.100000000000001</v>
      </c>
      <c r="H127" s="91">
        <f t="shared" si="11"/>
        <v>5.5833333333333339</v>
      </c>
      <c r="I127" s="91">
        <f t="shared" si="12"/>
        <v>0.48008025222126688</v>
      </c>
      <c r="J127" s="91">
        <f t="shared" si="13"/>
        <v>19.051121457060102</v>
      </c>
      <c r="K127" s="92">
        <f t="shared" si="15"/>
        <v>1.7715339746783174</v>
      </c>
      <c r="L127" s="92">
        <f>L192/1000000</f>
        <v>8.8136018640712299E-2</v>
      </c>
      <c r="M127" s="91" t="s">
        <v>427</v>
      </c>
      <c r="N127" s="91" t="s">
        <v>424</v>
      </c>
      <c r="R127" s="88" t="s">
        <v>300</v>
      </c>
      <c r="S127" s="38">
        <v>25</v>
      </c>
      <c r="T127" s="38">
        <v>465</v>
      </c>
    </row>
    <row r="128" spans="2:20" x14ac:dyDescent="0.2">
      <c r="B128" s="83" t="s">
        <v>302</v>
      </c>
      <c r="C128" s="84" t="s">
        <v>303</v>
      </c>
      <c r="D128" s="85" t="s">
        <v>275</v>
      </c>
      <c r="E128" s="85">
        <v>1</v>
      </c>
      <c r="F128" s="86">
        <f t="shared" si="14"/>
        <v>1.3544592146893291</v>
      </c>
      <c r="G128" s="86">
        <f>I189</f>
        <v>5.6708498400612823</v>
      </c>
      <c r="H128" s="86">
        <f t="shared" si="11"/>
        <v>1.5752360666836895</v>
      </c>
      <c r="I128" s="86">
        <f t="shared" si="12"/>
        <v>0.13544592146893292</v>
      </c>
      <c r="J128" s="86">
        <f t="shared" si="13"/>
        <v>5.3749278143162851</v>
      </c>
      <c r="K128" s="87">
        <f t="shared" si="15"/>
        <v>0.42625722966545743</v>
      </c>
      <c r="L128" s="87">
        <f>L189/1000000</f>
        <v>7.5166375708662928E-2</v>
      </c>
      <c r="M128" s="86" t="s">
        <v>427</v>
      </c>
      <c r="N128" s="86" t="s">
        <v>424</v>
      </c>
      <c r="O128" s="38" t="s">
        <v>428</v>
      </c>
      <c r="P128" s="129">
        <f>H128/42000*1000000</f>
        <v>37.50562063532594</v>
      </c>
      <c r="Q128" s="129">
        <f>P128*0.3</f>
        <v>11.251686190597782</v>
      </c>
      <c r="R128" s="83" t="s">
        <v>302</v>
      </c>
      <c r="S128" s="38">
        <v>75</v>
      </c>
      <c r="T128" s="38">
        <v>186</v>
      </c>
    </row>
    <row r="129" spans="2:20" x14ac:dyDescent="0.2">
      <c r="B129" s="88" t="s">
        <v>304</v>
      </c>
      <c r="C129" s="89" t="s">
        <v>305</v>
      </c>
      <c r="D129" s="90" t="s">
        <v>256</v>
      </c>
      <c r="E129" s="90">
        <v>1</v>
      </c>
      <c r="F129" s="91">
        <f t="shared" si="14"/>
        <v>0.85984522785898543</v>
      </c>
      <c r="G129" s="91">
        <v>3.6</v>
      </c>
      <c r="H129" s="91">
        <f t="shared" si="11"/>
        <v>1</v>
      </c>
      <c r="I129" s="91">
        <f t="shared" si="12"/>
        <v>8.5984522785898548E-2</v>
      </c>
      <c r="J129" s="91">
        <f t="shared" si="13"/>
        <v>3.4121411564883757</v>
      </c>
      <c r="K129" s="92">
        <f t="shared" si="15"/>
        <v>0</v>
      </c>
      <c r="L129" s="92"/>
      <c r="M129" s="91" t="s">
        <v>427</v>
      </c>
      <c r="N129" s="91"/>
      <c r="R129" s="88" t="s">
        <v>304</v>
      </c>
      <c r="S129" s="38">
        <f>('Bases de Cálculo'!N166*0.6+'Bases de Cálculo'!N203*0.2+'Bases de Cálculo'!N192*0.2)</f>
        <v>170</v>
      </c>
      <c r="T129" s="38">
        <f>('Bases de Cálculo'!P166*0.6+'Bases de Cálculo'!P203*0.2+'Bases de Cálculo'!P192*0.2)</f>
        <v>359.6</v>
      </c>
    </row>
    <row r="130" spans="2:20" x14ac:dyDescent="0.2">
      <c r="B130" s="83" t="s">
        <v>306</v>
      </c>
      <c r="C130" s="84" t="s">
        <v>307</v>
      </c>
      <c r="D130" s="85" t="s">
        <v>256</v>
      </c>
      <c r="E130" s="85">
        <v>1</v>
      </c>
      <c r="F130" s="86">
        <f t="shared" si="14"/>
        <v>0.85984522785898543</v>
      </c>
      <c r="G130" s="86">
        <v>3.6</v>
      </c>
      <c r="H130" s="86">
        <f t="shared" si="11"/>
        <v>1</v>
      </c>
      <c r="I130" s="86">
        <f t="shared" si="12"/>
        <v>8.5984522785898548E-2</v>
      </c>
      <c r="J130" s="86">
        <f t="shared" si="13"/>
        <v>3.4121411564883757</v>
      </c>
      <c r="K130" s="87">
        <f t="shared" si="15"/>
        <v>0</v>
      </c>
      <c r="L130" s="87"/>
      <c r="M130" s="86" t="s">
        <v>427</v>
      </c>
      <c r="N130" s="86"/>
      <c r="R130" s="83" t="s">
        <v>306</v>
      </c>
      <c r="S130" s="38">
        <v>0</v>
      </c>
      <c r="T130" s="38">
        <v>0</v>
      </c>
    </row>
    <row r="131" spans="2:20" x14ac:dyDescent="0.2">
      <c r="B131" s="88" t="s">
        <v>308</v>
      </c>
      <c r="C131" s="89" t="s">
        <v>309</v>
      </c>
      <c r="D131" s="90" t="s">
        <v>275</v>
      </c>
      <c r="E131" s="90">
        <v>1</v>
      </c>
      <c r="F131" s="91">
        <f t="shared" si="14"/>
        <v>1.3042945965731128</v>
      </c>
      <c r="G131" s="91">
        <f>I183</f>
        <v>5.4608206169323079</v>
      </c>
      <c r="H131" s="91">
        <f t="shared" si="11"/>
        <v>1.51689461581453</v>
      </c>
      <c r="I131" s="91">
        <f t="shared" si="12"/>
        <v>0.13042945965731129</v>
      </c>
      <c r="J131" s="91">
        <f t="shared" si="13"/>
        <v>5.1758585486763815</v>
      </c>
      <c r="K131" s="92">
        <f t="shared" si="15"/>
        <v>0.42747960913735483</v>
      </c>
      <c r="L131" s="92">
        <f>L183/1000000</f>
        <v>7.8281203343664757E-2</v>
      </c>
      <c r="M131" s="91" t="s">
        <v>427</v>
      </c>
      <c r="N131" s="91" t="s">
        <v>424</v>
      </c>
      <c r="R131" s="88" t="s">
        <v>308</v>
      </c>
      <c r="S131" s="38">
        <v>75</v>
      </c>
      <c r="T131" s="38">
        <v>186</v>
      </c>
    </row>
    <row r="132" spans="2:20" x14ac:dyDescent="0.2">
      <c r="B132" s="83" t="s">
        <v>310</v>
      </c>
      <c r="C132" s="84" t="s">
        <v>311</v>
      </c>
      <c r="D132" s="85" t="s">
        <v>290</v>
      </c>
      <c r="E132" s="85">
        <v>1</v>
      </c>
      <c r="F132" s="86">
        <f t="shared" si="14"/>
        <v>1</v>
      </c>
      <c r="G132" s="86">
        <v>4.1867999999999999</v>
      </c>
      <c r="H132" s="86">
        <f t="shared" si="11"/>
        <v>1.163</v>
      </c>
      <c r="I132" s="86">
        <f t="shared" si="12"/>
        <v>0.1</v>
      </c>
      <c r="J132" s="86">
        <f t="shared" si="13"/>
        <v>3.9683201649959812</v>
      </c>
      <c r="K132" s="87">
        <f>G132*L132</f>
        <v>0.17075462526339016</v>
      </c>
      <c r="L132" s="87">
        <f>L158/1000000</f>
        <v>4.0784041574326496E-2</v>
      </c>
      <c r="M132" s="86" t="s">
        <v>427</v>
      </c>
      <c r="N132" s="86" t="s">
        <v>424</v>
      </c>
      <c r="R132" s="83" t="s">
        <v>310</v>
      </c>
      <c r="S132" s="38">
        <v>25</v>
      </c>
      <c r="T132" s="38">
        <v>31</v>
      </c>
    </row>
    <row r="133" spans="2:20" x14ac:dyDescent="0.2">
      <c r="B133" s="88" t="s">
        <v>312</v>
      </c>
      <c r="C133" s="89" t="s">
        <v>313</v>
      </c>
      <c r="D133" s="90" t="s">
        <v>275</v>
      </c>
      <c r="E133" s="90">
        <v>1</v>
      </c>
      <c r="F133" s="91">
        <f t="shared" si="14"/>
        <v>0.96882250080219201</v>
      </c>
      <c r="G133" s="91">
        <f>I190</f>
        <v>4.0562660463586173</v>
      </c>
      <c r="H133" s="91">
        <f t="shared" si="11"/>
        <v>1.1267405684329492</v>
      </c>
      <c r="I133" s="91">
        <f t="shared" si="12"/>
        <v>9.6882250080219209E-2</v>
      </c>
      <c r="J133" s="91">
        <f t="shared" si="13"/>
        <v>3.8445978662351732</v>
      </c>
      <c r="K133" s="92">
        <f t="shared" si="15"/>
        <v>0.19181813708539003</v>
      </c>
      <c r="L133" s="92">
        <f>L190/1000000</f>
        <v>4.7289338246831368E-2</v>
      </c>
      <c r="M133" s="91" t="s">
        <v>427</v>
      </c>
      <c r="N133" s="91" t="s">
        <v>424</v>
      </c>
      <c r="R133" s="88" t="s">
        <v>312</v>
      </c>
      <c r="S133" s="38">
        <v>25</v>
      </c>
      <c r="T133" s="38">
        <v>31</v>
      </c>
    </row>
    <row r="134" spans="2:20" x14ac:dyDescent="0.2">
      <c r="B134" s="83" t="s">
        <v>314</v>
      </c>
      <c r="C134" s="84" t="s">
        <v>315</v>
      </c>
      <c r="D134" s="85" t="s">
        <v>275</v>
      </c>
      <c r="E134" s="85">
        <v>1</v>
      </c>
      <c r="F134" s="86">
        <f t="shared" si="14"/>
        <v>1.273263288064878</v>
      </c>
      <c r="G134" s="86">
        <f>(I188*0.99+I178*0.01)</f>
        <v>5.3308987344700309</v>
      </c>
      <c r="H134" s="86">
        <f t="shared" si="11"/>
        <v>1.480805204019453</v>
      </c>
      <c r="I134" s="86">
        <f t="shared" si="12"/>
        <v>0.12732632880648781</v>
      </c>
      <c r="J134" s="86">
        <f t="shared" si="13"/>
        <v>5.0527163813769418</v>
      </c>
      <c r="K134" s="87">
        <f t="shared" si="15"/>
        <v>0.36886528553554315</v>
      </c>
      <c r="L134" s="87">
        <f>AVERAGE(L188*0.99+L178*0.01)/1000000</f>
        <v>6.919382714033373E-2</v>
      </c>
      <c r="M134" s="86" t="s">
        <v>427</v>
      </c>
      <c r="N134" s="86" t="s">
        <v>424</v>
      </c>
      <c r="O134" s="38" t="s">
        <v>428</v>
      </c>
      <c r="P134" s="129">
        <f>H134/42000*1000000</f>
        <v>35.257266762367934</v>
      </c>
      <c r="R134" s="83" t="s">
        <v>314</v>
      </c>
      <c r="S134" s="38">
        <v>25</v>
      </c>
      <c r="T134" s="38">
        <v>186</v>
      </c>
    </row>
    <row r="135" spans="2:20" x14ac:dyDescent="0.2">
      <c r="B135" s="88" t="s">
        <v>316</v>
      </c>
      <c r="C135" s="89" t="s">
        <v>317</v>
      </c>
      <c r="D135" s="90" t="str">
        <f>D132</f>
        <v>Tcal</v>
      </c>
      <c r="E135" s="90">
        <f t="shared" ref="E135:L135" si="16">E132</f>
        <v>1</v>
      </c>
      <c r="F135" s="91">
        <f t="shared" si="16"/>
        <v>1</v>
      </c>
      <c r="G135" s="91">
        <f t="shared" si="16"/>
        <v>4.1867999999999999</v>
      </c>
      <c r="H135" s="91">
        <f t="shared" si="16"/>
        <v>1.163</v>
      </c>
      <c r="I135" s="91">
        <f t="shared" si="16"/>
        <v>0.1</v>
      </c>
      <c r="J135" s="91">
        <f t="shared" si="16"/>
        <v>3.9683201649959812</v>
      </c>
      <c r="K135" s="92">
        <f t="shared" si="16"/>
        <v>0.17075462526339016</v>
      </c>
      <c r="L135" s="92">
        <f t="shared" si="16"/>
        <v>4.0784041574326496E-2</v>
      </c>
      <c r="M135" s="91" t="s">
        <v>427</v>
      </c>
      <c r="N135" s="91" t="s">
        <v>424</v>
      </c>
      <c r="R135" s="88" t="s">
        <v>316</v>
      </c>
      <c r="S135" s="38">
        <v>25</v>
      </c>
      <c r="T135" s="38">
        <v>31</v>
      </c>
    </row>
    <row r="136" spans="2:20" x14ac:dyDescent="0.2">
      <c r="B136" s="83" t="s">
        <v>318</v>
      </c>
      <c r="C136" s="84" t="s">
        <v>319</v>
      </c>
      <c r="D136" s="85" t="s">
        <v>275</v>
      </c>
      <c r="E136" s="85">
        <v>1</v>
      </c>
      <c r="F136" s="86">
        <f t="shared" si="14"/>
        <v>1.1253928529549111</v>
      </c>
      <c r="G136" s="86">
        <f>I175*0.05+I179*0.95</f>
        <v>4.7117947967516214</v>
      </c>
      <c r="H136" s="86">
        <f t="shared" si="11"/>
        <v>1.3088318879865615</v>
      </c>
      <c r="I136" s="86">
        <f t="shared" si="12"/>
        <v>0.11253928529549112</v>
      </c>
      <c r="J136" s="86">
        <f>H136*$H$151/$H$150</f>
        <v>4.4659191519233303</v>
      </c>
      <c r="K136" s="87">
        <f t="shared" si="15"/>
        <v>0.41338958040781071</v>
      </c>
      <c r="L136" s="87">
        <f>AVERAGE(L175*0.05+L179*0.95)/1000000</f>
        <v>8.7735056011523968E-2</v>
      </c>
      <c r="M136" s="86" t="s">
        <v>427</v>
      </c>
      <c r="N136" s="86" t="s">
        <v>424</v>
      </c>
      <c r="R136" s="83" t="s">
        <v>318</v>
      </c>
      <c r="S136" s="38">
        <v>75</v>
      </c>
      <c r="T136" s="38">
        <v>186</v>
      </c>
    </row>
    <row r="137" spans="2:20" x14ac:dyDescent="0.2">
      <c r="B137" s="88" t="s">
        <v>320</v>
      </c>
      <c r="C137" s="89" t="s">
        <v>321</v>
      </c>
      <c r="D137" s="90" t="str">
        <f>D132</f>
        <v>Tcal</v>
      </c>
      <c r="E137" s="90">
        <f t="shared" ref="E137:N137" si="17">E132</f>
        <v>1</v>
      </c>
      <c r="F137" s="91">
        <f t="shared" si="17"/>
        <v>1</v>
      </c>
      <c r="G137" s="91">
        <f t="shared" si="17"/>
        <v>4.1867999999999999</v>
      </c>
      <c r="H137" s="91">
        <f t="shared" si="17"/>
        <v>1.163</v>
      </c>
      <c r="I137" s="91">
        <f t="shared" si="17"/>
        <v>0.1</v>
      </c>
      <c r="J137" s="91">
        <f t="shared" si="17"/>
        <v>3.9683201649959812</v>
      </c>
      <c r="K137" s="92">
        <f t="shared" si="17"/>
        <v>0.17075462526339016</v>
      </c>
      <c r="L137" s="92">
        <f t="shared" si="17"/>
        <v>4.0784041574326496E-2</v>
      </c>
      <c r="M137" s="91" t="str">
        <f t="shared" si="17"/>
        <v>Secundario</v>
      </c>
      <c r="N137" s="91" t="str">
        <f t="shared" si="17"/>
        <v>No Renovable</v>
      </c>
      <c r="R137" s="88" t="s">
        <v>320</v>
      </c>
      <c r="S137" s="38">
        <v>75</v>
      </c>
      <c r="T137" s="38">
        <v>186</v>
      </c>
    </row>
    <row r="138" spans="2:20" x14ac:dyDescent="0.2">
      <c r="B138" s="83" t="s">
        <v>322</v>
      </c>
      <c r="C138" s="84" t="s">
        <v>323</v>
      </c>
      <c r="D138" s="85" t="s">
        <v>276</v>
      </c>
      <c r="E138" s="85">
        <v>1</v>
      </c>
      <c r="F138" s="86">
        <f>G138/4.1868</f>
        <v>0.32960733734594438</v>
      </c>
      <c r="G138" s="86">
        <v>1.38</v>
      </c>
      <c r="H138" s="86">
        <f>F138*4.1868/3.6</f>
        <v>0.3833333333333333</v>
      </c>
      <c r="I138" s="86">
        <f>F138*0.1</f>
        <v>3.296073373459444E-2</v>
      </c>
      <c r="J138" s="86">
        <f>H138*$H$151/$H$150</f>
        <v>1.3079874433205441</v>
      </c>
      <c r="K138" s="87">
        <f>G138*L138</f>
        <v>0</v>
      </c>
      <c r="L138" s="87">
        <f>L232/1000000</f>
        <v>0</v>
      </c>
      <c r="M138" s="86" t="s">
        <v>427</v>
      </c>
      <c r="N138" s="86"/>
      <c r="R138" s="83" t="s">
        <v>322</v>
      </c>
      <c r="S138" s="38">
        <v>0</v>
      </c>
      <c r="T138" s="38">
        <v>0</v>
      </c>
    </row>
    <row r="140" spans="2:20" x14ac:dyDescent="0.2">
      <c r="B140" s="400"/>
      <c r="C140" s="400"/>
      <c r="D140" s="400"/>
      <c r="E140" s="400"/>
      <c r="G140" s="401" t="s">
        <v>429</v>
      </c>
      <c r="H140" s="401"/>
      <c r="I140" s="401"/>
    </row>
    <row r="141" spans="2:20" x14ac:dyDescent="0.2">
      <c r="B141" s="83" t="str">
        <f t="array" ref="B141:B146">TRANSPOSE(E108:J108)</f>
        <v>UO</v>
      </c>
      <c r="C141" s="84" t="s">
        <v>430</v>
      </c>
      <c r="D141" s="85"/>
      <c r="E141" s="83">
        <v>2006</v>
      </c>
      <c r="G141" s="82" t="s">
        <v>431</v>
      </c>
      <c r="H141" s="82" t="s">
        <v>432</v>
      </c>
      <c r="I141" s="82" t="s">
        <v>433</v>
      </c>
      <c r="L141" s="82" t="s">
        <v>431</v>
      </c>
      <c r="M141" s="82" t="s">
        <v>433</v>
      </c>
    </row>
    <row r="142" spans="2:20" x14ac:dyDescent="0.2">
      <c r="B142" s="88" t="str">
        <v>TCal</v>
      </c>
      <c r="C142" s="89" t="s">
        <v>434</v>
      </c>
      <c r="D142" s="90"/>
      <c r="E142" s="88">
        <v>2007</v>
      </c>
      <c r="G142" s="137" t="s">
        <v>435</v>
      </c>
      <c r="H142" s="138">
        <v>35.31467</v>
      </c>
      <c r="I142" s="137" t="s">
        <v>436</v>
      </c>
      <c r="L142" s="137" t="s">
        <v>425</v>
      </c>
      <c r="M142" s="137" t="s">
        <v>436</v>
      </c>
    </row>
    <row r="143" spans="2:20" x14ac:dyDescent="0.2">
      <c r="B143" s="83" t="str">
        <v>TJ</v>
      </c>
      <c r="C143" s="84" t="s">
        <v>437</v>
      </c>
      <c r="D143" s="85"/>
      <c r="E143" s="83">
        <v>2008</v>
      </c>
      <c r="G143" s="111" t="s">
        <v>438</v>
      </c>
      <c r="H143" s="110">
        <f>1000000/H142</f>
        <v>28316.843963146195</v>
      </c>
      <c r="I143" s="111" t="s">
        <v>425</v>
      </c>
      <c r="L143" s="111" t="s">
        <v>439</v>
      </c>
      <c r="M143" s="111" t="s">
        <v>425</v>
      </c>
    </row>
    <row r="144" spans="2:20" x14ac:dyDescent="0.2">
      <c r="B144" s="88" t="str">
        <v>GWh</v>
      </c>
      <c r="C144" s="89" t="s">
        <v>440</v>
      </c>
      <c r="D144" s="90"/>
      <c r="E144" s="88">
        <v>2009</v>
      </c>
      <c r="G144" s="137" t="s">
        <v>441</v>
      </c>
      <c r="H144" s="138">
        <v>3.7854117999999999</v>
      </c>
      <c r="I144" s="137" t="s">
        <v>442</v>
      </c>
      <c r="L144" s="137" t="s">
        <v>428</v>
      </c>
      <c r="M144" s="137" t="s">
        <v>442</v>
      </c>
    </row>
    <row r="145" spans="2:18" ht="22.5" x14ac:dyDescent="0.2">
      <c r="B145" s="83" t="str">
        <v>KTEP</v>
      </c>
      <c r="C145" s="84" t="s">
        <v>443</v>
      </c>
      <c r="D145" s="85"/>
      <c r="E145" s="83">
        <v>2010</v>
      </c>
      <c r="G145" s="111" t="s">
        <v>444</v>
      </c>
      <c r="H145" s="110">
        <v>42</v>
      </c>
      <c r="I145" s="111" t="s">
        <v>428</v>
      </c>
      <c r="L145" s="111" t="s">
        <v>445</v>
      </c>
      <c r="M145" s="111" t="s">
        <v>428</v>
      </c>
    </row>
    <row r="146" spans="2:18" ht="22.5" x14ac:dyDescent="0.2">
      <c r="B146" s="88" t="str">
        <v>GBTU</v>
      </c>
      <c r="C146" s="89" t="s">
        <v>446</v>
      </c>
      <c r="D146" s="90"/>
      <c r="E146" s="88">
        <v>2011</v>
      </c>
      <c r="G146" s="137" t="s">
        <v>435</v>
      </c>
      <c r="H146" s="138">
        <f>1000/H144/H145</f>
        <v>6.2898107438466297</v>
      </c>
      <c r="I146" s="137" t="s">
        <v>445</v>
      </c>
      <c r="L146" s="137" t="s">
        <v>425</v>
      </c>
      <c r="M146" s="137" t="s">
        <v>445</v>
      </c>
      <c r="R146" s="38">
        <v>3517.2031699650001</v>
      </c>
    </row>
    <row r="147" spans="2:18" ht="24" x14ac:dyDescent="0.2">
      <c r="B147" s="83" t="s">
        <v>447</v>
      </c>
      <c r="C147" s="84" t="s">
        <v>448</v>
      </c>
      <c r="D147" s="85"/>
      <c r="E147" s="83">
        <v>2012</v>
      </c>
      <c r="G147" s="111" t="s">
        <v>435</v>
      </c>
      <c r="H147" s="110">
        <v>1000</v>
      </c>
      <c r="I147" s="111" t="s">
        <v>442</v>
      </c>
      <c r="L147" s="111" t="s">
        <v>425</v>
      </c>
      <c r="M147" s="111" t="s">
        <v>442</v>
      </c>
      <c r="R147" s="38">
        <v>1.055056</v>
      </c>
    </row>
    <row r="148" spans="2:18" x14ac:dyDescent="0.2">
      <c r="B148" s="88" t="s">
        <v>263</v>
      </c>
      <c r="C148" s="89" t="s">
        <v>449</v>
      </c>
      <c r="D148" s="90"/>
      <c r="E148" s="88">
        <v>2013</v>
      </c>
      <c r="G148" s="137" t="s">
        <v>450</v>
      </c>
      <c r="H148" s="138">
        <v>1000</v>
      </c>
      <c r="I148" s="137" t="s">
        <v>445</v>
      </c>
      <c r="L148" s="137" t="s">
        <v>276</v>
      </c>
      <c r="M148" s="137" t="s">
        <v>445</v>
      </c>
      <c r="R148" s="38">
        <f>+R146*R147</f>
        <v>3710.8463076905932</v>
      </c>
    </row>
    <row r="149" spans="2:18" x14ac:dyDescent="0.2">
      <c r="B149" s="83" t="s">
        <v>268</v>
      </c>
      <c r="C149" s="84" t="s">
        <v>451</v>
      </c>
      <c r="D149" s="85"/>
      <c r="E149" s="83">
        <v>2014</v>
      </c>
      <c r="G149" s="111" t="s">
        <v>452</v>
      </c>
      <c r="H149" s="139">
        <f>1/H144/H145/H148</f>
        <v>6.2898107438466298E-6</v>
      </c>
      <c r="I149" s="111" t="s">
        <v>276</v>
      </c>
      <c r="L149" s="111" t="s">
        <v>442</v>
      </c>
      <c r="M149" s="111" t="s">
        <v>276</v>
      </c>
    </row>
    <row r="150" spans="2:18" x14ac:dyDescent="0.2">
      <c r="B150" s="88" t="s">
        <v>276</v>
      </c>
      <c r="C150" s="89" t="s">
        <v>453</v>
      </c>
      <c r="D150" s="90"/>
      <c r="E150" s="88">
        <v>2015</v>
      </c>
      <c r="G150" s="137" t="s">
        <v>454</v>
      </c>
      <c r="H150" s="138">
        <v>1055.056</v>
      </c>
      <c r="I150" s="137" t="s">
        <v>455</v>
      </c>
      <c r="L150" s="137" t="s">
        <v>456</v>
      </c>
      <c r="M150" s="137" t="s">
        <v>455</v>
      </c>
    </row>
    <row r="151" spans="2:18" x14ac:dyDescent="0.2">
      <c r="E151" s="83">
        <v>2016</v>
      </c>
      <c r="G151" s="111" t="s">
        <v>457</v>
      </c>
      <c r="H151" s="110">
        <v>3600</v>
      </c>
      <c r="I151" s="111" t="s">
        <v>455</v>
      </c>
      <c r="L151" s="111" t="s">
        <v>458</v>
      </c>
      <c r="M151" s="111" t="s">
        <v>455</v>
      </c>
    </row>
    <row r="152" spans="2:18" x14ac:dyDescent="0.2">
      <c r="E152" s="88">
        <v>2017</v>
      </c>
      <c r="G152" s="137" t="s">
        <v>435</v>
      </c>
      <c r="H152" s="138">
        <f>H147/H144</f>
        <v>264.17205124155845</v>
      </c>
      <c r="I152" s="137" t="s">
        <v>428</v>
      </c>
      <c r="L152" s="137" t="s">
        <v>425</v>
      </c>
      <c r="M152" s="137" t="s">
        <v>428</v>
      </c>
    </row>
    <row r="153" spans="2:18" x14ac:dyDescent="0.2">
      <c r="E153" s="83">
        <v>2018</v>
      </c>
      <c r="G153" s="140"/>
      <c r="H153" s="141"/>
      <c r="I153" s="140"/>
      <c r="L153" s="140"/>
      <c r="M153" s="140"/>
    </row>
    <row r="155" spans="2:18" x14ac:dyDescent="0.2">
      <c r="C155" s="103"/>
      <c r="D155" s="103"/>
      <c r="E155" s="103" t="s">
        <v>324</v>
      </c>
      <c r="F155" s="103" t="s">
        <v>325</v>
      </c>
      <c r="G155" s="103"/>
      <c r="H155" s="103" t="s">
        <v>326</v>
      </c>
      <c r="I155" s="103"/>
      <c r="J155" s="103"/>
      <c r="K155" s="103"/>
      <c r="L155" s="103" t="s">
        <v>283</v>
      </c>
      <c r="M155" s="124" t="s">
        <v>459</v>
      </c>
      <c r="N155" s="125" t="s">
        <v>460</v>
      </c>
      <c r="O155" s="38" t="s">
        <v>461</v>
      </c>
      <c r="P155" s="38" t="s">
        <v>462</v>
      </c>
    </row>
    <row r="156" spans="2:18" x14ac:dyDescent="0.2">
      <c r="C156" s="78" t="s">
        <v>327</v>
      </c>
      <c r="D156" s="79"/>
      <c r="E156" s="82"/>
      <c r="F156" s="82" t="s">
        <v>328</v>
      </c>
      <c r="G156" s="82" t="s">
        <v>329</v>
      </c>
      <c r="H156" s="82" t="s">
        <v>330</v>
      </c>
      <c r="I156" s="82" t="s">
        <v>331</v>
      </c>
      <c r="J156" s="82" t="s">
        <v>332</v>
      </c>
      <c r="K156" s="82" t="s">
        <v>333</v>
      </c>
      <c r="L156" s="82" t="s">
        <v>334</v>
      </c>
      <c r="M156" s="124" t="s">
        <v>334</v>
      </c>
    </row>
    <row r="157" spans="2:18" x14ac:dyDescent="0.2">
      <c r="C157" s="104" t="s">
        <v>335</v>
      </c>
      <c r="D157" s="105"/>
      <c r="E157" s="106">
        <f>H157/F157</f>
        <v>1.0919058660269887</v>
      </c>
      <c r="F157" s="106">
        <v>20.148378049547535</v>
      </c>
      <c r="G157" s="106">
        <f t="shared" ref="G157:G173" si="18">H157*$H$143/1000000</f>
        <v>0.62297431020112526</v>
      </c>
      <c r="H157" s="106">
        <v>22.00013218323037</v>
      </c>
      <c r="I157" s="106">
        <f t="shared" ref="I157:I173" si="19">H157/($H$146*1000)</f>
        <v>3.4977415186543204E-3</v>
      </c>
      <c r="J157" s="106">
        <f t="shared" ref="J157:J173" si="20">G157*1000000/$H$150</f>
        <v>590.46563424228214</v>
      </c>
      <c r="K157" s="106">
        <f t="shared" ref="K157:K173" si="21">G157*1000/$H$151</f>
        <v>0.17304841950031258</v>
      </c>
      <c r="L157" s="107">
        <v>84364.418306302701</v>
      </c>
      <c r="M157" s="124">
        <v>1</v>
      </c>
      <c r="N157" s="125">
        <f>M157*25</f>
        <v>25</v>
      </c>
      <c r="O157" s="38">
        <v>0.1</v>
      </c>
      <c r="P157" s="38">
        <f>O157*310</f>
        <v>31</v>
      </c>
    </row>
    <row r="158" spans="2:18" x14ac:dyDescent="0.2">
      <c r="C158" s="108" t="s">
        <v>336</v>
      </c>
      <c r="D158" s="109"/>
      <c r="E158" s="110">
        <f t="shared" ref="E158:E173" si="22">H158/F158</f>
        <v>0.47283633381654921</v>
      </c>
      <c r="F158" s="110">
        <v>31.776669869184339</v>
      </c>
      <c r="G158" s="110">
        <f t="shared" si="18"/>
        <v>0.42546522682624327</v>
      </c>
      <c r="H158" s="110">
        <v>15.025164081843927</v>
      </c>
      <c r="I158" s="110">
        <f t="shared" si="19"/>
        <v>2.3888102033186231E-3</v>
      </c>
      <c r="J158" s="110">
        <f t="shared" si="20"/>
        <v>403.26316975235744</v>
      </c>
      <c r="K158" s="110">
        <f t="shared" si="21"/>
        <v>0.11818478522951202</v>
      </c>
      <c r="L158" s="111">
        <v>40784.041574326497</v>
      </c>
      <c r="M158" s="124">
        <v>1</v>
      </c>
      <c r="N158" s="125">
        <f t="shared" ref="N158:N216" si="23">M158*25</f>
        <v>25</v>
      </c>
      <c r="O158" s="38">
        <v>0.1</v>
      </c>
      <c r="P158" s="38">
        <f t="shared" ref="P158:P216" si="24">O158*310</f>
        <v>31</v>
      </c>
    </row>
    <row r="159" spans="2:18" x14ac:dyDescent="0.2">
      <c r="C159" s="104" t="s">
        <v>337</v>
      </c>
      <c r="D159" s="105"/>
      <c r="E159" s="106">
        <f t="shared" si="22"/>
        <v>0.82805816320750392</v>
      </c>
      <c r="F159" s="106">
        <v>46.703886147213531</v>
      </c>
      <c r="G159" s="106">
        <f t="shared" si="18"/>
        <v>1.0951124328137294</v>
      </c>
      <c r="H159" s="106">
        <v>38.673534177714025</v>
      </c>
      <c r="I159" s="106">
        <f t="shared" si="19"/>
        <v>6.148600610208923E-3</v>
      </c>
      <c r="J159" s="106">
        <f t="shared" si="20"/>
        <v>1037.966167496066</v>
      </c>
      <c r="K159" s="106">
        <f t="shared" si="21"/>
        <v>0.30419789800381369</v>
      </c>
      <c r="L159" s="107">
        <v>56647.701811453429</v>
      </c>
      <c r="M159" s="124">
        <v>1</v>
      </c>
      <c r="N159" s="125">
        <f t="shared" si="23"/>
        <v>25</v>
      </c>
      <c r="O159" s="38">
        <v>0.1</v>
      </c>
      <c r="P159" s="38">
        <f t="shared" si="24"/>
        <v>31</v>
      </c>
    </row>
    <row r="160" spans="2:18" x14ac:dyDescent="0.2">
      <c r="C160" s="108" t="s">
        <v>338</v>
      </c>
      <c r="D160" s="109"/>
      <c r="E160" s="110">
        <f t="shared" si="22"/>
        <v>0.68944210535051864</v>
      </c>
      <c r="F160" s="110">
        <v>48.581707173245775</v>
      </c>
      <c r="G160" s="110">
        <f t="shared" si="18"/>
        <v>0.94845214396863864</v>
      </c>
      <c r="H160" s="110">
        <v>33.494274475044961</v>
      </c>
      <c r="I160" s="110">
        <f t="shared" si="19"/>
        <v>5.3251641168715084E-3</v>
      </c>
      <c r="J160" s="110">
        <f t="shared" si="20"/>
        <v>898.9590542763973</v>
      </c>
      <c r="K160" s="110">
        <f t="shared" si="21"/>
        <v>0.26345892888017741</v>
      </c>
      <c r="L160" s="111">
        <v>54911.333346521977</v>
      </c>
      <c r="M160" s="124">
        <v>1</v>
      </c>
      <c r="N160" s="125">
        <f t="shared" si="23"/>
        <v>25</v>
      </c>
      <c r="O160" s="38">
        <v>0.1</v>
      </c>
      <c r="P160" s="38">
        <f t="shared" si="24"/>
        <v>31</v>
      </c>
    </row>
    <row r="161" spans="2:16" x14ac:dyDescent="0.2">
      <c r="C161" s="104" t="s">
        <v>339</v>
      </c>
      <c r="D161" s="105"/>
      <c r="E161" s="106">
        <f t="shared" si="22"/>
        <v>0.69906138957644803</v>
      </c>
      <c r="F161" s="106">
        <v>47.590537507391971</v>
      </c>
      <c r="G161" s="106">
        <f t="shared" si="18"/>
        <v>0.94206479292054834</v>
      </c>
      <c r="H161" s="106">
        <v>33.268707280607501</v>
      </c>
      <c r="I161" s="106">
        <f t="shared" si="19"/>
        <v>5.2893017986518171E-3</v>
      </c>
      <c r="J161" s="106">
        <f t="shared" si="20"/>
        <v>892.90501444525057</v>
      </c>
      <c r="K161" s="106">
        <f t="shared" si="21"/>
        <v>0.26168466470015234</v>
      </c>
      <c r="L161" s="107">
        <v>54869.575225054097</v>
      </c>
      <c r="M161" s="124">
        <v>1</v>
      </c>
      <c r="N161" s="125">
        <f t="shared" si="23"/>
        <v>25</v>
      </c>
      <c r="O161" s="38">
        <v>0.1</v>
      </c>
      <c r="P161" s="38">
        <f t="shared" si="24"/>
        <v>31</v>
      </c>
    </row>
    <row r="162" spans="2:16" x14ac:dyDescent="0.2">
      <c r="C162" s="108" t="s">
        <v>340</v>
      </c>
      <c r="D162" s="109"/>
      <c r="E162" s="110">
        <f t="shared" si="22"/>
        <v>0.79827746622006956</v>
      </c>
      <c r="F162" s="110">
        <v>46.674185425559152</v>
      </c>
      <c r="G162" s="110">
        <f t="shared" si="18"/>
        <v>1.0550558869557909</v>
      </c>
      <c r="H162" s="110">
        <v>37.258950479401058</v>
      </c>
      <c r="I162" s="110">
        <f t="shared" si="19"/>
        <v>5.9236997736142978E-3</v>
      </c>
      <c r="J162" s="110">
        <f t="shared" si="20"/>
        <v>999.99989285477818</v>
      </c>
      <c r="K162" s="110">
        <f t="shared" si="21"/>
        <v>0.2930710797099419</v>
      </c>
      <c r="L162" s="111">
        <v>54618.088800570877</v>
      </c>
      <c r="M162" s="124">
        <v>1</v>
      </c>
      <c r="N162" s="125">
        <f t="shared" si="23"/>
        <v>25</v>
      </c>
      <c r="O162" s="38">
        <v>0.1</v>
      </c>
      <c r="P162" s="38">
        <f t="shared" si="24"/>
        <v>31</v>
      </c>
    </row>
    <row r="163" spans="2:16" x14ac:dyDescent="0.2">
      <c r="C163" s="104" t="s">
        <v>341</v>
      </c>
      <c r="D163" s="105"/>
      <c r="E163" s="106">
        <f t="shared" si="22"/>
        <v>0.72219603487749551</v>
      </c>
      <c r="F163" s="106">
        <v>49.057537361627276</v>
      </c>
      <c r="G163" s="106">
        <f t="shared" si="18"/>
        <v>1.0032419661127179</v>
      </c>
      <c r="H163" s="106">
        <v>35.429158963421813</v>
      </c>
      <c r="I163" s="106">
        <f t="shared" si="19"/>
        <v>5.6327861689769339E-3</v>
      </c>
      <c r="J163" s="106">
        <f t="shared" si="20"/>
        <v>950.88977846931141</v>
      </c>
      <c r="K163" s="106">
        <f t="shared" si="21"/>
        <v>0.27867832392019937</v>
      </c>
      <c r="L163" s="107">
        <v>55801.045967069134</v>
      </c>
      <c r="M163" s="142">
        <v>1</v>
      </c>
      <c r="N163" s="125">
        <f t="shared" si="23"/>
        <v>25</v>
      </c>
      <c r="O163" s="38">
        <v>0.1</v>
      </c>
      <c r="P163" s="38">
        <f t="shared" si="24"/>
        <v>31</v>
      </c>
    </row>
    <row r="164" spans="2:16" x14ac:dyDescent="0.2">
      <c r="C164" s="108" t="s">
        <v>342</v>
      </c>
      <c r="D164" s="109"/>
      <c r="E164" s="110">
        <f t="shared" si="22"/>
        <v>0.81264331694746639</v>
      </c>
      <c r="F164" s="110">
        <v>46.681045476918939</v>
      </c>
      <c r="G164" s="110">
        <f t="shared" si="18"/>
        <v>1.0742005980783322</v>
      </c>
      <c r="H164" s="110">
        <v>37.935039634938931</v>
      </c>
      <c r="I164" s="110">
        <f t="shared" si="19"/>
        <v>6.0311893600377524E-3</v>
      </c>
      <c r="J164" s="110">
        <f t="shared" si="20"/>
        <v>1018.1455752854181</v>
      </c>
      <c r="K164" s="110">
        <f t="shared" si="21"/>
        <v>0.29838905502175894</v>
      </c>
      <c r="L164" s="111">
        <v>56979.995471723574</v>
      </c>
      <c r="M164" s="142">
        <v>1</v>
      </c>
      <c r="N164" s="125">
        <f t="shared" si="23"/>
        <v>25</v>
      </c>
      <c r="O164" s="38">
        <v>0.1</v>
      </c>
      <c r="P164" s="38">
        <f t="shared" si="24"/>
        <v>31</v>
      </c>
    </row>
    <row r="165" spans="2:16" x14ac:dyDescent="0.2">
      <c r="C165" s="104" t="s">
        <v>343</v>
      </c>
      <c r="D165" s="105"/>
      <c r="E165" s="106">
        <f t="shared" si="22"/>
        <v>0.69505471404304453</v>
      </c>
      <c r="F165" s="106">
        <v>48.205739070710145</v>
      </c>
      <c r="G165" s="106">
        <f t="shared" si="18"/>
        <v>0.94877358856888827</v>
      </c>
      <c r="H165" s="106">
        <v>33.50562618502606</v>
      </c>
      <c r="I165" s="106">
        <f t="shared" si="19"/>
        <v>5.3269688945418387E-3</v>
      </c>
      <c r="J165" s="106">
        <f t="shared" si="20"/>
        <v>899.26372492918688</v>
      </c>
      <c r="K165" s="106">
        <f t="shared" si="21"/>
        <v>0.26354821904691339</v>
      </c>
      <c r="L165" s="107">
        <v>54667.782262129222</v>
      </c>
      <c r="M165" s="142">
        <v>1</v>
      </c>
      <c r="N165" s="125">
        <f t="shared" si="23"/>
        <v>25</v>
      </c>
      <c r="O165" s="38">
        <v>0.1</v>
      </c>
      <c r="P165" s="38">
        <f t="shared" si="24"/>
        <v>31</v>
      </c>
    </row>
    <row r="166" spans="2:16" x14ac:dyDescent="0.2">
      <c r="B166" s="38" t="s">
        <v>4</v>
      </c>
      <c r="C166" s="108" t="s">
        <v>344</v>
      </c>
      <c r="D166" s="109"/>
      <c r="E166" s="110">
        <f t="shared" si="22"/>
        <v>0.7483337440478588</v>
      </c>
      <c r="F166" s="110">
        <v>47.642091166095256</v>
      </c>
      <c r="G166" s="110">
        <f t="shared" si="18"/>
        <v>1.0095573442026637</v>
      </c>
      <c r="H166" s="110">
        <v>35.652184456593481</v>
      </c>
      <c r="I166" s="110">
        <f t="shared" si="19"/>
        <v>5.6682443889861534E-3</v>
      </c>
      <c r="J166" s="110">
        <f t="shared" si="20"/>
        <v>956.87560110805839</v>
      </c>
      <c r="K166" s="110">
        <f t="shared" si="21"/>
        <v>0.28043259561185108</v>
      </c>
      <c r="L166" s="111">
        <v>55539.114956987069</v>
      </c>
      <c r="M166" s="142">
        <v>1</v>
      </c>
      <c r="N166" s="125">
        <f t="shared" si="23"/>
        <v>25</v>
      </c>
      <c r="O166" s="38">
        <v>0.1</v>
      </c>
      <c r="P166" s="38">
        <f t="shared" si="24"/>
        <v>31</v>
      </c>
    </row>
    <row r="167" spans="2:16" x14ac:dyDescent="0.2">
      <c r="C167" s="112" t="s">
        <v>345</v>
      </c>
      <c r="D167" s="113"/>
      <c r="E167" s="114">
        <f t="shared" si="22"/>
        <v>2.1573476378085363</v>
      </c>
      <c r="F167" s="114">
        <v>45.989410956446889</v>
      </c>
      <c r="G167" s="114">
        <f t="shared" si="18"/>
        <v>2.8094598389591834</v>
      </c>
      <c r="H167" s="114">
        <v>99.215147091096711</v>
      </c>
      <c r="I167" s="114">
        <f t="shared" si="19"/>
        <v>1.5773947918569672E-2</v>
      </c>
      <c r="J167" s="114">
        <f t="shared" si="20"/>
        <v>2662.8537622260651</v>
      </c>
      <c r="K167" s="114">
        <f t="shared" si="21"/>
        <v>0.78040551082199539</v>
      </c>
      <c r="L167" s="115">
        <v>47289.338246831365</v>
      </c>
      <c r="M167" s="142">
        <v>1</v>
      </c>
      <c r="N167" s="125">
        <f t="shared" si="23"/>
        <v>25</v>
      </c>
      <c r="O167" s="38">
        <v>0.1</v>
      </c>
      <c r="P167" s="38">
        <f t="shared" si="24"/>
        <v>31</v>
      </c>
    </row>
    <row r="168" spans="2:16" x14ac:dyDescent="0.2">
      <c r="C168" s="108" t="s">
        <v>346</v>
      </c>
      <c r="D168" s="109"/>
      <c r="E168" s="110">
        <f t="shared" si="22"/>
        <v>1.8613192388858333</v>
      </c>
      <c r="F168" s="110">
        <v>46.338572000000006</v>
      </c>
      <c r="G168" s="110">
        <f t="shared" si="18"/>
        <v>2.4423525850898904</v>
      </c>
      <c r="H168" s="110">
        <v>86.250875566096397</v>
      </c>
      <c r="I168" s="110">
        <f t="shared" si="19"/>
        <v>1.3712793449385786E-2</v>
      </c>
      <c r="J168" s="110">
        <f t="shared" si="20"/>
        <v>2314.903270622498</v>
      </c>
      <c r="K168" s="110">
        <f t="shared" si="21"/>
        <v>0.67843127363608069</v>
      </c>
      <c r="L168" s="111">
        <v>64686.225077500494</v>
      </c>
      <c r="M168" s="142">
        <v>1</v>
      </c>
      <c r="N168" s="125">
        <f t="shared" si="23"/>
        <v>25</v>
      </c>
      <c r="O168" s="38">
        <v>0.1</v>
      </c>
      <c r="P168" s="38">
        <f t="shared" si="24"/>
        <v>31</v>
      </c>
    </row>
    <row r="169" spans="2:16" x14ac:dyDescent="0.2">
      <c r="C169" s="104" t="s">
        <v>347</v>
      </c>
      <c r="D169" s="105"/>
      <c r="E169" s="106">
        <f t="shared" si="22"/>
        <v>0.92134120077745862</v>
      </c>
      <c r="F169" s="106">
        <v>44.036387540348116</v>
      </c>
      <c r="G169" s="106">
        <f t="shared" si="18"/>
        <v>1.1488862326711775</v>
      </c>
      <c r="H169" s="106">
        <v>40.57253817432585</v>
      </c>
      <c r="I169" s="106">
        <f t="shared" si="19"/>
        <v>6.4505181199638285E-3</v>
      </c>
      <c r="J169" s="106">
        <f t="shared" si="20"/>
        <v>1088.9338885056125</v>
      </c>
      <c r="K169" s="106">
        <f t="shared" si="21"/>
        <v>0.31913506463088265</v>
      </c>
      <c r="L169" s="107">
        <v>56225.456549044327</v>
      </c>
      <c r="M169" s="142">
        <v>1</v>
      </c>
      <c r="N169" s="125">
        <f t="shared" si="23"/>
        <v>25</v>
      </c>
      <c r="O169" s="38">
        <v>0.1</v>
      </c>
      <c r="P169" s="38">
        <f t="shared" si="24"/>
        <v>31</v>
      </c>
    </row>
    <row r="170" spans="2:16" x14ac:dyDescent="0.2">
      <c r="C170" s="108" t="s">
        <v>348</v>
      </c>
      <c r="D170" s="109"/>
      <c r="E170" s="110">
        <f t="shared" si="22"/>
        <v>0.74418245042342812</v>
      </c>
      <c r="F170" s="110">
        <v>47.747590968266259</v>
      </c>
      <c r="G170" s="110">
        <f t="shared" si="18"/>
        <v>1.0061801299171118</v>
      </c>
      <c r="H170" s="110">
        <v>35.53291924857993</v>
      </c>
      <c r="I170" s="110">
        <f t="shared" si="19"/>
        <v>5.6492827361049073E-3</v>
      </c>
      <c r="J170" s="110">
        <f t="shared" si="20"/>
        <v>953.67462003638843</v>
      </c>
      <c r="K170" s="110">
        <f t="shared" si="21"/>
        <v>0.27949448053253106</v>
      </c>
      <c r="L170" s="111">
        <v>54641.783771340481</v>
      </c>
      <c r="M170" s="142">
        <v>1</v>
      </c>
      <c r="N170" s="125">
        <f t="shared" si="23"/>
        <v>25</v>
      </c>
      <c r="O170" s="38">
        <v>0.1</v>
      </c>
      <c r="P170" s="38">
        <f t="shared" si="24"/>
        <v>31</v>
      </c>
    </row>
    <row r="171" spans="2:16" x14ac:dyDescent="0.2">
      <c r="C171" s="104" t="s">
        <v>349</v>
      </c>
      <c r="D171" s="105"/>
      <c r="E171" s="106">
        <f t="shared" si="22"/>
        <v>0.82898038028404941</v>
      </c>
      <c r="F171" s="106">
        <v>44.938157927686106</v>
      </c>
      <c r="G171" s="106">
        <f t="shared" si="18"/>
        <v>1.054883175976383</v>
      </c>
      <c r="H171" s="106">
        <v>37.252851248157896</v>
      </c>
      <c r="I171" s="106">
        <f t="shared" si="19"/>
        <v>5.9227300733337082E-3</v>
      </c>
      <c r="J171" s="106">
        <f t="shared" si="20"/>
        <v>999.83619445449619</v>
      </c>
      <c r="K171" s="106">
        <f t="shared" si="21"/>
        <v>0.29302310443788415</v>
      </c>
      <c r="L171" s="107">
        <v>56385.19473831357</v>
      </c>
      <c r="M171" s="142">
        <v>1</v>
      </c>
      <c r="N171" s="125">
        <f t="shared" si="23"/>
        <v>25</v>
      </c>
      <c r="O171" s="38">
        <v>0.1</v>
      </c>
      <c r="P171" s="38">
        <f t="shared" si="24"/>
        <v>31</v>
      </c>
    </row>
    <row r="172" spans="2:16" x14ac:dyDescent="0.2">
      <c r="C172" s="108" t="s">
        <v>350</v>
      </c>
      <c r="D172" s="109"/>
      <c r="E172" s="110">
        <f t="shared" si="22"/>
        <v>0.82463870845783294</v>
      </c>
      <c r="F172" s="110">
        <v>46.648620259590245</v>
      </c>
      <c r="G172" s="110">
        <f t="shared" si="18"/>
        <v>1.0892996582499115</v>
      </c>
      <c r="H172" s="110">
        <v>38.468257962208398</v>
      </c>
      <c r="I172" s="110">
        <f t="shared" si="19"/>
        <v>6.1159642998546799E-3</v>
      </c>
      <c r="J172" s="110">
        <f t="shared" si="20"/>
        <v>1032.456721017568</v>
      </c>
      <c r="K172" s="110">
        <f t="shared" si="21"/>
        <v>0.3025832384027532</v>
      </c>
      <c r="L172" s="111">
        <v>56642.073852843634</v>
      </c>
      <c r="M172" s="142">
        <v>1</v>
      </c>
      <c r="N172" s="125">
        <f t="shared" si="23"/>
        <v>25</v>
      </c>
      <c r="O172" s="38">
        <v>0.1</v>
      </c>
      <c r="P172" s="38">
        <f t="shared" si="24"/>
        <v>31</v>
      </c>
    </row>
    <row r="173" spans="2:16" x14ac:dyDescent="0.2">
      <c r="C173" s="104" t="s">
        <v>351</v>
      </c>
      <c r="D173" s="105"/>
      <c r="E173" s="106">
        <f t="shared" si="22"/>
        <v>0.82805816320750392</v>
      </c>
      <c r="F173" s="106">
        <v>46.703886147213531</v>
      </c>
      <c r="G173" s="106">
        <f t="shared" si="18"/>
        <v>1.0951124328137294</v>
      </c>
      <c r="H173" s="106">
        <v>38.673534177714025</v>
      </c>
      <c r="I173" s="106">
        <f t="shared" si="19"/>
        <v>6.148600610208923E-3</v>
      </c>
      <c r="J173" s="106">
        <f t="shared" si="20"/>
        <v>1037.966167496066</v>
      </c>
      <c r="K173" s="106">
        <f t="shared" si="21"/>
        <v>0.30419789800381369</v>
      </c>
      <c r="L173" s="107">
        <v>56647.701811453429</v>
      </c>
      <c r="M173" s="142">
        <v>1</v>
      </c>
      <c r="N173" s="125">
        <f t="shared" si="23"/>
        <v>25</v>
      </c>
      <c r="O173" s="38">
        <v>0.1</v>
      </c>
      <c r="P173" s="38">
        <f t="shared" si="24"/>
        <v>31</v>
      </c>
    </row>
    <row r="174" spans="2:16" x14ac:dyDescent="0.2">
      <c r="C174" s="78" t="s">
        <v>352</v>
      </c>
      <c r="D174" s="79"/>
      <c r="E174" s="82" t="s">
        <v>353</v>
      </c>
      <c r="F174" s="82" t="s">
        <v>354</v>
      </c>
      <c r="G174" s="82" t="s">
        <v>355</v>
      </c>
      <c r="H174" s="82" t="s">
        <v>356</v>
      </c>
      <c r="I174" s="82" t="s">
        <v>331</v>
      </c>
      <c r="J174" s="82" t="s">
        <v>357</v>
      </c>
      <c r="K174" s="82" t="s">
        <v>358</v>
      </c>
      <c r="L174" s="116" t="s">
        <v>334</v>
      </c>
      <c r="M174" s="142"/>
      <c r="O174" s="142"/>
    </row>
    <row r="175" spans="2:16" x14ac:dyDescent="0.2">
      <c r="C175" s="104" t="s">
        <v>359</v>
      </c>
      <c r="D175" s="105"/>
      <c r="E175" s="106">
        <v>0.80300000000000005</v>
      </c>
      <c r="F175" s="106">
        <v>42816.831863606341</v>
      </c>
      <c r="G175" s="106">
        <f t="shared" ref="G175:G190" si="25">E175*$H$144</f>
        <v>3.0396856753999999</v>
      </c>
      <c r="H175" s="106">
        <f>E175*F175</f>
        <v>34381.915986475891</v>
      </c>
      <c r="I175" s="106">
        <f t="shared" ref="I175:I190" si="26">H175/($H$149*1000000000)</f>
        <v>5.4662878402362081</v>
      </c>
      <c r="J175" s="106">
        <f t="shared" ref="J175:J190" si="27">I175*1000000/$H$150</f>
        <v>5181.0404758005343</v>
      </c>
      <c r="K175" s="106">
        <f t="shared" ref="K175:K190" si="28">I175*1000/$H$151</f>
        <v>1.5184132889545023</v>
      </c>
      <c r="L175" s="107">
        <v>73939.639375102066</v>
      </c>
      <c r="M175" s="142">
        <v>3</v>
      </c>
      <c r="N175" s="125">
        <f t="shared" si="23"/>
        <v>75</v>
      </c>
      <c r="O175" s="142">
        <v>0.6</v>
      </c>
      <c r="P175" s="38">
        <f t="shared" si="24"/>
        <v>186</v>
      </c>
    </row>
    <row r="176" spans="2:16" x14ac:dyDescent="0.2">
      <c r="C176" s="108" t="s">
        <v>88</v>
      </c>
      <c r="D176" s="109"/>
      <c r="E176" s="110">
        <v>0.97</v>
      </c>
      <c r="F176" s="110">
        <v>39346.885349170327</v>
      </c>
      <c r="G176" s="110">
        <f t="shared" si="25"/>
        <v>3.671849446</v>
      </c>
      <c r="H176" s="110">
        <f t="shared" ref="H176:H190" si="29">E176*F176</f>
        <v>38166.478788695218</v>
      </c>
      <c r="I176" s="110">
        <f t="shared" si="26"/>
        <v>6.0679852451894165</v>
      </c>
      <c r="J176" s="110">
        <f t="shared" si="27"/>
        <v>5751.3394977986154</v>
      </c>
      <c r="K176" s="110">
        <f t="shared" si="28"/>
        <v>1.6855514569970602</v>
      </c>
      <c r="L176" s="111">
        <v>80460.272244806489</v>
      </c>
      <c r="M176" s="142">
        <v>3</v>
      </c>
      <c r="N176" s="125">
        <f t="shared" si="23"/>
        <v>75</v>
      </c>
      <c r="O176" s="142">
        <v>0.6</v>
      </c>
      <c r="P176" s="38">
        <f t="shared" si="24"/>
        <v>186</v>
      </c>
    </row>
    <row r="177" spans="3:16" x14ac:dyDescent="0.2">
      <c r="C177" s="104" t="s">
        <v>360</v>
      </c>
      <c r="D177" s="105"/>
      <c r="E177" s="106">
        <v>0.94140000000000001</v>
      </c>
      <c r="F177" s="106">
        <v>40670.462586675276</v>
      </c>
      <c r="G177" s="106">
        <f t="shared" si="25"/>
        <v>3.5635866685199997</v>
      </c>
      <c r="H177" s="106">
        <f t="shared" si="29"/>
        <v>38287.173479096105</v>
      </c>
      <c r="I177" s="106">
        <f t="shared" si="26"/>
        <v>6.0871741676095334</v>
      </c>
      <c r="J177" s="106">
        <f t="shared" si="27"/>
        <v>5769.5270844481556</v>
      </c>
      <c r="K177" s="106">
        <f t="shared" si="28"/>
        <v>1.6908817132248704</v>
      </c>
      <c r="L177" s="107">
        <v>77841.777688967137</v>
      </c>
      <c r="M177" s="142">
        <v>3</v>
      </c>
      <c r="N177" s="125">
        <f t="shared" si="23"/>
        <v>75</v>
      </c>
      <c r="O177" s="142">
        <v>0.6</v>
      </c>
      <c r="P177" s="38">
        <f t="shared" si="24"/>
        <v>186</v>
      </c>
    </row>
    <row r="178" spans="3:16" x14ac:dyDescent="0.2">
      <c r="C178" s="108" t="s">
        <v>361</v>
      </c>
      <c r="D178" s="109"/>
      <c r="E178" s="110">
        <v>0.69599999999999995</v>
      </c>
      <c r="F178" s="110">
        <v>43030.226535559123</v>
      </c>
      <c r="G178" s="110">
        <f t="shared" si="25"/>
        <v>2.6346466127999997</v>
      </c>
      <c r="H178" s="110">
        <f t="shared" si="29"/>
        <v>29949.037668749148</v>
      </c>
      <c r="I178" s="110">
        <f t="shared" si="26"/>
        <v>4.7615165047769556</v>
      </c>
      <c r="J178" s="110">
        <f t="shared" si="27"/>
        <v>4513.0462314578144</v>
      </c>
      <c r="K178" s="110">
        <f t="shared" si="28"/>
        <v>1.3226434735491543</v>
      </c>
      <c r="L178" s="111">
        <v>56337.812381502488</v>
      </c>
      <c r="M178" s="142">
        <v>3</v>
      </c>
      <c r="N178" s="125">
        <f t="shared" si="23"/>
        <v>75</v>
      </c>
      <c r="O178" s="142">
        <v>0.6</v>
      </c>
      <c r="P178" s="38">
        <f t="shared" si="24"/>
        <v>186</v>
      </c>
    </row>
    <row r="179" spans="3:16" x14ac:dyDescent="0.2">
      <c r="C179" s="104" t="s">
        <v>362</v>
      </c>
      <c r="D179" s="105"/>
      <c r="E179" s="106">
        <v>0.82599999999999996</v>
      </c>
      <c r="F179" s="106">
        <v>35576.910585045494</v>
      </c>
      <c r="G179" s="106">
        <f t="shared" si="25"/>
        <v>3.1267501467999996</v>
      </c>
      <c r="H179" s="106">
        <f t="shared" si="29"/>
        <v>29386.528143247579</v>
      </c>
      <c r="I179" s="106">
        <f t="shared" si="26"/>
        <v>4.672084636568222</v>
      </c>
      <c r="J179" s="106">
        <f t="shared" si="27"/>
        <v>4428.2811875087409</v>
      </c>
      <c r="K179" s="106">
        <f t="shared" si="28"/>
        <v>1.2978012879356171</v>
      </c>
      <c r="L179" s="107">
        <v>88461.130571335641</v>
      </c>
      <c r="M179" s="142">
        <v>3</v>
      </c>
      <c r="N179" s="125">
        <f t="shared" si="23"/>
        <v>75</v>
      </c>
      <c r="O179" s="142">
        <v>0.6</v>
      </c>
      <c r="P179" s="38">
        <f t="shared" si="24"/>
        <v>186</v>
      </c>
    </row>
    <row r="180" spans="3:16" x14ac:dyDescent="0.2">
      <c r="C180" s="108" t="s">
        <v>363</v>
      </c>
      <c r="D180" s="109"/>
      <c r="E180" s="110">
        <v>0.86070000000000002</v>
      </c>
      <c r="F180" s="110">
        <v>42149.657430561099</v>
      </c>
      <c r="G180" s="110">
        <f t="shared" si="25"/>
        <v>3.2581039362599999</v>
      </c>
      <c r="H180" s="110">
        <f t="shared" si="29"/>
        <v>36278.210150483937</v>
      </c>
      <c r="I180" s="110">
        <f t="shared" si="26"/>
        <v>5.7677745210339104</v>
      </c>
      <c r="J180" s="110">
        <f t="shared" si="27"/>
        <v>5466.7946734902316</v>
      </c>
      <c r="K180" s="110">
        <f t="shared" si="28"/>
        <v>1.6021595891760863</v>
      </c>
      <c r="L180" s="111">
        <v>74831.822793995394</v>
      </c>
      <c r="M180" s="142">
        <v>3</v>
      </c>
      <c r="N180" s="125">
        <f t="shared" si="23"/>
        <v>75</v>
      </c>
      <c r="O180" s="142">
        <v>0.6</v>
      </c>
      <c r="P180" s="38">
        <f t="shared" si="24"/>
        <v>186</v>
      </c>
    </row>
    <row r="181" spans="3:16" x14ac:dyDescent="0.2">
      <c r="C181" s="104" t="s">
        <v>364</v>
      </c>
      <c r="D181" s="105"/>
      <c r="E181" s="106">
        <v>0.87509999999999999</v>
      </c>
      <c r="F181" s="106">
        <v>37907.854789510107</v>
      </c>
      <c r="G181" s="106">
        <f t="shared" si="25"/>
        <v>3.31261386618</v>
      </c>
      <c r="H181" s="106">
        <f t="shared" si="29"/>
        <v>33173.163726300292</v>
      </c>
      <c r="I181" s="106">
        <f t="shared" si="26"/>
        <v>5.274111587340502</v>
      </c>
      <c r="J181" s="106">
        <f t="shared" si="27"/>
        <v>4998.8925586324349</v>
      </c>
      <c r="K181" s="106">
        <f t="shared" si="28"/>
        <v>1.4650309964834729</v>
      </c>
      <c r="L181" s="107">
        <v>54806.487022879926</v>
      </c>
      <c r="M181" s="142">
        <v>3</v>
      </c>
      <c r="N181" s="125">
        <f t="shared" si="23"/>
        <v>75</v>
      </c>
      <c r="O181" s="142">
        <v>0.6</v>
      </c>
      <c r="P181" s="38">
        <f t="shared" si="24"/>
        <v>186</v>
      </c>
    </row>
    <row r="182" spans="3:16" x14ac:dyDescent="0.2">
      <c r="C182" s="108" t="s">
        <v>365</v>
      </c>
      <c r="D182" s="109"/>
      <c r="E182" s="110">
        <v>0.82079999999999997</v>
      </c>
      <c r="F182" s="110">
        <v>22480.19962297516</v>
      </c>
      <c r="G182" s="110">
        <f t="shared" si="25"/>
        <v>3.1070660054399997</v>
      </c>
      <c r="H182" s="110">
        <f t="shared" si="29"/>
        <v>18451.74785053801</v>
      </c>
      <c r="I182" s="110">
        <f t="shared" si="26"/>
        <v>2.9335934898501512</v>
      </c>
      <c r="J182" s="110">
        <f t="shared" si="27"/>
        <v>2780.5097453122407</v>
      </c>
      <c r="K182" s="110">
        <f t="shared" si="28"/>
        <v>0.81488708051393099</v>
      </c>
      <c r="L182" s="111">
        <v>84758.116120746723</v>
      </c>
      <c r="M182" s="142">
        <v>3</v>
      </c>
      <c r="N182" s="125">
        <f t="shared" si="23"/>
        <v>75</v>
      </c>
      <c r="O182" s="142">
        <v>0.6</v>
      </c>
      <c r="P182" s="38">
        <f t="shared" si="24"/>
        <v>186</v>
      </c>
    </row>
    <row r="183" spans="3:16" x14ac:dyDescent="0.2">
      <c r="C183" s="104" t="s">
        <v>366</v>
      </c>
      <c r="D183" s="105"/>
      <c r="E183" s="106">
        <v>0.84930000000000005</v>
      </c>
      <c r="F183" s="106">
        <v>40442.162000000004</v>
      </c>
      <c r="G183" s="106">
        <f t="shared" si="25"/>
        <v>3.21495024174</v>
      </c>
      <c r="H183" s="106">
        <f t="shared" si="29"/>
        <v>34347.528186600008</v>
      </c>
      <c r="I183" s="106">
        <f t="shared" si="26"/>
        <v>5.4608206169323079</v>
      </c>
      <c r="J183" s="106">
        <f t="shared" si="27"/>
        <v>5175.8585486763814</v>
      </c>
      <c r="K183" s="106">
        <f t="shared" si="28"/>
        <v>1.5168946158145298</v>
      </c>
      <c r="L183" s="107">
        <v>78281.203343664762</v>
      </c>
      <c r="M183" s="142">
        <v>3</v>
      </c>
      <c r="N183" s="125">
        <f t="shared" si="23"/>
        <v>75</v>
      </c>
      <c r="O183" s="142">
        <v>0.6</v>
      </c>
      <c r="P183" s="38">
        <f t="shared" si="24"/>
        <v>186</v>
      </c>
    </row>
    <row r="184" spans="3:16" x14ac:dyDescent="0.2">
      <c r="C184" s="108" t="s">
        <v>367</v>
      </c>
      <c r="D184" s="109"/>
      <c r="E184" s="110">
        <v>0.74050000000000005</v>
      </c>
      <c r="F184" s="110">
        <v>45329.53267685703</v>
      </c>
      <c r="G184" s="110">
        <f t="shared" si="25"/>
        <v>2.8030974379</v>
      </c>
      <c r="H184" s="110">
        <f t="shared" si="29"/>
        <v>33566.518947212637</v>
      </c>
      <c r="I184" s="110">
        <f t="shared" si="26"/>
        <v>5.336650070123496</v>
      </c>
      <c r="J184" s="110">
        <f t="shared" si="27"/>
        <v>5058.1675950124891</v>
      </c>
      <c r="K184" s="110">
        <f t="shared" si="28"/>
        <v>1.4824027972565268</v>
      </c>
      <c r="L184" s="111">
        <v>69323.685875271418</v>
      </c>
      <c r="M184" s="142">
        <v>3</v>
      </c>
      <c r="N184" s="125">
        <f t="shared" si="23"/>
        <v>75</v>
      </c>
      <c r="O184" s="142">
        <v>0.6</v>
      </c>
      <c r="P184" s="38">
        <f t="shared" si="24"/>
        <v>186</v>
      </c>
    </row>
    <row r="185" spans="3:16" x14ac:dyDescent="0.2">
      <c r="C185" s="104" t="s">
        <v>368</v>
      </c>
      <c r="D185" s="105"/>
      <c r="E185" s="106">
        <v>0.85760000000000003</v>
      </c>
      <c r="F185" s="106">
        <v>41869.435674091314</v>
      </c>
      <c r="G185" s="106">
        <f t="shared" si="25"/>
        <v>3.2463691596799999</v>
      </c>
      <c r="H185" s="106">
        <f>E185*F185</f>
        <v>35907.228034100714</v>
      </c>
      <c r="I185" s="106">
        <f t="shared" si="26"/>
        <v>5.7087930776341773</v>
      </c>
      <c r="J185" s="106">
        <f t="shared" si="27"/>
        <v>5410.8910594643103</v>
      </c>
      <c r="K185" s="106">
        <f t="shared" si="28"/>
        <v>1.5857758548983827</v>
      </c>
      <c r="L185" s="107">
        <v>65207.202864739491</v>
      </c>
      <c r="M185" s="142">
        <v>1</v>
      </c>
      <c r="N185" s="125">
        <f t="shared" si="23"/>
        <v>25</v>
      </c>
      <c r="O185" s="142">
        <v>0.6</v>
      </c>
      <c r="P185" s="38">
        <f t="shared" si="24"/>
        <v>186</v>
      </c>
    </row>
    <row r="186" spans="3:16" x14ac:dyDescent="0.2">
      <c r="C186" s="108" t="s">
        <v>369</v>
      </c>
      <c r="D186" s="109"/>
      <c r="E186" s="110">
        <v>0.85189999999999999</v>
      </c>
      <c r="F186" s="110">
        <v>42418.466233751533</v>
      </c>
      <c r="G186" s="110">
        <f t="shared" si="25"/>
        <v>3.22479231242</v>
      </c>
      <c r="H186" s="110">
        <f t="shared" si="29"/>
        <v>36136.291384532931</v>
      </c>
      <c r="I186" s="110">
        <f t="shared" si="26"/>
        <v>5.7452112402404705</v>
      </c>
      <c r="J186" s="110">
        <f t="shared" si="27"/>
        <v>5445.4088126511488</v>
      </c>
      <c r="K186" s="110">
        <f t="shared" si="28"/>
        <v>1.5958920111779082</v>
      </c>
      <c r="L186" s="111">
        <v>74193.482509376976</v>
      </c>
      <c r="M186" s="142">
        <v>1</v>
      </c>
      <c r="N186" s="125">
        <f t="shared" si="23"/>
        <v>25</v>
      </c>
      <c r="O186" s="142">
        <v>0.6</v>
      </c>
      <c r="P186" s="38">
        <f t="shared" si="24"/>
        <v>186</v>
      </c>
    </row>
    <row r="187" spans="3:16" x14ac:dyDescent="0.2">
      <c r="C187" s="104" t="s">
        <v>370</v>
      </c>
      <c r="D187" s="105"/>
      <c r="E187" s="106">
        <v>0.74119999999999997</v>
      </c>
      <c r="F187" s="106">
        <v>40659.333347540545</v>
      </c>
      <c r="G187" s="106">
        <f t="shared" si="25"/>
        <v>2.8057472261599998</v>
      </c>
      <c r="H187" s="106">
        <f t="shared" si="29"/>
        <v>30136.69787719705</v>
      </c>
      <c r="I187" s="106">
        <f t="shared" si="26"/>
        <v>4.7913520938098202</v>
      </c>
      <c r="J187" s="106">
        <f t="shared" si="27"/>
        <v>4541.3249095875663</v>
      </c>
      <c r="K187" s="106">
        <f t="shared" si="28"/>
        <v>1.3309311371693944</v>
      </c>
      <c r="L187" s="107">
        <v>66778.409255501349</v>
      </c>
      <c r="M187" s="142">
        <v>3</v>
      </c>
      <c r="N187" s="125">
        <f t="shared" si="23"/>
        <v>75</v>
      </c>
      <c r="O187" s="142">
        <v>0.6</v>
      </c>
      <c r="P187" s="38">
        <f t="shared" si="24"/>
        <v>186</v>
      </c>
    </row>
    <row r="188" spans="3:16" x14ac:dyDescent="0.2">
      <c r="C188" s="108" t="s">
        <v>371</v>
      </c>
      <c r="D188" s="109"/>
      <c r="E188" s="110">
        <v>0.74050000000000016</v>
      </c>
      <c r="F188" s="110">
        <v>45329.53267685703</v>
      </c>
      <c r="G188" s="110">
        <f t="shared" si="25"/>
        <v>2.8030974379000004</v>
      </c>
      <c r="H188" s="110">
        <f t="shared" si="29"/>
        <v>33566.518947212637</v>
      </c>
      <c r="I188" s="110">
        <f t="shared" si="26"/>
        <v>5.336650070123496</v>
      </c>
      <c r="J188" s="110">
        <f t="shared" si="27"/>
        <v>5058.1675950124891</v>
      </c>
      <c r="K188" s="110">
        <f t="shared" si="28"/>
        <v>1.4824027972565268</v>
      </c>
      <c r="L188" s="111">
        <v>69323.685875271418</v>
      </c>
      <c r="M188" s="142">
        <v>1</v>
      </c>
      <c r="N188" s="125">
        <f t="shared" si="23"/>
        <v>25</v>
      </c>
      <c r="O188" s="142">
        <v>0.6</v>
      </c>
      <c r="P188" s="38">
        <f t="shared" si="24"/>
        <v>186</v>
      </c>
    </row>
    <row r="189" spans="3:16" x14ac:dyDescent="0.2">
      <c r="C189" s="104" t="s">
        <v>372</v>
      </c>
      <c r="D189" s="105"/>
      <c r="E189" s="106">
        <v>0.85189999999999999</v>
      </c>
      <c r="F189" s="106">
        <v>41869.435674091314</v>
      </c>
      <c r="G189" s="106">
        <f t="shared" si="25"/>
        <v>3.22479231242</v>
      </c>
      <c r="H189" s="106">
        <f t="shared" si="29"/>
        <v>35668.572250758392</v>
      </c>
      <c r="I189" s="106">
        <f t="shared" si="26"/>
        <v>5.6708498400612823</v>
      </c>
      <c r="J189" s="106">
        <f t="shared" si="27"/>
        <v>5374.9278143162855</v>
      </c>
      <c r="K189" s="106">
        <f t="shared" si="28"/>
        <v>1.5752360666836895</v>
      </c>
      <c r="L189" s="107">
        <v>75166.375708662934</v>
      </c>
      <c r="M189" s="142">
        <v>1</v>
      </c>
      <c r="N189" s="125">
        <f t="shared" si="23"/>
        <v>25</v>
      </c>
      <c r="O189" s="142">
        <v>0.6</v>
      </c>
      <c r="P189" s="38">
        <f t="shared" si="24"/>
        <v>186</v>
      </c>
    </row>
    <row r="190" spans="3:16" x14ac:dyDescent="0.2">
      <c r="C190" s="117" t="s">
        <v>373</v>
      </c>
      <c r="D190" s="118"/>
      <c r="E190" s="119">
        <f>2.1/H144</f>
        <v>0.55476130760727282</v>
      </c>
      <c r="F190" s="119">
        <v>45989.410956446904</v>
      </c>
      <c r="G190" s="119">
        <f t="shared" si="25"/>
        <v>2.1</v>
      </c>
      <c r="H190" s="119">
        <f t="shared" si="29"/>
        <v>25513.145758286722</v>
      </c>
      <c r="I190" s="119">
        <f t="shared" si="26"/>
        <v>4.0562660463586173</v>
      </c>
      <c r="J190" s="119">
        <f t="shared" si="27"/>
        <v>3844.5978662351736</v>
      </c>
      <c r="K190" s="119">
        <f t="shared" si="28"/>
        <v>1.1267405684329492</v>
      </c>
      <c r="L190" s="120">
        <v>47289.338246831365</v>
      </c>
      <c r="M190" s="142">
        <v>1</v>
      </c>
      <c r="N190" s="125">
        <f t="shared" si="23"/>
        <v>25</v>
      </c>
      <c r="O190" s="142">
        <v>0.1</v>
      </c>
      <c r="P190" s="38">
        <f t="shared" si="24"/>
        <v>31</v>
      </c>
    </row>
    <row r="191" spans="3:16" x14ac:dyDescent="0.2">
      <c r="C191" s="78" t="s">
        <v>374</v>
      </c>
      <c r="D191" s="79"/>
      <c r="E191" s="82"/>
      <c r="F191" s="82" t="s">
        <v>354</v>
      </c>
      <c r="G191" s="82" t="s">
        <v>375</v>
      </c>
      <c r="H191" s="82"/>
      <c r="I191" s="82"/>
      <c r="J191" s="82" t="s">
        <v>357</v>
      </c>
      <c r="K191" s="82" t="s">
        <v>376</v>
      </c>
      <c r="L191" s="116" t="s">
        <v>334</v>
      </c>
      <c r="M191" s="142"/>
      <c r="N191" s="125">
        <f t="shared" si="23"/>
        <v>0</v>
      </c>
      <c r="O191" s="142"/>
      <c r="P191" s="38">
        <f t="shared" si="24"/>
        <v>0</v>
      </c>
    </row>
    <row r="192" spans="3:16" x14ac:dyDescent="0.2">
      <c r="C192" s="104" t="s">
        <v>377</v>
      </c>
      <c r="D192" s="105"/>
      <c r="E192" s="106"/>
      <c r="F192" s="106">
        <v>28760.237670076764</v>
      </c>
      <c r="G192" s="106">
        <f>F192/1000</f>
        <v>28.760237670076762</v>
      </c>
      <c r="H192" s="106"/>
      <c r="I192" s="106"/>
      <c r="J192" s="106">
        <f t="shared" ref="J192:J216" si="30">G192*1000000/$H$150</f>
        <v>27259.441840126743</v>
      </c>
      <c r="K192" s="106">
        <f t="shared" ref="K192:K216" si="31">G192*1000/$H$151</f>
        <v>7.9889549083546569</v>
      </c>
      <c r="L192" s="107">
        <v>88136.018640712296</v>
      </c>
      <c r="M192" s="142">
        <v>1</v>
      </c>
      <c r="N192" s="125">
        <f t="shared" si="23"/>
        <v>25</v>
      </c>
      <c r="O192" s="142">
        <v>1.5</v>
      </c>
      <c r="P192" s="38">
        <f t="shared" si="24"/>
        <v>465</v>
      </c>
    </row>
    <row r="193" spans="3:16" x14ac:dyDescent="0.2">
      <c r="C193" s="108" t="s">
        <v>378</v>
      </c>
      <c r="D193" s="109"/>
      <c r="E193" s="110"/>
      <c r="F193" s="110">
        <v>26622.365041004105</v>
      </c>
      <c r="G193" s="110">
        <f>F193/1000</f>
        <v>26.622365041004105</v>
      </c>
      <c r="H193" s="110"/>
      <c r="I193" s="110"/>
      <c r="J193" s="110">
        <f t="shared" si="30"/>
        <v>25233.129844296516</v>
      </c>
      <c r="K193" s="110">
        <f t="shared" si="31"/>
        <v>7.3951014002789179</v>
      </c>
      <c r="L193" s="111">
        <v>81163.161565699658</v>
      </c>
      <c r="M193" s="142">
        <v>1</v>
      </c>
      <c r="N193" s="125">
        <f t="shared" si="23"/>
        <v>25</v>
      </c>
      <c r="O193" s="142">
        <v>1.5</v>
      </c>
      <c r="P193" s="38">
        <f t="shared" si="24"/>
        <v>465</v>
      </c>
    </row>
    <row r="194" spans="3:16" x14ac:dyDescent="0.2">
      <c r="C194" s="104" t="s">
        <v>379</v>
      </c>
      <c r="D194" s="105"/>
      <c r="E194" s="106"/>
      <c r="F194" s="106">
        <v>30416.887533401004</v>
      </c>
      <c r="G194" s="106">
        <f t="shared" ref="G194:G216" si="32">F194/1000</f>
        <v>30.416887533401006</v>
      </c>
      <c r="H194" s="106"/>
      <c r="I194" s="106"/>
      <c r="J194" s="106">
        <f t="shared" si="30"/>
        <v>28829.642723609933</v>
      </c>
      <c r="K194" s="106">
        <f t="shared" si="31"/>
        <v>8.4491354259447231</v>
      </c>
      <c r="L194" s="107">
        <v>95146.406011433093</v>
      </c>
      <c r="M194" s="142">
        <v>1</v>
      </c>
      <c r="N194" s="125">
        <f t="shared" si="23"/>
        <v>25</v>
      </c>
      <c r="O194" s="142">
        <v>1.5</v>
      </c>
      <c r="P194" s="38">
        <f t="shared" si="24"/>
        <v>465</v>
      </c>
    </row>
    <row r="195" spans="3:16" x14ac:dyDescent="0.2">
      <c r="C195" s="108" t="s">
        <v>380</v>
      </c>
      <c r="D195" s="109"/>
      <c r="E195" s="110"/>
      <c r="F195" s="110">
        <v>29170.195087514916</v>
      </c>
      <c r="G195" s="110">
        <f t="shared" si="32"/>
        <v>29.170195087514916</v>
      </c>
      <c r="H195" s="110"/>
      <c r="I195" s="110"/>
      <c r="J195" s="110">
        <f t="shared" si="30"/>
        <v>27648.006444695744</v>
      </c>
      <c r="K195" s="110">
        <f t="shared" si="31"/>
        <v>8.1028319687541437</v>
      </c>
      <c r="L195" s="111">
        <v>75915.137965351329</v>
      </c>
      <c r="M195" s="142">
        <v>1</v>
      </c>
      <c r="N195" s="125">
        <f t="shared" si="23"/>
        <v>25</v>
      </c>
      <c r="O195" s="142">
        <v>1.5</v>
      </c>
      <c r="P195" s="38">
        <f t="shared" si="24"/>
        <v>465</v>
      </c>
    </row>
    <row r="196" spans="3:16" x14ac:dyDescent="0.2">
      <c r="C196" s="104" t="s">
        <v>381</v>
      </c>
      <c r="D196" s="105"/>
      <c r="E196" s="106"/>
      <c r="F196" s="106">
        <v>31212.294776583451</v>
      </c>
      <c r="G196" s="106">
        <f t="shared" si="32"/>
        <v>31.212294776583452</v>
      </c>
      <c r="H196" s="106"/>
      <c r="I196" s="106"/>
      <c r="J196" s="106">
        <f t="shared" si="30"/>
        <v>29583.543221007654</v>
      </c>
      <c r="K196" s="106">
        <f t="shared" si="31"/>
        <v>8.6700818823842916</v>
      </c>
      <c r="L196" s="107">
        <v>80341.164884007187</v>
      </c>
      <c r="M196" s="142">
        <v>1</v>
      </c>
      <c r="N196" s="125">
        <f t="shared" si="23"/>
        <v>25</v>
      </c>
      <c r="O196" s="142">
        <v>1.5</v>
      </c>
      <c r="P196" s="38">
        <f t="shared" si="24"/>
        <v>465</v>
      </c>
    </row>
    <row r="197" spans="3:16" x14ac:dyDescent="0.2">
      <c r="C197" s="108" t="s">
        <v>382</v>
      </c>
      <c r="D197" s="109"/>
      <c r="E197" s="110"/>
      <c r="F197" s="110">
        <v>31229.263666666669</v>
      </c>
      <c r="G197" s="110">
        <f t="shared" si="32"/>
        <v>31.229263666666668</v>
      </c>
      <c r="H197" s="110"/>
      <c r="I197" s="110"/>
      <c r="J197" s="110">
        <f t="shared" si="30"/>
        <v>29599.62662329456</v>
      </c>
      <c r="K197" s="110">
        <f t="shared" si="31"/>
        <v>8.6747954629629636</v>
      </c>
      <c r="L197" s="111">
        <v>90067.932924215478</v>
      </c>
      <c r="M197" s="142">
        <v>1</v>
      </c>
      <c r="N197" s="125">
        <f t="shared" si="23"/>
        <v>25</v>
      </c>
      <c r="O197" s="142">
        <v>1.5</v>
      </c>
      <c r="P197" s="38">
        <f t="shared" si="24"/>
        <v>465</v>
      </c>
    </row>
    <row r="198" spans="3:16" x14ac:dyDescent="0.2">
      <c r="C198" s="104" t="s">
        <v>383</v>
      </c>
      <c r="D198" s="105"/>
      <c r="E198" s="106"/>
      <c r="F198" s="106">
        <v>20947.59350251879</v>
      </c>
      <c r="G198" s="106">
        <f t="shared" si="32"/>
        <v>20.947593502518789</v>
      </c>
      <c r="H198" s="106"/>
      <c r="I198" s="106"/>
      <c r="J198" s="106">
        <f t="shared" si="30"/>
        <v>19854.484977592456</v>
      </c>
      <c r="K198" s="106">
        <f t="shared" si="31"/>
        <v>5.8187759729218858</v>
      </c>
      <c r="L198" s="107">
        <v>90854.391229956236</v>
      </c>
      <c r="M198" s="142">
        <v>1</v>
      </c>
      <c r="N198" s="125">
        <f t="shared" si="23"/>
        <v>25</v>
      </c>
      <c r="O198" s="142">
        <v>1.5</v>
      </c>
      <c r="P198" s="38">
        <f t="shared" si="24"/>
        <v>465</v>
      </c>
    </row>
    <row r="199" spans="3:16" x14ac:dyDescent="0.2">
      <c r="C199" s="108" t="s">
        <v>384</v>
      </c>
      <c r="D199" s="109"/>
      <c r="E199" s="110"/>
      <c r="F199" s="110">
        <v>33076.688699879494</v>
      </c>
      <c r="G199" s="110">
        <f t="shared" si="32"/>
        <v>33.076688699879497</v>
      </c>
      <c r="H199" s="110"/>
      <c r="I199" s="110"/>
      <c r="J199" s="110">
        <f t="shared" si="30"/>
        <v>31350.647453670226</v>
      </c>
      <c r="K199" s="110">
        <f t="shared" si="31"/>
        <v>9.1879690832998602</v>
      </c>
      <c r="L199" s="111">
        <v>77405.137520676377</v>
      </c>
      <c r="M199" s="142">
        <v>1</v>
      </c>
      <c r="N199" s="125">
        <f t="shared" si="23"/>
        <v>25</v>
      </c>
      <c r="O199" s="142">
        <v>1.5</v>
      </c>
      <c r="P199" s="38">
        <f t="shared" si="24"/>
        <v>465</v>
      </c>
    </row>
    <row r="200" spans="3:16" x14ac:dyDescent="0.2">
      <c r="C200" s="104" t="s">
        <v>385</v>
      </c>
      <c r="D200" s="105"/>
      <c r="E200" s="106"/>
      <c r="F200" s="106">
        <v>29204.713770792197</v>
      </c>
      <c r="G200" s="106">
        <f t="shared" si="32"/>
        <v>29.204713770792196</v>
      </c>
      <c r="H200" s="106"/>
      <c r="I200" s="106"/>
      <c r="J200" s="106">
        <f t="shared" si="30"/>
        <v>27680.723839106358</v>
      </c>
      <c r="K200" s="106">
        <f t="shared" si="31"/>
        <v>8.1124204918867218</v>
      </c>
      <c r="L200" s="107">
        <v>92142.04125478481</v>
      </c>
      <c r="M200" s="142">
        <v>1</v>
      </c>
      <c r="N200" s="125">
        <f t="shared" si="23"/>
        <v>25</v>
      </c>
      <c r="O200" s="142">
        <v>1.5</v>
      </c>
      <c r="P200" s="38">
        <f t="shared" si="24"/>
        <v>465</v>
      </c>
    </row>
    <row r="201" spans="3:16" x14ac:dyDescent="0.2">
      <c r="C201" s="108" t="s">
        <v>386</v>
      </c>
      <c r="D201" s="109"/>
      <c r="E201" s="110"/>
      <c r="F201" s="110">
        <v>35206.206224646681</v>
      </c>
      <c r="G201" s="110">
        <f t="shared" si="32"/>
        <v>35.206206224646678</v>
      </c>
      <c r="H201" s="110"/>
      <c r="I201" s="110"/>
      <c r="J201" s="110">
        <f t="shared" si="30"/>
        <v>33369.040339703941</v>
      </c>
      <c r="K201" s="110">
        <f t="shared" si="31"/>
        <v>9.7795017290685227</v>
      </c>
      <c r="L201" s="111">
        <v>86711.808115560081</v>
      </c>
      <c r="M201" s="142">
        <v>1</v>
      </c>
      <c r="N201" s="125">
        <f t="shared" si="23"/>
        <v>25</v>
      </c>
      <c r="O201" s="142">
        <v>1.5</v>
      </c>
      <c r="P201" s="38">
        <f t="shared" si="24"/>
        <v>465</v>
      </c>
    </row>
    <row r="202" spans="3:16" x14ac:dyDescent="0.2">
      <c r="C202" s="104" t="s">
        <v>387</v>
      </c>
      <c r="D202" s="105"/>
      <c r="E202" s="106"/>
      <c r="F202" s="106">
        <v>24405.425301665378</v>
      </c>
      <c r="G202" s="106">
        <f t="shared" si="32"/>
        <v>24.405425301665378</v>
      </c>
      <c r="H202" s="106"/>
      <c r="I202" s="106"/>
      <c r="J202" s="106">
        <f t="shared" si="30"/>
        <v>23131.87669817088</v>
      </c>
      <c r="K202" s="106">
        <f t="shared" si="31"/>
        <v>6.7792848060181603</v>
      </c>
      <c r="L202" s="107">
        <v>93317.236202801345</v>
      </c>
      <c r="M202" s="142">
        <v>1</v>
      </c>
      <c r="N202" s="125">
        <f t="shared" si="23"/>
        <v>25</v>
      </c>
      <c r="O202" s="142">
        <v>1.5</v>
      </c>
      <c r="P202" s="38">
        <f t="shared" si="24"/>
        <v>465</v>
      </c>
    </row>
    <row r="203" spans="3:16" x14ac:dyDescent="0.2">
      <c r="C203" s="108" t="s">
        <v>388</v>
      </c>
      <c r="D203" s="109"/>
      <c r="E203" s="110"/>
      <c r="F203" s="110">
        <v>14742.946948893843</v>
      </c>
      <c r="G203" s="110">
        <f t="shared" si="32"/>
        <v>14.742946948893843</v>
      </c>
      <c r="H203" s="110"/>
      <c r="I203" s="110"/>
      <c r="J203" s="110">
        <f t="shared" si="30"/>
        <v>13973.61557006817</v>
      </c>
      <c r="K203" s="110">
        <f t="shared" si="31"/>
        <v>4.0952630413594004</v>
      </c>
      <c r="L203" s="111">
        <v>112929.71718206792</v>
      </c>
      <c r="M203" s="142">
        <v>30</v>
      </c>
      <c r="N203" s="125">
        <f t="shared" si="23"/>
        <v>750</v>
      </c>
      <c r="O203" s="142">
        <v>4</v>
      </c>
      <c r="P203" s="38">
        <f t="shared" si="24"/>
        <v>1240</v>
      </c>
    </row>
    <row r="204" spans="3:16" x14ac:dyDescent="0.2">
      <c r="C204" s="104" t="s">
        <v>389</v>
      </c>
      <c r="D204" s="105"/>
      <c r="E204" s="106"/>
      <c r="F204" s="106">
        <v>16639.711247080875</v>
      </c>
      <c r="G204" s="106">
        <f t="shared" si="32"/>
        <v>16.639711247080875</v>
      </c>
      <c r="H204" s="106"/>
      <c r="I204" s="106"/>
      <c r="J204" s="106">
        <f t="shared" si="30"/>
        <v>15771.400993957548</v>
      </c>
      <c r="K204" s="106">
        <f t="shared" si="31"/>
        <v>4.6221420130780206</v>
      </c>
      <c r="L204" s="107">
        <v>112371.9449612372</v>
      </c>
      <c r="M204" s="142">
        <v>30</v>
      </c>
      <c r="N204" s="125">
        <f t="shared" si="23"/>
        <v>750</v>
      </c>
      <c r="O204" s="142">
        <v>4</v>
      </c>
      <c r="P204" s="38">
        <f t="shared" si="24"/>
        <v>1240</v>
      </c>
    </row>
    <row r="205" spans="3:16" x14ac:dyDescent="0.2">
      <c r="C205" s="108" t="s">
        <v>390</v>
      </c>
      <c r="D205" s="109"/>
      <c r="E205" s="110"/>
      <c r="F205" s="110">
        <v>16770.969509684281</v>
      </c>
      <c r="G205" s="110">
        <f t="shared" si="32"/>
        <v>16.770969509684281</v>
      </c>
      <c r="H205" s="110"/>
      <c r="I205" s="110"/>
      <c r="J205" s="110">
        <f t="shared" si="30"/>
        <v>15895.809805057059</v>
      </c>
      <c r="K205" s="110">
        <f t="shared" si="31"/>
        <v>4.658602641578967</v>
      </c>
      <c r="L205" s="111">
        <v>104850.5458247817</v>
      </c>
      <c r="M205" s="142">
        <v>30</v>
      </c>
      <c r="N205" s="125">
        <f t="shared" si="23"/>
        <v>750</v>
      </c>
      <c r="O205" s="142">
        <v>4</v>
      </c>
      <c r="P205" s="38">
        <f t="shared" si="24"/>
        <v>1240</v>
      </c>
    </row>
    <row r="206" spans="3:16" x14ac:dyDescent="0.2">
      <c r="C206" s="104" t="s">
        <v>391</v>
      </c>
      <c r="D206" s="105"/>
      <c r="E206" s="106"/>
      <c r="F206" s="106">
        <v>18297.366669753734</v>
      </c>
      <c r="G206" s="106">
        <f t="shared" si="32"/>
        <v>18.297366669753735</v>
      </c>
      <c r="H206" s="106"/>
      <c r="I206" s="106"/>
      <c r="J206" s="106">
        <f t="shared" si="30"/>
        <v>17342.554963673712</v>
      </c>
      <c r="K206" s="106">
        <f t="shared" si="31"/>
        <v>5.0826018527093701</v>
      </c>
      <c r="L206" s="107">
        <v>107438.3302598291</v>
      </c>
      <c r="M206" s="142">
        <v>30</v>
      </c>
      <c r="N206" s="125">
        <f t="shared" si="23"/>
        <v>750</v>
      </c>
      <c r="O206" s="142">
        <v>4</v>
      </c>
      <c r="P206" s="38">
        <f t="shared" si="24"/>
        <v>1240</v>
      </c>
    </row>
    <row r="207" spans="3:16" x14ac:dyDescent="0.2">
      <c r="C207" s="108" t="s">
        <v>392</v>
      </c>
      <c r="D207" s="109"/>
      <c r="E207" s="110"/>
      <c r="F207" s="110">
        <v>14952.939269862525</v>
      </c>
      <c r="G207" s="110">
        <f t="shared" si="32"/>
        <v>14.952939269862526</v>
      </c>
      <c r="H207" s="110"/>
      <c r="I207" s="110"/>
      <c r="J207" s="110">
        <f t="shared" si="30"/>
        <v>14172.649859213658</v>
      </c>
      <c r="K207" s="110">
        <f t="shared" si="31"/>
        <v>4.153594241628479</v>
      </c>
      <c r="L207" s="111">
        <v>103875.93888249564</v>
      </c>
      <c r="M207" s="142">
        <v>30</v>
      </c>
      <c r="N207" s="125">
        <f t="shared" si="23"/>
        <v>750</v>
      </c>
      <c r="O207" s="142">
        <v>4</v>
      </c>
      <c r="P207" s="38">
        <f t="shared" si="24"/>
        <v>1240</v>
      </c>
    </row>
    <row r="208" spans="3:16" x14ac:dyDescent="0.2">
      <c r="C208" s="104" t="s">
        <v>393</v>
      </c>
      <c r="D208" s="105"/>
      <c r="E208" s="106"/>
      <c r="F208" s="106">
        <v>24506.211785179668</v>
      </c>
      <c r="G208" s="106">
        <f t="shared" si="32"/>
        <v>24.506211785179669</v>
      </c>
      <c r="H208" s="106"/>
      <c r="I208" s="106"/>
      <c r="J208" s="106">
        <f t="shared" si="30"/>
        <v>23227.403839397786</v>
      </c>
      <c r="K208" s="106">
        <f t="shared" si="31"/>
        <v>6.8072810514387969</v>
      </c>
      <c r="L208" s="107">
        <v>90676.956104587094</v>
      </c>
      <c r="M208" s="142">
        <v>30</v>
      </c>
      <c r="N208" s="125">
        <f t="shared" si="23"/>
        <v>750</v>
      </c>
      <c r="O208" s="142">
        <v>4</v>
      </c>
      <c r="P208" s="38">
        <f t="shared" si="24"/>
        <v>1240</v>
      </c>
    </row>
    <row r="209" spans="2:16" x14ac:dyDescent="0.2">
      <c r="C209" s="108" t="s">
        <v>394</v>
      </c>
      <c r="D209" s="109"/>
      <c r="E209" s="110"/>
      <c r="F209" s="110">
        <v>17925.990538607581</v>
      </c>
      <c r="G209" s="110">
        <f t="shared" si="32"/>
        <v>17.925990538607582</v>
      </c>
      <c r="H209" s="110"/>
      <c r="I209" s="110"/>
      <c r="J209" s="110">
        <f t="shared" si="30"/>
        <v>16990.558357667822</v>
      </c>
      <c r="K209" s="110">
        <f t="shared" si="31"/>
        <v>4.9794418162798832</v>
      </c>
      <c r="L209" s="111">
        <v>104410.9003597283</v>
      </c>
      <c r="M209" s="142">
        <v>30</v>
      </c>
      <c r="N209" s="125">
        <f t="shared" si="23"/>
        <v>750</v>
      </c>
      <c r="O209" s="142">
        <v>4</v>
      </c>
      <c r="P209" s="38">
        <f t="shared" si="24"/>
        <v>1240</v>
      </c>
    </row>
    <row r="210" spans="2:16" x14ac:dyDescent="0.2">
      <c r="C210" s="104" t="s">
        <v>395</v>
      </c>
      <c r="D210" s="105"/>
      <c r="E210" s="106"/>
      <c r="F210" s="106">
        <v>16993.451114417207</v>
      </c>
      <c r="G210" s="106">
        <f t="shared" si="32"/>
        <v>16.993451114417205</v>
      </c>
      <c r="H210" s="106"/>
      <c r="I210" s="106"/>
      <c r="J210" s="106">
        <f t="shared" si="30"/>
        <v>16106.681649521168</v>
      </c>
      <c r="K210" s="106">
        <f t="shared" si="31"/>
        <v>4.7204030873381129</v>
      </c>
      <c r="L210" s="107">
        <v>89524.923242345176</v>
      </c>
      <c r="M210" s="142">
        <v>30</v>
      </c>
      <c r="N210" s="125">
        <f t="shared" si="23"/>
        <v>750</v>
      </c>
      <c r="O210" s="142">
        <v>4</v>
      </c>
      <c r="P210" s="38">
        <f t="shared" si="24"/>
        <v>1240</v>
      </c>
    </row>
    <row r="211" spans="2:16" x14ac:dyDescent="0.2">
      <c r="C211" s="108" t="s">
        <v>396</v>
      </c>
      <c r="D211" s="109"/>
      <c r="E211" s="110"/>
      <c r="F211" s="110">
        <v>16979.092464285328</v>
      </c>
      <c r="G211" s="110">
        <f t="shared" si="32"/>
        <v>16.979092464285326</v>
      </c>
      <c r="H211" s="110"/>
      <c r="I211" s="110"/>
      <c r="J211" s="110">
        <f t="shared" si="30"/>
        <v>16093.072277002666</v>
      </c>
      <c r="K211" s="110">
        <f t="shared" si="31"/>
        <v>4.7164145734125915</v>
      </c>
      <c r="L211" s="111">
        <v>115342.94546658927</v>
      </c>
      <c r="M211" s="142">
        <v>30</v>
      </c>
      <c r="N211" s="125">
        <f t="shared" si="23"/>
        <v>750</v>
      </c>
      <c r="O211" s="142">
        <v>4</v>
      </c>
      <c r="P211" s="38">
        <f t="shared" si="24"/>
        <v>1240</v>
      </c>
    </row>
    <row r="212" spans="2:16" x14ac:dyDescent="0.2">
      <c r="C212" s="104" t="s">
        <v>397</v>
      </c>
      <c r="D212" s="105"/>
      <c r="E212" s="106"/>
      <c r="F212" s="106">
        <v>18489</v>
      </c>
      <c r="G212" s="106">
        <f t="shared" si="32"/>
        <v>18.489000000000001</v>
      </c>
      <c r="H212" s="106"/>
      <c r="I212" s="106"/>
      <c r="J212" s="106">
        <f t="shared" si="30"/>
        <v>17524.18828953155</v>
      </c>
      <c r="K212" s="106">
        <f t="shared" si="31"/>
        <v>5.1358333333333333</v>
      </c>
      <c r="L212" s="107">
        <v>105650.94236696765</v>
      </c>
      <c r="M212" s="142">
        <v>30</v>
      </c>
      <c r="N212" s="125">
        <f t="shared" si="23"/>
        <v>750</v>
      </c>
      <c r="O212" s="142">
        <v>4</v>
      </c>
      <c r="P212" s="38">
        <f t="shared" si="24"/>
        <v>1240</v>
      </c>
    </row>
    <row r="213" spans="2:16" x14ac:dyDescent="0.2">
      <c r="C213" s="108" t="s">
        <v>398</v>
      </c>
      <c r="D213" s="109"/>
      <c r="E213" s="110"/>
      <c r="F213" s="110">
        <v>18969</v>
      </c>
      <c r="G213" s="110">
        <f t="shared" si="32"/>
        <v>18.969000000000001</v>
      </c>
      <c r="H213" s="110"/>
      <c r="I213" s="110"/>
      <c r="J213" s="110">
        <f t="shared" si="30"/>
        <v>17979.140443730001</v>
      </c>
      <c r="K213" s="110">
        <f t="shared" si="31"/>
        <v>5.269166666666667</v>
      </c>
      <c r="L213" s="111">
        <v>105720.48009857842</v>
      </c>
      <c r="M213" s="142">
        <v>30</v>
      </c>
      <c r="N213" s="125">
        <f t="shared" si="23"/>
        <v>750</v>
      </c>
      <c r="O213" s="142">
        <v>4</v>
      </c>
      <c r="P213" s="38">
        <f t="shared" si="24"/>
        <v>1240</v>
      </c>
    </row>
    <row r="214" spans="2:16" x14ac:dyDescent="0.2">
      <c r="C214" s="104" t="s">
        <v>399</v>
      </c>
      <c r="D214" s="105"/>
      <c r="E214" s="106"/>
      <c r="F214" s="106">
        <v>18694</v>
      </c>
      <c r="G214" s="106">
        <f t="shared" si="32"/>
        <v>18.693999999999999</v>
      </c>
      <c r="H214" s="106"/>
      <c r="I214" s="106"/>
      <c r="J214" s="106">
        <f t="shared" si="30"/>
        <v>17718.490772053807</v>
      </c>
      <c r="K214" s="106">
        <f t="shared" si="31"/>
        <v>5.1927777777777777</v>
      </c>
      <c r="L214" s="107">
        <v>103923.93919138091</v>
      </c>
      <c r="M214" s="142">
        <v>30</v>
      </c>
      <c r="N214" s="125">
        <f t="shared" si="23"/>
        <v>750</v>
      </c>
      <c r="O214" s="142">
        <v>4</v>
      </c>
      <c r="P214" s="38">
        <f t="shared" si="24"/>
        <v>1240</v>
      </c>
    </row>
    <row r="215" spans="2:16" x14ac:dyDescent="0.2">
      <c r="C215" s="108" t="s">
        <v>400</v>
      </c>
      <c r="D215" s="109"/>
      <c r="E215" s="110"/>
      <c r="F215" s="110">
        <v>18582</v>
      </c>
      <c r="G215" s="110">
        <f t="shared" si="32"/>
        <v>18.582000000000001</v>
      </c>
      <c r="H215" s="110"/>
      <c r="I215" s="110"/>
      <c r="J215" s="110">
        <f t="shared" si="30"/>
        <v>17612.3352694075</v>
      </c>
      <c r="K215" s="110">
        <f t="shared" si="31"/>
        <v>5.1616666666666671</v>
      </c>
      <c r="L215" s="111">
        <v>103978.4719117686</v>
      </c>
      <c r="M215" s="142">
        <v>30</v>
      </c>
      <c r="N215" s="125">
        <f t="shared" si="23"/>
        <v>750</v>
      </c>
      <c r="O215" s="142">
        <v>4</v>
      </c>
      <c r="P215" s="38">
        <f t="shared" si="24"/>
        <v>1240</v>
      </c>
    </row>
    <row r="216" spans="2:16" x14ac:dyDescent="0.2">
      <c r="C216" s="104" t="s">
        <v>401</v>
      </c>
      <c r="D216" s="105"/>
      <c r="E216" s="106"/>
      <c r="F216" s="106">
        <v>37920.740990303515</v>
      </c>
      <c r="G216" s="106">
        <f t="shared" si="32"/>
        <v>37.920740990303514</v>
      </c>
      <c r="H216" s="106"/>
      <c r="I216" s="106"/>
      <c r="J216" s="106">
        <f t="shared" si="30"/>
        <v>35941.92250487511</v>
      </c>
      <c r="K216" s="106">
        <f t="shared" si="31"/>
        <v>10.533539163973199</v>
      </c>
      <c r="L216" s="107">
        <v>77577.487802640724</v>
      </c>
      <c r="M216" s="142">
        <v>30</v>
      </c>
      <c r="N216" s="125">
        <f t="shared" si="23"/>
        <v>750</v>
      </c>
      <c r="O216" s="142">
        <v>0.1</v>
      </c>
      <c r="P216" s="38">
        <f t="shared" si="24"/>
        <v>31</v>
      </c>
    </row>
    <row r="219" spans="2:16" x14ac:dyDescent="0.2">
      <c r="B219" s="83" t="s">
        <v>261</v>
      </c>
      <c r="C219" s="83" t="str">
        <f t="shared" ref="C219:C238" si="33">VLOOKUP(B219,$B$109:$L$138,2,FALSE)</f>
        <v>BAGAZO</v>
      </c>
      <c r="E219" s="83">
        <v>1975</v>
      </c>
    </row>
    <row r="220" spans="2:16" x14ac:dyDescent="0.2">
      <c r="B220" s="88" t="s">
        <v>264</v>
      </c>
      <c r="C220" s="88" t="str">
        <f t="shared" si="33"/>
        <v>CARBÓN MINERAL</v>
      </c>
      <c r="E220" s="88">
        <v>1976</v>
      </c>
    </row>
    <row r="221" spans="2:16" x14ac:dyDescent="0.2">
      <c r="B221" s="83" t="s">
        <v>266</v>
      </c>
      <c r="C221" s="83" t="str">
        <f t="shared" si="33"/>
        <v>GAS NATURAL</v>
      </c>
      <c r="E221" s="83">
        <v>1977</v>
      </c>
    </row>
    <row r="222" spans="2:16" x14ac:dyDescent="0.2">
      <c r="B222" s="88" t="s">
        <v>269</v>
      </c>
      <c r="C222" s="88" t="str">
        <f t="shared" si="33"/>
        <v>HIDROENERGÍA</v>
      </c>
      <c r="E222" s="88">
        <v>1978</v>
      </c>
    </row>
    <row r="223" spans="2:16" x14ac:dyDescent="0.2">
      <c r="B223" s="83" t="s">
        <v>271</v>
      </c>
      <c r="C223" s="83" t="str">
        <f t="shared" si="33"/>
        <v>LEÑA</v>
      </c>
      <c r="E223" s="83">
        <v>1979</v>
      </c>
    </row>
    <row r="224" spans="2:16" x14ac:dyDescent="0.2">
      <c r="B224" s="88" t="s">
        <v>273</v>
      </c>
      <c r="C224" s="88" t="str">
        <f t="shared" si="33"/>
        <v>PETROLEO</v>
      </c>
      <c r="E224" s="88">
        <v>1980</v>
      </c>
    </row>
    <row r="225" spans="2:5" x14ac:dyDescent="0.2">
      <c r="B225" s="83" t="s">
        <v>277</v>
      </c>
      <c r="C225" s="83" t="str">
        <f t="shared" si="33"/>
        <v>RECUPERACIÓN / RESIDUOS</v>
      </c>
      <c r="E225" s="83">
        <v>1981</v>
      </c>
    </row>
    <row r="226" spans="2:5" x14ac:dyDescent="0.2">
      <c r="B226" s="88" t="s">
        <v>286</v>
      </c>
      <c r="C226" s="88" t="str">
        <f t="shared" si="33"/>
        <v>OTROS RENOVABLES</v>
      </c>
      <c r="E226" s="88">
        <v>1982</v>
      </c>
    </row>
    <row r="227" spans="2:5" x14ac:dyDescent="0.2">
      <c r="B227" s="83" t="s">
        <v>294</v>
      </c>
      <c r="C227" s="83" t="str">
        <f t="shared" si="33"/>
        <v>ALCOHOL CARBURANTE</v>
      </c>
      <c r="E227" s="83">
        <v>1983</v>
      </c>
    </row>
    <row r="228" spans="2:5" x14ac:dyDescent="0.2">
      <c r="B228" s="88" t="s">
        <v>296</v>
      </c>
      <c r="C228" s="88" t="str">
        <f t="shared" si="33"/>
        <v>BIODIESEL</v>
      </c>
      <c r="E228" s="88">
        <v>1984</v>
      </c>
    </row>
    <row r="229" spans="2:5" x14ac:dyDescent="0.2">
      <c r="B229" s="83" t="s">
        <v>298</v>
      </c>
      <c r="C229" s="83" t="str">
        <f t="shared" si="33"/>
        <v>CARBÓN LEÑA</v>
      </c>
      <c r="E229" s="83">
        <v>1985</v>
      </c>
    </row>
    <row r="230" spans="2:5" x14ac:dyDescent="0.2">
      <c r="B230" s="88" t="s">
        <v>300</v>
      </c>
      <c r="C230" s="88" t="str">
        <f t="shared" si="33"/>
        <v>COQUE</v>
      </c>
      <c r="E230" s="88">
        <v>1986</v>
      </c>
    </row>
    <row r="231" spans="2:5" x14ac:dyDescent="0.2">
      <c r="B231" s="83" t="s">
        <v>302</v>
      </c>
      <c r="C231" s="83" t="str">
        <f t="shared" si="33"/>
        <v>DIESEL OIL</v>
      </c>
      <c r="E231" s="83">
        <v>1987</v>
      </c>
    </row>
    <row r="232" spans="2:5" x14ac:dyDescent="0.2">
      <c r="B232" s="88" t="s">
        <v>304</v>
      </c>
      <c r="C232" s="88" t="str">
        <f t="shared" si="33"/>
        <v>AUTO &amp; COGENERACIÓN</v>
      </c>
      <c r="E232" s="88">
        <v>1988</v>
      </c>
    </row>
    <row r="233" spans="2:5" x14ac:dyDescent="0.2">
      <c r="B233" s="83" t="s">
        <v>306</v>
      </c>
      <c r="C233" s="83" t="str">
        <f t="shared" si="33"/>
        <v>ENERGÍA ELECTRICA SIN</v>
      </c>
      <c r="E233" s="83">
        <v>1989</v>
      </c>
    </row>
    <row r="234" spans="2:5" x14ac:dyDescent="0.2">
      <c r="B234" s="88" t="s">
        <v>308</v>
      </c>
      <c r="C234" s="88" t="str">
        <f t="shared" si="33"/>
        <v>FUEL OIL</v>
      </c>
      <c r="E234" s="88">
        <v>1990</v>
      </c>
    </row>
    <row r="235" spans="2:5" x14ac:dyDescent="0.2">
      <c r="B235" s="83" t="s">
        <v>310</v>
      </c>
      <c r="C235" s="83" t="str">
        <f t="shared" si="33"/>
        <v>GAS INDUSTRIAL DE ALTO HORNO</v>
      </c>
      <c r="E235" s="83">
        <v>1991</v>
      </c>
    </row>
    <row r="236" spans="2:5" x14ac:dyDescent="0.2">
      <c r="B236" s="88" t="s">
        <v>312</v>
      </c>
      <c r="C236" s="88" t="str">
        <f t="shared" si="33"/>
        <v>GAS LICUADO DE PETRÓLEO</v>
      </c>
      <c r="E236" s="88">
        <v>1992</v>
      </c>
    </row>
    <row r="237" spans="2:5" x14ac:dyDescent="0.2">
      <c r="B237" s="83" t="s">
        <v>314</v>
      </c>
      <c r="C237" s="83" t="str">
        <f t="shared" si="33"/>
        <v>GASOLINA MOTOR</v>
      </c>
      <c r="E237" s="83">
        <v>1993</v>
      </c>
    </row>
    <row r="238" spans="2:5" x14ac:dyDescent="0.2">
      <c r="B238" s="88" t="s">
        <v>318</v>
      </c>
      <c r="C238" s="88" t="str">
        <f t="shared" si="33"/>
        <v>KEROSENE Y JET FUEL</v>
      </c>
      <c r="E238" s="88">
        <v>1994</v>
      </c>
    </row>
    <row r="239" spans="2:5" x14ac:dyDescent="0.2">
      <c r="E239" s="83">
        <v>1995</v>
      </c>
    </row>
    <row r="240" spans="2:5" x14ac:dyDescent="0.2">
      <c r="E240" s="88">
        <v>1996</v>
      </c>
    </row>
    <row r="241" spans="5:5" x14ac:dyDescent="0.2">
      <c r="E241" s="83">
        <v>1997</v>
      </c>
    </row>
    <row r="242" spans="5:5" x14ac:dyDescent="0.2">
      <c r="E242" s="88">
        <v>1998</v>
      </c>
    </row>
    <row r="243" spans="5:5" x14ac:dyDescent="0.2">
      <c r="E243" s="83">
        <v>1999</v>
      </c>
    </row>
    <row r="244" spans="5:5" x14ac:dyDescent="0.2">
      <c r="E244" s="88">
        <v>2000</v>
      </c>
    </row>
    <row r="245" spans="5:5" x14ac:dyDescent="0.2">
      <c r="E245" s="83">
        <v>2001</v>
      </c>
    </row>
    <row r="246" spans="5:5" x14ac:dyDescent="0.2">
      <c r="E246" s="88">
        <v>2002</v>
      </c>
    </row>
    <row r="247" spans="5:5" x14ac:dyDescent="0.2">
      <c r="E247" s="83">
        <v>2003</v>
      </c>
    </row>
    <row r="248" spans="5:5" x14ac:dyDescent="0.2">
      <c r="E248" s="88">
        <v>2004</v>
      </c>
    </row>
    <row r="249" spans="5:5" x14ac:dyDescent="0.2">
      <c r="E249" s="83">
        <v>2005</v>
      </c>
    </row>
    <row r="250" spans="5:5" x14ac:dyDescent="0.2">
      <c r="E250" s="88">
        <v>2006</v>
      </c>
    </row>
    <row r="251" spans="5:5" x14ac:dyDescent="0.2">
      <c r="E251" s="83">
        <v>2007</v>
      </c>
    </row>
    <row r="252" spans="5:5" x14ac:dyDescent="0.2">
      <c r="E252" s="88">
        <v>2008</v>
      </c>
    </row>
    <row r="253" spans="5:5" x14ac:dyDescent="0.2">
      <c r="E253" s="83">
        <v>2009</v>
      </c>
    </row>
    <row r="254" spans="5:5" x14ac:dyDescent="0.2">
      <c r="E254" s="88">
        <v>2010</v>
      </c>
    </row>
    <row r="255" spans="5:5" x14ac:dyDescent="0.2">
      <c r="E255" s="83">
        <v>2011</v>
      </c>
    </row>
    <row r="256" spans="5:5" x14ac:dyDescent="0.2">
      <c r="E256" s="88">
        <v>2012</v>
      </c>
    </row>
    <row r="257" spans="5:5" x14ac:dyDescent="0.2">
      <c r="E257" s="83">
        <v>2013</v>
      </c>
    </row>
    <row r="258" spans="5:5" x14ac:dyDescent="0.2">
      <c r="E258" s="88">
        <v>2014</v>
      </c>
    </row>
    <row r="259" spans="5:5" x14ac:dyDescent="0.2">
      <c r="E259" s="83">
        <v>2015</v>
      </c>
    </row>
    <row r="260" spans="5:5" x14ac:dyDescent="0.2">
      <c r="E260" s="88">
        <v>2016</v>
      </c>
    </row>
    <row r="261" spans="5:5" x14ac:dyDescent="0.2">
      <c r="E261" s="83">
        <v>2017</v>
      </c>
    </row>
    <row r="262" spans="5:5" x14ac:dyDescent="0.2">
      <c r="E262" s="88">
        <v>2018</v>
      </c>
    </row>
    <row r="263" spans="5:5" x14ac:dyDescent="0.2">
      <c r="E263" s="83">
        <v>2019</v>
      </c>
    </row>
    <row r="264" spans="5:5" x14ac:dyDescent="0.2">
      <c r="E264" s="88">
        <v>2020</v>
      </c>
    </row>
    <row r="265" spans="5:5" x14ac:dyDescent="0.2">
      <c r="E265" s="83">
        <v>2021</v>
      </c>
    </row>
  </sheetData>
  <mergeCells count="16">
    <mergeCell ref="F2:G2"/>
    <mergeCell ref="D7:D9"/>
    <mergeCell ref="D107:J107"/>
    <mergeCell ref="B123:L123"/>
    <mergeCell ref="B140:E140"/>
    <mergeCell ref="G140:I140"/>
    <mergeCell ref="G46:G48"/>
    <mergeCell ref="H46:H48"/>
    <mergeCell ref="E46:E48"/>
    <mergeCell ref="F46:F48"/>
    <mergeCell ref="I46:I48"/>
    <mergeCell ref="J46:J48"/>
    <mergeCell ref="E41:F41"/>
    <mergeCell ref="K42:M42"/>
    <mergeCell ref="G41:N41"/>
    <mergeCell ref="B106:L106"/>
  </mergeCells>
  <pageMargins left="0.7" right="0.7" top="1.1865942028985508" bottom="0.75" header="0.3" footer="0.3"/>
  <pageSetup fitToWidth="0" fitToHeight="0" orientation="portrait" horizontalDpi="1200" verticalDpi="1200" r:id="rId1"/>
  <headerFooter>
    <oddHeader>&amp;L&amp;G&amp;C&amp;"-,Bold"&amp;16&amp;K002060Balance Energético Colombia
&amp;A&amp;R&amp;G</oddHeader>
    <oddFooter>&amp;C&amp;F</oddFooter>
  </headerFooter>
  <ignoredErrors>
    <ignoredError sqref="E50:F50" formula="1"/>
  </ignoredErrors>
  <drawing r:id="rId2"/>
  <legacyDrawing r:id="rId3"/>
  <legacyDrawingHF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BBBF6-E167-48D3-927A-A11A4A00D8B9}">
  <dimension ref="B1:AO127"/>
  <sheetViews>
    <sheetView showGridLines="0" topLeftCell="G103" zoomScale="115" zoomScaleNormal="115" workbookViewId="0">
      <selection activeCell="I114" sqref="I114:Q121"/>
    </sheetView>
  </sheetViews>
  <sheetFormatPr baseColWidth="10" defaultRowHeight="15" x14ac:dyDescent="0.25"/>
  <cols>
    <col min="3" max="3" width="11.85546875" bestFit="1" customWidth="1"/>
    <col min="4" max="4" width="14.42578125" customWidth="1"/>
    <col min="9" max="9" width="13.85546875" customWidth="1"/>
    <col min="10" max="10" width="15.28515625" customWidth="1"/>
    <col min="11" max="11" width="34.5703125" customWidth="1"/>
    <col min="13" max="13" width="15.5703125" customWidth="1"/>
    <col min="18" max="18" width="12.28515625" bestFit="1" customWidth="1"/>
    <col min="20" max="20" width="14.85546875" bestFit="1" customWidth="1"/>
  </cols>
  <sheetData>
    <row r="1" spans="9:23" x14ac:dyDescent="0.25">
      <c r="Q1" s="251"/>
      <c r="R1" s="251">
        <v>9.47817E-4</v>
      </c>
      <c r="S1" s="251" t="s">
        <v>237</v>
      </c>
      <c r="T1" s="251"/>
      <c r="U1" s="251"/>
      <c r="V1" s="251"/>
      <c r="W1" s="251"/>
    </row>
    <row r="2" spans="9:23" x14ac:dyDescent="0.25">
      <c r="Q2" s="251"/>
      <c r="R2" s="251">
        <f>+R1/(1000000)</f>
        <v>9.4781700000000002E-10</v>
      </c>
      <c r="S2" s="251" t="s">
        <v>238</v>
      </c>
      <c r="T2" s="251"/>
      <c r="U2" s="251"/>
      <c r="V2" s="251"/>
      <c r="W2" s="251"/>
    </row>
    <row r="3" spans="9:23" x14ac:dyDescent="0.25">
      <c r="Q3" s="251"/>
      <c r="R3" s="251">
        <f>+R2*1000000000000000</f>
        <v>947817</v>
      </c>
      <c r="S3" s="251" t="s">
        <v>239</v>
      </c>
      <c r="T3" s="251">
        <f>1/R3</f>
        <v>1.0550559865459262E-6</v>
      </c>
      <c r="U3" s="251" t="s">
        <v>240</v>
      </c>
      <c r="V3" s="251"/>
      <c r="W3" s="251"/>
    </row>
    <row r="4" spans="9:23" x14ac:dyDescent="0.25">
      <c r="I4" s="14" t="s">
        <v>30</v>
      </c>
      <c r="J4" s="1"/>
      <c r="K4" s="1"/>
      <c r="L4" s="1"/>
      <c r="M4" s="1"/>
      <c r="Q4" s="251"/>
      <c r="R4" s="251"/>
      <c r="S4" s="251"/>
      <c r="T4" s="251"/>
      <c r="U4" s="251"/>
      <c r="V4" s="251"/>
      <c r="W4" s="251"/>
    </row>
    <row r="5" spans="9:23" x14ac:dyDescent="0.25">
      <c r="I5" s="11" t="s">
        <v>32</v>
      </c>
      <c r="J5" s="11" t="s">
        <v>11</v>
      </c>
      <c r="K5" s="11" t="s">
        <v>33</v>
      </c>
      <c r="L5" s="11" t="s">
        <v>34</v>
      </c>
      <c r="M5" s="11" t="s">
        <v>35</v>
      </c>
      <c r="Q5" s="251"/>
      <c r="R5" s="251">
        <v>1.0550559999999999E-6</v>
      </c>
      <c r="S5" s="251" t="s">
        <v>207</v>
      </c>
      <c r="T5" s="251"/>
      <c r="U5" s="251"/>
      <c r="V5" s="251"/>
      <c r="W5" s="251"/>
    </row>
    <row r="6" spans="9:23" s="18" customFormat="1" ht="24" thickBot="1" x14ac:dyDescent="0.3">
      <c r="I6" s="13" t="s">
        <v>36</v>
      </c>
      <c r="J6" s="13" t="s">
        <v>37</v>
      </c>
      <c r="K6" s="13" t="s">
        <v>38</v>
      </c>
      <c r="L6" s="13" t="s">
        <v>39</v>
      </c>
      <c r="M6" s="13" t="s">
        <v>40</v>
      </c>
      <c r="Q6" s="252"/>
      <c r="R6" s="252"/>
      <c r="S6" s="252"/>
      <c r="T6" s="252"/>
      <c r="U6" s="252"/>
      <c r="V6" s="252"/>
      <c r="W6" s="252"/>
    </row>
    <row r="7" spans="9:23" ht="15.75" thickBot="1" x14ac:dyDescent="0.3">
      <c r="I7" s="13" t="s">
        <v>4</v>
      </c>
      <c r="J7" s="13"/>
      <c r="K7" s="13"/>
      <c r="L7" s="13"/>
      <c r="M7" s="13"/>
      <c r="Q7" s="251"/>
      <c r="R7" s="251" t="s">
        <v>134</v>
      </c>
      <c r="S7" s="251" t="s">
        <v>206</v>
      </c>
      <c r="T7" s="251" t="s">
        <v>208</v>
      </c>
      <c r="U7" s="251"/>
      <c r="V7" s="251" t="s">
        <v>208</v>
      </c>
      <c r="W7" s="251" t="s">
        <v>134</v>
      </c>
    </row>
    <row r="8" spans="9:23" x14ac:dyDescent="0.25">
      <c r="I8" t="s">
        <v>118</v>
      </c>
      <c r="J8" t="str" cm="1">
        <f t="array" ref="J8:J18">+$I$8&amp;"-"&amp;COMM!$O$20:$O$30</f>
        <v>EXP-GSL</v>
      </c>
      <c r="K8" t="str" cm="1">
        <f t="array" ref="K8:K18">"Exportacion de "&amp;COMM!$P$20:$P$30</f>
        <v>Exportacion de Gasolina</v>
      </c>
      <c r="L8" t="s">
        <v>9</v>
      </c>
      <c r="M8" t="s">
        <v>42</v>
      </c>
      <c r="Q8" s="251" t="s">
        <v>195</v>
      </c>
      <c r="R8" s="251">
        <v>14.26</v>
      </c>
      <c r="S8" s="251">
        <f>+R8*1000000</f>
        <v>14260000</v>
      </c>
      <c r="T8" s="253">
        <f>+S8*$R$5</f>
        <v>15.04509856</v>
      </c>
      <c r="U8" s="251" t="s">
        <v>85</v>
      </c>
      <c r="V8" s="251">
        <v>22.15</v>
      </c>
      <c r="W8" s="251"/>
    </row>
    <row r="9" spans="9:23" x14ac:dyDescent="0.25">
      <c r="J9" t="str">
        <v>EXP-DSL</v>
      </c>
      <c r="K9" t="str">
        <v>Exportacion de Diesel</v>
      </c>
      <c r="L9" t="s">
        <v>9</v>
      </c>
      <c r="M9" t="s">
        <v>42</v>
      </c>
      <c r="Q9" s="251" t="s">
        <v>196</v>
      </c>
      <c r="R9" s="251">
        <v>16.96</v>
      </c>
      <c r="S9" s="251">
        <f t="shared" ref="S9:S18" si="0">+R9*1000000</f>
        <v>16960000</v>
      </c>
      <c r="T9" s="253">
        <f t="shared" ref="T9:T18" si="1">+S9*$R$5</f>
        <v>17.893749759999999</v>
      </c>
      <c r="U9" s="251" t="s">
        <v>86</v>
      </c>
      <c r="V9" s="251">
        <v>22.06</v>
      </c>
      <c r="W9" s="251"/>
    </row>
    <row r="10" spans="9:23" x14ac:dyDescent="0.25">
      <c r="J10" t="str">
        <v>EXP-KER</v>
      </c>
      <c r="K10" t="str">
        <v>Exportacion de Keroseno-Jet</v>
      </c>
      <c r="L10" t="s">
        <v>9</v>
      </c>
      <c r="M10" t="s">
        <v>42</v>
      </c>
      <c r="Q10" s="251" t="s">
        <v>197</v>
      </c>
      <c r="R10" s="251">
        <v>11.91</v>
      </c>
      <c r="S10" s="251">
        <f t="shared" si="0"/>
        <v>11910000</v>
      </c>
      <c r="T10" s="253">
        <f t="shared" si="1"/>
        <v>12.56571696</v>
      </c>
      <c r="U10" s="251" t="s">
        <v>209</v>
      </c>
      <c r="V10" s="251">
        <v>14.64</v>
      </c>
      <c r="W10" s="251"/>
    </row>
    <row r="11" spans="9:23" x14ac:dyDescent="0.25">
      <c r="J11" t="str">
        <v>EXP-LPG</v>
      </c>
      <c r="K11" t="str">
        <v>Exportacion de LPG</v>
      </c>
      <c r="L11" t="s">
        <v>9</v>
      </c>
      <c r="M11" t="s">
        <v>42</v>
      </c>
      <c r="Q11" s="251" t="s">
        <v>198</v>
      </c>
      <c r="R11" s="251">
        <v>6.34</v>
      </c>
      <c r="S11" s="251">
        <f t="shared" si="0"/>
        <v>6340000</v>
      </c>
      <c r="T11" s="253">
        <f t="shared" si="1"/>
        <v>6.6890550399999995</v>
      </c>
      <c r="U11" s="251" t="s">
        <v>49</v>
      </c>
      <c r="V11" s="251">
        <v>18.52</v>
      </c>
      <c r="W11" s="251"/>
    </row>
    <row r="12" spans="9:23" x14ac:dyDescent="0.25">
      <c r="J12" t="str">
        <v>EXP-HFO</v>
      </c>
      <c r="K12" t="str">
        <v>Exportacion de Combustoleo</v>
      </c>
      <c r="L12" t="s">
        <v>9</v>
      </c>
      <c r="M12" t="s">
        <v>42</v>
      </c>
      <c r="Q12" s="251" t="s">
        <v>199</v>
      </c>
      <c r="R12" s="251">
        <v>8.2100000000000009</v>
      </c>
      <c r="S12" s="251">
        <f t="shared" si="0"/>
        <v>8210000.0000000009</v>
      </c>
      <c r="T12" s="253">
        <f t="shared" si="1"/>
        <v>8.6620097600000001</v>
      </c>
      <c r="U12" s="251" t="s">
        <v>210</v>
      </c>
      <c r="V12" s="251">
        <v>9.75</v>
      </c>
      <c r="W12" s="251"/>
    </row>
    <row r="13" spans="9:23" x14ac:dyDescent="0.25">
      <c r="J13" t="str">
        <v>EXP-ETH</v>
      </c>
      <c r="K13" t="str">
        <v>Exportacion de Etanol</v>
      </c>
      <c r="L13" t="s">
        <v>9</v>
      </c>
      <c r="M13" t="s">
        <v>42</v>
      </c>
      <c r="Q13" s="251" t="s">
        <v>200</v>
      </c>
      <c r="R13" s="251">
        <v>26</v>
      </c>
      <c r="S13" s="251">
        <f t="shared" si="0"/>
        <v>26000000</v>
      </c>
      <c r="T13" s="253">
        <f t="shared" si="1"/>
        <v>27.431455999999997</v>
      </c>
      <c r="U13" s="251" t="s">
        <v>211</v>
      </c>
      <c r="V13" s="251"/>
      <c r="W13" s="251"/>
    </row>
    <row r="14" spans="9:23" x14ac:dyDescent="0.25">
      <c r="J14" t="str">
        <v>EXP-BDSL</v>
      </c>
      <c r="K14" t="str">
        <v>Exportacion de Biodiesel</v>
      </c>
      <c r="L14" t="s">
        <v>9</v>
      </c>
      <c r="M14" t="s">
        <v>42</v>
      </c>
      <c r="Q14" s="251" t="s">
        <v>201</v>
      </c>
      <c r="R14" s="251">
        <v>29</v>
      </c>
      <c r="S14" s="251">
        <f t="shared" si="0"/>
        <v>29000000</v>
      </c>
      <c r="T14" s="253">
        <f t="shared" si="1"/>
        <v>30.596623999999998</v>
      </c>
      <c r="U14" s="251" t="s">
        <v>90</v>
      </c>
      <c r="V14" s="251"/>
      <c r="W14" s="251"/>
    </row>
    <row r="15" spans="9:23" x14ac:dyDescent="0.25">
      <c r="J15" t="str">
        <v>EXP-GAS</v>
      </c>
      <c r="K15" t="str">
        <v>Exportacion de Gasolina natural</v>
      </c>
      <c r="L15" t="s">
        <v>9</v>
      </c>
      <c r="M15" t="s">
        <v>42</v>
      </c>
      <c r="Q15" s="251" t="s">
        <v>202</v>
      </c>
      <c r="R15" s="251">
        <v>5.6</v>
      </c>
      <c r="S15" s="251">
        <f t="shared" si="0"/>
        <v>5600000</v>
      </c>
      <c r="T15" s="253">
        <f t="shared" si="1"/>
        <v>5.9083135999999996</v>
      </c>
      <c r="U15" s="251" t="s">
        <v>212</v>
      </c>
      <c r="V15" s="251">
        <v>5.03</v>
      </c>
      <c r="W15" s="251"/>
    </row>
    <row r="16" spans="9:23" x14ac:dyDescent="0.25">
      <c r="J16" t="str">
        <v>EXP-LOIL</v>
      </c>
      <c r="K16" t="str">
        <v>Exportacion de Petroleo liviano</v>
      </c>
      <c r="L16" t="s">
        <v>9</v>
      </c>
      <c r="M16" t="s">
        <v>42</v>
      </c>
      <c r="Q16" s="251" t="s">
        <v>203</v>
      </c>
      <c r="R16" s="251">
        <v>7.26</v>
      </c>
      <c r="S16" s="251">
        <f t="shared" si="0"/>
        <v>7260000</v>
      </c>
      <c r="T16" s="253">
        <f t="shared" si="1"/>
        <v>7.6597065599999992</v>
      </c>
      <c r="U16" s="251" t="s">
        <v>213</v>
      </c>
      <c r="V16" s="251"/>
      <c r="W16" s="251"/>
    </row>
    <row r="17" spans="2:23" x14ac:dyDescent="0.25">
      <c r="J17" t="str">
        <v>EXP-MOIL</v>
      </c>
      <c r="K17" t="str">
        <v>Exportacion de Petroleo mediano</v>
      </c>
      <c r="L17" t="s">
        <v>9</v>
      </c>
      <c r="M17" t="s">
        <v>42</v>
      </c>
      <c r="Q17" s="251" t="s">
        <v>204</v>
      </c>
      <c r="R17" s="251">
        <f>+R18+(R16-R18)/2</f>
        <v>7.01</v>
      </c>
      <c r="S17" s="251">
        <f t="shared" si="0"/>
        <v>7010000</v>
      </c>
      <c r="T17" s="253">
        <f t="shared" si="1"/>
        <v>7.3959425599999991</v>
      </c>
      <c r="U17" s="251"/>
      <c r="V17" s="251"/>
      <c r="W17" s="251"/>
    </row>
    <row r="18" spans="2:23" x14ac:dyDescent="0.25">
      <c r="J18" t="str">
        <v>EXP-HOIL</v>
      </c>
      <c r="K18" t="str">
        <v>Exportacion de Petroleo pesado</v>
      </c>
      <c r="L18" t="s">
        <v>9</v>
      </c>
      <c r="M18" t="s">
        <v>42</v>
      </c>
      <c r="Q18" s="251" t="s">
        <v>205</v>
      </c>
      <c r="R18" s="251">
        <v>6.76</v>
      </c>
      <c r="S18" s="251">
        <f t="shared" si="0"/>
        <v>6760000</v>
      </c>
      <c r="T18" s="253">
        <f t="shared" si="1"/>
        <v>7.1321785599999998</v>
      </c>
      <c r="U18" s="251"/>
      <c r="V18" s="251"/>
      <c r="W18" s="251"/>
    </row>
    <row r="19" spans="2:23" x14ac:dyDescent="0.25">
      <c r="J19" t="s">
        <v>128</v>
      </c>
      <c r="K19" t="s">
        <v>130</v>
      </c>
      <c r="L19" t="s">
        <v>9</v>
      </c>
      <c r="M19" t="s">
        <v>42</v>
      </c>
      <c r="Q19" s="251"/>
      <c r="R19" s="251"/>
      <c r="S19" s="251"/>
      <c r="T19" s="251"/>
      <c r="U19" s="251"/>
      <c r="V19" s="251"/>
      <c r="W19" s="251"/>
    </row>
    <row r="20" spans="2:23" x14ac:dyDescent="0.25">
      <c r="J20" t="s">
        <v>526</v>
      </c>
      <c r="K20" t="s">
        <v>527</v>
      </c>
      <c r="L20" t="s">
        <v>9</v>
      </c>
      <c r="M20" t="s">
        <v>42</v>
      </c>
      <c r="Q20" s="251"/>
      <c r="R20" s="251"/>
      <c r="S20" s="251"/>
      <c r="T20" s="251"/>
      <c r="U20" s="251"/>
      <c r="V20" s="251"/>
      <c r="W20" s="251"/>
    </row>
    <row r="21" spans="2:23" x14ac:dyDescent="0.25">
      <c r="I21" t="s">
        <v>117</v>
      </c>
      <c r="J21" t="str" cm="1">
        <f t="array" ref="J21:J31">+$I$21&amp;"-"&amp;COMM!$O$20:$O$30</f>
        <v>IMP-GSL</v>
      </c>
      <c r="K21" t="str" cm="1">
        <f t="array" ref="K21:K31">"Importacion de "&amp;COMM!$P$20:$P$30</f>
        <v>Importacion de Gasolina</v>
      </c>
      <c r="L21" t="s">
        <v>9</v>
      </c>
      <c r="M21" t="s">
        <v>42</v>
      </c>
    </row>
    <row r="22" spans="2:23" x14ac:dyDescent="0.25">
      <c r="J22" t="str">
        <v>IMP-DSL</v>
      </c>
      <c r="K22" t="str">
        <v>Importacion de Diesel</v>
      </c>
      <c r="L22" t="s">
        <v>9</v>
      </c>
      <c r="M22" t="s">
        <v>42</v>
      </c>
    </row>
    <row r="23" spans="2:23" x14ac:dyDescent="0.25">
      <c r="J23" t="str">
        <v>IMP-KER</v>
      </c>
      <c r="K23" t="str">
        <v>Importacion de Keroseno-Jet</v>
      </c>
      <c r="L23" t="s">
        <v>9</v>
      </c>
      <c r="M23" t="s">
        <v>42</v>
      </c>
    </row>
    <row r="24" spans="2:23" x14ac:dyDescent="0.25">
      <c r="J24" t="str">
        <v>IMP-LPG</v>
      </c>
      <c r="K24" t="str">
        <v>Importacion de LPG</v>
      </c>
      <c r="L24" t="s">
        <v>9</v>
      </c>
      <c r="M24" t="s">
        <v>42</v>
      </c>
    </row>
    <row r="25" spans="2:23" x14ac:dyDescent="0.25">
      <c r="J25" t="str">
        <v>IMP-HFO</v>
      </c>
      <c r="K25" t="str">
        <v>Importacion de Combustoleo</v>
      </c>
      <c r="L25" t="s">
        <v>9</v>
      </c>
      <c r="M25" t="s">
        <v>42</v>
      </c>
    </row>
    <row r="26" spans="2:23" x14ac:dyDescent="0.25">
      <c r="J26" t="str">
        <v>IMP-ETH</v>
      </c>
      <c r="K26" t="str">
        <v>Importacion de Etanol</v>
      </c>
      <c r="L26" t="s">
        <v>9</v>
      </c>
      <c r="M26" t="s">
        <v>42</v>
      </c>
    </row>
    <row r="27" spans="2:23" x14ac:dyDescent="0.25">
      <c r="J27" t="str">
        <v>IMP-BDSL</v>
      </c>
      <c r="K27" t="str">
        <v>Importacion de Biodiesel</v>
      </c>
      <c r="L27" t="s">
        <v>9</v>
      </c>
      <c r="M27" t="s">
        <v>42</v>
      </c>
    </row>
    <row r="28" spans="2:23" x14ac:dyDescent="0.25">
      <c r="J28" t="str">
        <v>IMP-GAS</v>
      </c>
      <c r="K28" t="str">
        <v>Importacion de Gasolina natural</v>
      </c>
      <c r="L28" t="s">
        <v>9</v>
      </c>
      <c r="M28" t="s">
        <v>42</v>
      </c>
    </row>
    <row r="29" spans="2:23" x14ac:dyDescent="0.25">
      <c r="J29" t="str">
        <v>IMP-LOIL</v>
      </c>
      <c r="K29" t="str">
        <v>Importacion de Petroleo liviano</v>
      </c>
      <c r="L29" t="s">
        <v>9</v>
      </c>
      <c r="M29" t="s">
        <v>42</v>
      </c>
    </row>
    <row r="30" spans="2:23" x14ac:dyDescent="0.25">
      <c r="J30" t="str">
        <v>IMP-MOIL</v>
      </c>
      <c r="K30" t="str">
        <v>Importacion de Petroleo mediano</v>
      </c>
      <c r="L30" t="s">
        <v>9</v>
      </c>
      <c r="M30" t="s">
        <v>42</v>
      </c>
    </row>
    <row r="31" spans="2:23" x14ac:dyDescent="0.25">
      <c r="J31" t="str">
        <v>IMP-HOIL</v>
      </c>
      <c r="K31" t="str">
        <v>Importacion de Petroleo pesado</v>
      </c>
      <c r="L31" t="s">
        <v>9</v>
      </c>
      <c r="M31" t="s">
        <v>42</v>
      </c>
    </row>
    <row r="32" spans="2:23" x14ac:dyDescent="0.25">
      <c r="B32" t="s">
        <v>246</v>
      </c>
      <c r="D32">
        <v>3299</v>
      </c>
      <c r="E32" t="s">
        <v>247</v>
      </c>
      <c r="J32" t="s">
        <v>129</v>
      </c>
      <c r="K32" t="s">
        <v>131</v>
      </c>
      <c r="L32" t="s">
        <v>9</v>
      </c>
      <c r="M32" t="s">
        <v>42</v>
      </c>
    </row>
    <row r="33" spans="2:23" x14ac:dyDescent="0.25">
      <c r="J33" t="s">
        <v>528</v>
      </c>
      <c r="K33" t="s">
        <v>529</v>
      </c>
      <c r="L33" t="s">
        <v>9</v>
      </c>
      <c r="M33" t="s">
        <v>42</v>
      </c>
    </row>
    <row r="35" spans="2:23" x14ac:dyDescent="0.25">
      <c r="D35">
        <v>287</v>
      </c>
      <c r="E35" t="s">
        <v>244</v>
      </c>
    </row>
    <row r="36" spans="2:23" x14ac:dyDescent="0.25">
      <c r="D36" s="75">
        <f>+D35/D32</f>
        <v>8.6996059411943008E-2</v>
      </c>
      <c r="E36" t="s">
        <v>133</v>
      </c>
      <c r="I36" s="3" t="s">
        <v>0</v>
      </c>
      <c r="J36" s="2"/>
      <c r="K36" s="2"/>
      <c r="L36" s="2"/>
      <c r="M36" s="3"/>
    </row>
    <row r="37" spans="2:23" x14ac:dyDescent="0.25">
      <c r="I37" s="4" t="s">
        <v>11</v>
      </c>
      <c r="J37" s="5" t="s">
        <v>12</v>
      </c>
      <c r="K37" s="4" t="s">
        <v>13</v>
      </c>
      <c r="L37" s="6" t="s">
        <v>214</v>
      </c>
      <c r="M37" s="6" t="s">
        <v>230</v>
      </c>
      <c r="N37" s="6" t="s">
        <v>231</v>
      </c>
      <c r="O37" s="6" t="s">
        <v>232</v>
      </c>
      <c r="P37" s="6" t="s">
        <v>233</v>
      </c>
      <c r="Q37" s="6" t="s">
        <v>234</v>
      </c>
      <c r="R37" s="6" t="s">
        <v>235</v>
      </c>
      <c r="S37" s="6" t="s">
        <v>236</v>
      </c>
    </row>
    <row r="38" spans="2:23" ht="15.75" thickBot="1" x14ac:dyDescent="0.3">
      <c r="I38" s="7" t="s">
        <v>15</v>
      </c>
      <c r="J38" s="7" t="s">
        <v>16</v>
      </c>
      <c r="K38" s="7" t="s">
        <v>17</v>
      </c>
      <c r="L38" s="21" t="s">
        <v>18</v>
      </c>
      <c r="M38" s="21" t="s">
        <v>18</v>
      </c>
      <c r="N38" s="21" t="s">
        <v>18</v>
      </c>
      <c r="O38" s="21" t="s">
        <v>18</v>
      </c>
      <c r="P38" s="21" t="s">
        <v>18</v>
      </c>
      <c r="Q38" s="21" t="s">
        <v>18</v>
      </c>
      <c r="R38" s="21" t="s">
        <v>18</v>
      </c>
      <c r="S38" s="21" t="s">
        <v>18</v>
      </c>
    </row>
    <row r="39" spans="2:23" ht="15.75" thickBot="1" x14ac:dyDescent="0.3">
      <c r="I39" s="7"/>
      <c r="J39" s="8"/>
      <c r="K39" s="8"/>
      <c r="L39" s="8" t="s">
        <v>19</v>
      </c>
      <c r="M39" s="8" t="s">
        <v>19</v>
      </c>
      <c r="N39" s="8" t="s">
        <v>19</v>
      </c>
      <c r="O39" s="8" t="s">
        <v>19</v>
      </c>
      <c r="P39" s="8" t="s">
        <v>19</v>
      </c>
      <c r="Q39" s="8" t="s">
        <v>19</v>
      </c>
      <c r="R39" s="8" t="s">
        <v>19</v>
      </c>
      <c r="S39" s="8" t="s">
        <v>19</v>
      </c>
    </row>
    <row r="40" spans="2:23" x14ac:dyDescent="0.25">
      <c r="I40" t="str">
        <f t="shared" ref="I40:I51" si="2">+J8</f>
        <v>EXP-GSL</v>
      </c>
      <c r="J40" s="22" t="str">
        <f>+RIGHT(I40,3)</f>
        <v>GSL</v>
      </c>
      <c r="K40" s="22"/>
      <c r="L40" s="72">
        <f>+J115</f>
        <v>20.996445954041999</v>
      </c>
      <c r="M40" s="72">
        <f t="shared" ref="M40:S40" si="3">+K115</f>
        <v>20.795929580790002</v>
      </c>
      <c r="N40" s="72">
        <f t="shared" si="3"/>
        <v>20.716882590807003</v>
      </c>
      <c r="O40" s="72">
        <f t="shared" si="3"/>
        <v>22.202066334591002</v>
      </c>
      <c r="P40" s="72">
        <f t="shared" si="3"/>
        <v>23.568165402677998</v>
      </c>
      <c r="Q40" s="72">
        <f t="shared" si="3"/>
        <v>24.597135442035</v>
      </c>
      <c r="R40" s="72">
        <f t="shared" si="3"/>
        <v>25.886116327734001</v>
      </c>
      <c r="S40" s="72">
        <f t="shared" si="3"/>
        <v>27.153960894333</v>
      </c>
      <c r="T40" s="72"/>
      <c r="U40" s="72">
        <v>14.26</v>
      </c>
      <c r="V40" s="72"/>
      <c r="W40" s="72"/>
    </row>
    <row r="41" spans="2:23" x14ac:dyDescent="0.25">
      <c r="B41" s="51" t="s">
        <v>245</v>
      </c>
      <c r="C41" s="51"/>
      <c r="D41" s="51"/>
      <c r="E41" s="51">
        <v>0.11600000000000001</v>
      </c>
      <c r="F41" s="51" t="s">
        <v>243</v>
      </c>
      <c r="I41" t="str">
        <f t="shared" si="2"/>
        <v>EXP-DSL</v>
      </c>
      <c r="J41" s="22" t="str">
        <f t="shared" ref="J41:J47" si="4">+RIGHT(I41,3)</f>
        <v>DSL</v>
      </c>
      <c r="K41" s="22"/>
      <c r="L41" s="72">
        <f>+J116</f>
        <v>20.905026160941002</v>
      </c>
      <c r="M41" s="72">
        <f t="shared" ref="M41:S41" si="5">+K116</f>
        <v>20.219447377232999</v>
      </c>
      <c r="N41" s="72">
        <f t="shared" si="5"/>
        <v>20.630671999937999</v>
      </c>
      <c r="O41" s="72">
        <f t="shared" si="5"/>
        <v>21.930071290101001</v>
      </c>
      <c r="P41" s="72">
        <f t="shared" si="5"/>
        <v>23.082531458571001</v>
      </c>
      <c r="Q41" s="72">
        <f t="shared" si="5"/>
        <v>23.875429665555</v>
      </c>
      <c r="R41" s="72">
        <f t="shared" si="5"/>
        <v>25.090517790116998</v>
      </c>
      <c r="S41" s="72">
        <f t="shared" si="5"/>
        <v>25.880965890156002</v>
      </c>
      <c r="T41" s="72"/>
      <c r="U41" s="72">
        <v>16.96</v>
      </c>
      <c r="V41" s="72"/>
      <c r="W41" s="72"/>
    </row>
    <row r="42" spans="2:23" x14ac:dyDescent="0.25">
      <c r="E42">
        <f>+E41*1000000</f>
        <v>116000</v>
      </c>
      <c r="F42" t="s">
        <v>135</v>
      </c>
      <c r="I42" t="str">
        <f t="shared" si="2"/>
        <v>EXP-KER</v>
      </c>
      <c r="J42" s="22" t="str">
        <f t="shared" si="4"/>
        <v>KER</v>
      </c>
      <c r="K42" s="22"/>
      <c r="L42" s="72">
        <f>+J117</f>
        <v>13.877034192216</v>
      </c>
      <c r="M42" s="72">
        <f t="shared" ref="M42:S42" si="6">+K117</f>
        <v>13.695434350650002</v>
      </c>
      <c r="N42" s="72">
        <f t="shared" si="6"/>
        <v>14.458260219857999</v>
      </c>
      <c r="O42" s="72">
        <f t="shared" si="6"/>
        <v>15.795199697939999</v>
      </c>
      <c r="P42" s="72">
        <f t="shared" si="6"/>
        <v>17.191836481949998</v>
      </c>
      <c r="Q42" s="72">
        <f t="shared" si="6"/>
        <v>18.196136740431001</v>
      </c>
      <c r="R42" s="72">
        <f t="shared" si="6"/>
        <v>19.62033319935</v>
      </c>
      <c r="S42" s="72">
        <f t="shared" si="6"/>
        <v>20.718097692200999</v>
      </c>
      <c r="T42" s="72"/>
      <c r="U42" s="72">
        <v>11.91</v>
      </c>
      <c r="V42" s="72"/>
      <c r="W42" s="72"/>
    </row>
    <row r="43" spans="2:23" x14ac:dyDescent="0.25">
      <c r="E43">
        <f>+E42/(1000000)</f>
        <v>0.11600000000000001</v>
      </c>
      <c r="F43" t="s">
        <v>136</v>
      </c>
      <c r="I43" t="str">
        <f t="shared" si="2"/>
        <v>EXP-LPG</v>
      </c>
      <c r="J43" s="22" t="str">
        <f t="shared" si="4"/>
        <v>LPG</v>
      </c>
      <c r="K43" s="22"/>
      <c r="L43" s="72">
        <f>+J118</f>
        <v>17.551047751146001</v>
      </c>
      <c r="M43" s="72">
        <f t="shared" ref="M43:S47" si="7">+K118</f>
        <v>16.867144707893999</v>
      </c>
      <c r="N43" s="72">
        <f t="shared" si="7"/>
        <v>19.872932116751997</v>
      </c>
      <c r="O43" s="72">
        <f t="shared" si="7"/>
        <v>22.022557377326997</v>
      </c>
      <c r="P43" s="72">
        <f t="shared" si="7"/>
        <v>22.891725470484001</v>
      </c>
      <c r="Q43" s="72">
        <f t="shared" si="7"/>
        <v>24.412499742618003</v>
      </c>
      <c r="R43" s="72">
        <f t="shared" si="7"/>
        <v>25.877700660591003</v>
      </c>
      <c r="S43" s="72">
        <f t="shared" si="7"/>
        <v>27.425805235919999</v>
      </c>
      <c r="T43" s="72"/>
      <c r="U43" s="72">
        <v>6.34</v>
      </c>
      <c r="V43" s="72"/>
      <c r="W43" s="72"/>
    </row>
    <row r="44" spans="2:23" x14ac:dyDescent="0.25">
      <c r="E44">
        <f>+E43/0.0036</f>
        <v>32.222222222222221</v>
      </c>
      <c r="F44" t="s">
        <v>134</v>
      </c>
      <c r="I44" t="str">
        <f t="shared" si="2"/>
        <v>EXP-HFO</v>
      </c>
      <c r="J44" s="22" t="str">
        <f t="shared" si="4"/>
        <v>HFO</v>
      </c>
      <c r="K44" s="22"/>
      <c r="L44" s="72">
        <f t="shared" ref="L44:L47" si="8">+J119</f>
        <v>9.2415067298189992</v>
      </c>
      <c r="M44" s="72">
        <f t="shared" si="7"/>
        <v>9.6605963379900004</v>
      </c>
      <c r="N44" s="72">
        <f t="shared" si="7"/>
        <v>9.3615136314569991</v>
      </c>
      <c r="O44" s="72">
        <f t="shared" si="7"/>
        <v>10.777456499940001</v>
      </c>
      <c r="P44" s="72">
        <f t="shared" si="7"/>
        <v>12.03505800822</v>
      </c>
      <c r="Q44" s="72">
        <f t="shared" si="7"/>
        <v>13.376972577735</v>
      </c>
      <c r="R44" s="72">
        <f t="shared" si="7"/>
        <v>14.299692331392</v>
      </c>
      <c r="S44" s="72">
        <f t="shared" si="7"/>
        <v>15.089726235401999</v>
      </c>
      <c r="T44" s="72"/>
      <c r="U44" s="72">
        <v>8.2100000000000009</v>
      </c>
      <c r="V44" s="72"/>
      <c r="W44" s="72"/>
    </row>
    <row r="45" spans="2:23" x14ac:dyDescent="0.25">
      <c r="I45" t="str">
        <f t="shared" si="2"/>
        <v>EXP-ETH</v>
      </c>
      <c r="J45" s="22" t="str">
        <f>+RIGHT(I45,3)</f>
        <v>ETH</v>
      </c>
      <c r="K45" s="22"/>
      <c r="L45" s="72">
        <f t="shared" si="8"/>
        <v>15.484369752577541</v>
      </c>
      <c r="M45" s="72">
        <f t="shared" si="7"/>
        <v>15.076841521470868</v>
      </c>
      <c r="N45" s="72">
        <f t="shared" si="7"/>
        <v>16.842423718223472</v>
      </c>
      <c r="O45" s="72">
        <f t="shared" si="7"/>
        <v>19.600166238545455</v>
      </c>
      <c r="P45" s="72">
        <f t="shared" si="7"/>
        <v>19.747825616593868</v>
      </c>
      <c r="Q45" s="72">
        <f t="shared" si="7"/>
        <v>20.304548193105546</v>
      </c>
      <c r="R45" s="72">
        <f t="shared" si="7"/>
        <v>21.409220503499576</v>
      </c>
      <c r="S45" s="72">
        <f t="shared" si="7"/>
        <v>24.151142776321418</v>
      </c>
      <c r="T45" s="72"/>
      <c r="U45" s="72">
        <v>26</v>
      </c>
      <c r="V45" s="72"/>
      <c r="W45" s="72"/>
    </row>
    <row r="46" spans="2:23" x14ac:dyDescent="0.25">
      <c r="I46" t="str">
        <f t="shared" si="2"/>
        <v>EXP-BDSL</v>
      </c>
      <c r="J46" s="22" t="str">
        <f>+RIGHT(I46,4)</f>
        <v>BDSL</v>
      </c>
      <c r="K46" s="22"/>
      <c r="L46" s="72">
        <f t="shared" si="8"/>
        <v>27.015813128159731</v>
      </c>
      <c r="M46" s="72">
        <f t="shared" si="7"/>
        <v>26.129831538723028</v>
      </c>
      <c r="N46" s="72">
        <f t="shared" si="7"/>
        <v>26.661261993541277</v>
      </c>
      <c r="O46" s="72">
        <f t="shared" si="7"/>
        <v>28.340491100056148</v>
      </c>
      <c r="P46" s="72">
        <f t="shared" si="7"/>
        <v>29.829829037705093</v>
      </c>
      <c r="Q46" s="72">
        <f t="shared" si="7"/>
        <v>30.854500790068418</v>
      </c>
      <c r="R46" s="72">
        <f t="shared" si="7"/>
        <v>32.424773577803386</v>
      </c>
      <c r="S46" s="72">
        <f t="shared" si="7"/>
        <v>33.446279027916688</v>
      </c>
      <c r="T46" s="72"/>
      <c r="U46" s="72">
        <v>29</v>
      </c>
      <c r="V46" s="72"/>
      <c r="W46" s="72"/>
    </row>
    <row r="47" spans="2:23" x14ac:dyDescent="0.25">
      <c r="B47" s="24" t="s">
        <v>137</v>
      </c>
      <c r="C47" s="24"/>
      <c r="D47" s="24"/>
      <c r="E47" s="26">
        <v>0.05</v>
      </c>
      <c r="I47" t="str">
        <f t="shared" si="2"/>
        <v>EXP-GAS</v>
      </c>
      <c r="J47" s="22" t="str">
        <f t="shared" si="4"/>
        <v>GAS</v>
      </c>
      <c r="K47" s="22"/>
      <c r="L47" s="72">
        <f t="shared" si="8"/>
        <v>4.769127007632</v>
      </c>
      <c r="M47" s="72">
        <f t="shared" si="7"/>
        <v>4.5122894526059998</v>
      </c>
      <c r="N47" s="72">
        <f t="shared" si="7"/>
        <v>4.9274484636779992</v>
      </c>
      <c r="O47" s="72">
        <f t="shared" si="7"/>
        <v>5.3827086642029993</v>
      </c>
      <c r="P47" s="72">
        <f t="shared" si="7"/>
        <v>5.4401245746119997</v>
      </c>
      <c r="Q47" s="72">
        <f t="shared" si="7"/>
        <v>5.4800854871490001</v>
      </c>
      <c r="R47" s="72">
        <f t="shared" si="7"/>
        <v>5.5431115263809998</v>
      </c>
      <c r="S47" s="72">
        <f t="shared" si="7"/>
        <v>5.7037579775280003</v>
      </c>
      <c r="T47" s="72"/>
      <c r="U47" s="72">
        <v>5.6</v>
      </c>
      <c r="V47" s="72"/>
      <c r="W47" s="72"/>
    </row>
    <row r="48" spans="2:23" x14ac:dyDescent="0.25">
      <c r="I48" t="str">
        <f t="shared" si="2"/>
        <v>EXP-LOIL</v>
      </c>
      <c r="J48" s="22" t="str">
        <f>+RIGHT(I48,4)</f>
        <v>LOIL</v>
      </c>
      <c r="K48" s="22"/>
      <c r="L48" s="72">
        <f t="shared" ref="L48:S48" si="9">+J126</f>
        <v>9.4202649837693002</v>
      </c>
      <c r="M48" s="72">
        <f t="shared" si="9"/>
        <v>8.8971488688237894</v>
      </c>
      <c r="N48" s="72">
        <f t="shared" si="9"/>
        <v>10.809495075642701</v>
      </c>
      <c r="O48" s="72">
        <f t="shared" si="9"/>
        <v>11.944874310089356</v>
      </c>
      <c r="P48" s="72">
        <f t="shared" si="9"/>
        <v>13.287214218828185</v>
      </c>
      <c r="Q48" s="72">
        <f t="shared" si="9"/>
        <v>14.355702223711937</v>
      </c>
      <c r="R48" s="72">
        <f t="shared" si="9"/>
        <v>15.630732976072419</v>
      </c>
      <c r="S48" s="72">
        <f t="shared" si="9"/>
        <v>16.864994934098721</v>
      </c>
      <c r="T48" s="72"/>
      <c r="U48" s="72">
        <v>7.26</v>
      </c>
      <c r="V48" s="72"/>
      <c r="W48" s="72"/>
    </row>
    <row r="49" spans="9:23" x14ac:dyDescent="0.25">
      <c r="I49" t="str">
        <f t="shared" si="2"/>
        <v>EXP-MOIL</v>
      </c>
      <c r="J49" s="22" t="str">
        <f>+RIGHT(I49,4)</f>
        <v>MOIL</v>
      </c>
      <c r="K49" s="22"/>
      <c r="L49" s="72">
        <f t="shared" ref="L49:S50" si="10">+J124</f>
        <v>8.6667911578505592</v>
      </c>
      <c r="M49" s="72">
        <f t="shared" si="10"/>
        <v>8.1855161483523844</v>
      </c>
      <c r="N49" s="72">
        <f t="shared" si="10"/>
        <v>9.9449045758078007</v>
      </c>
      <c r="O49" s="72">
        <f t="shared" si="10"/>
        <v>10.989471233631489</v>
      </c>
      <c r="P49" s="72">
        <f t="shared" si="10"/>
        <v>12.224444949544161</v>
      </c>
      <c r="Q49" s="72">
        <f t="shared" si="10"/>
        <v>13.207470629708267</v>
      </c>
      <c r="R49" s="72">
        <f t="shared" si="10"/>
        <v>14.380518868753001</v>
      </c>
      <c r="S49" s="72">
        <f t="shared" si="10"/>
        <v>15.516059179213938</v>
      </c>
      <c r="T49" s="72"/>
      <c r="U49" s="72">
        <v>7.01</v>
      </c>
      <c r="V49" s="72"/>
      <c r="W49" s="72"/>
    </row>
    <row r="50" spans="9:23" x14ac:dyDescent="0.25">
      <c r="I50" t="str">
        <f t="shared" si="2"/>
        <v>EXP-HOIL</v>
      </c>
      <c r="J50" s="22" t="str">
        <f>+RIGHT(I50,4)</f>
        <v>HOIL</v>
      </c>
      <c r="K50" s="22"/>
      <c r="L50" s="72">
        <f t="shared" si="10"/>
        <v>7.1598435060130816</v>
      </c>
      <c r="M50" s="72">
        <f t="shared" si="10"/>
        <v>6.7622507074095797</v>
      </c>
      <c r="N50" s="72">
        <f t="shared" si="10"/>
        <v>8.215723576138009</v>
      </c>
      <c r="O50" s="72">
        <f t="shared" si="10"/>
        <v>9.0786650807157603</v>
      </c>
      <c r="P50" s="72">
        <f t="shared" si="10"/>
        <v>10.098906410976124</v>
      </c>
      <c r="Q50" s="72">
        <f t="shared" si="10"/>
        <v>10.911007441700926</v>
      </c>
      <c r="R50" s="72">
        <f t="shared" si="10"/>
        <v>11.88009065411417</v>
      </c>
      <c r="S50" s="72">
        <f t="shared" si="10"/>
        <v>12.818187669444375</v>
      </c>
      <c r="T50" s="72"/>
      <c r="U50" s="72">
        <v>6.76</v>
      </c>
      <c r="V50" s="72"/>
      <c r="W50" s="72"/>
    </row>
    <row r="51" spans="9:23" x14ac:dyDescent="0.25">
      <c r="I51" t="str">
        <f t="shared" si="2"/>
        <v>EXP-SIN</v>
      </c>
      <c r="J51" s="23" t="s">
        <v>132</v>
      </c>
      <c r="K51" s="22"/>
      <c r="L51" s="73">
        <f>+E44</f>
        <v>32.222222222222221</v>
      </c>
      <c r="M51" s="73"/>
      <c r="N51" s="73"/>
      <c r="O51" s="73"/>
      <c r="P51" s="73"/>
      <c r="Q51" s="73"/>
      <c r="R51" s="73"/>
      <c r="S51" s="73"/>
    </row>
    <row r="52" spans="9:23" x14ac:dyDescent="0.25">
      <c r="I52" t="s">
        <v>526</v>
      </c>
      <c r="J52" s="249" t="str">
        <f t="shared" ref="J52" si="11">+RIGHT(I52,3)</f>
        <v>AVG</v>
      </c>
      <c r="L52" s="122">
        <v>21.450884058013838</v>
      </c>
      <c r="M52" s="122">
        <v>21.173796174722664</v>
      </c>
      <c r="N52" s="122">
        <v>22.060639953463127</v>
      </c>
      <c r="O52" s="122">
        <v>24.100563154252466</v>
      </c>
      <c r="P52" s="122">
        <v>26.231573439673227</v>
      </c>
      <c r="Q52" s="122">
        <v>27.763950507910614</v>
      </c>
      <c r="R52" s="122">
        <v>29.937011777070548</v>
      </c>
      <c r="S52" s="122">
        <v>31.611998038364984</v>
      </c>
    </row>
    <row r="53" spans="9:23" x14ac:dyDescent="0.25">
      <c r="I53" t="str">
        <f t="shared" ref="I53:I64" si="12">+J21</f>
        <v>IMP-GSL</v>
      </c>
      <c r="J53" s="22"/>
      <c r="K53" s="22" t="str">
        <f t="shared" ref="K53:K58" si="13">+RIGHT(I53,3)</f>
        <v>GSL</v>
      </c>
      <c r="L53" s="271">
        <f>+L40+($E$47*L40)</f>
        <v>22.046268251744099</v>
      </c>
      <c r="M53" s="25">
        <f t="shared" ref="L53:S63" si="14">+M40+($E$47*M40)</f>
        <v>21.835726059829501</v>
      </c>
      <c r="N53" s="25">
        <f t="shared" si="14"/>
        <v>21.752726720347354</v>
      </c>
      <c r="O53" s="25">
        <f t="shared" si="14"/>
        <v>23.312169651320552</v>
      </c>
      <c r="P53" s="25">
        <f t="shared" si="14"/>
        <v>24.746573672811898</v>
      </c>
      <c r="Q53" s="25">
        <f t="shared" si="14"/>
        <v>25.826992214136752</v>
      </c>
      <c r="R53" s="25">
        <f t="shared" si="14"/>
        <v>27.180422144120701</v>
      </c>
      <c r="S53" s="25">
        <f t="shared" si="14"/>
        <v>28.511658939049649</v>
      </c>
    </row>
    <row r="54" spans="9:23" x14ac:dyDescent="0.25">
      <c r="I54" t="str">
        <f t="shared" si="12"/>
        <v>IMP-DSL</v>
      </c>
      <c r="J54" s="22"/>
      <c r="K54" s="22" t="str">
        <f t="shared" si="13"/>
        <v>DSL</v>
      </c>
      <c r="L54" s="272">
        <f>+L41+($E$47*L41)</f>
        <v>21.950277468988052</v>
      </c>
      <c r="M54" s="25">
        <f t="shared" si="14"/>
        <v>21.23041974609465</v>
      </c>
      <c r="N54" s="25">
        <f t="shared" si="14"/>
        <v>21.6622055999349</v>
      </c>
      <c r="O54" s="25">
        <f t="shared" si="14"/>
        <v>23.02657485460605</v>
      </c>
      <c r="P54" s="25">
        <f t="shared" si="14"/>
        <v>24.236658031499552</v>
      </c>
      <c r="Q54" s="25">
        <f t="shared" si="14"/>
        <v>25.06920114883275</v>
      </c>
      <c r="R54" s="25">
        <f t="shared" si="14"/>
        <v>26.345043679622847</v>
      </c>
      <c r="S54" s="25">
        <f t="shared" si="14"/>
        <v>27.175014184663802</v>
      </c>
    </row>
    <row r="55" spans="9:23" x14ac:dyDescent="0.25">
      <c r="I55" t="str">
        <f t="shared" si="12"/>
        <v>IMP-KER</v>
      </c>
      <c r="J55" s="22"/>
      <c r="K55" s="22" t="str">
        <f t="shared" si="13"/>
        <v>KER</v>
      </c>
      <c r="L55" s="25">
        <f t="shared" si="14"/>
        <v>14.5708859018268</v>
      </c>
      <c r="M55" s="25">
        <f t="shared" si="14"/>
        <v>14.380206068182503</v>
      </c>
      <c r="N55" s="25">
        <f t="shared" si="14"/>
        <v>15.181173230850899</v>
      </c>
      <c r="O55" s="25">
        <f t="shared" si="14"/>
        <v>16.584959682836999</v>
      </c>
      <c r="P55" s="25">
        <f t="shared" si="14"/>
        <v>18.051428306047498</v>
      </c>
      <c r="Q55" s="25">
        <f t="shared" si="14"/>
        <v>19.10594357745255</v>
      </c>
      <c r="R55" s="25">
        <f t="shared" si="14"/>
        <v>20.601349859317502</v>
      </c>
      <c r="S55" s="25">
        <f t="shared" si="14"/>
        <v>21.75400257681105</v>
      </c>
    </row>
    <row r="56" spans="9:23" x14ac:dyDescent="0.25">
      <c r="I56" t="str">
        <f t="shared" si="12"/>
        <v>IMP-LPG</v>
      </c>
      <c r="J56" s="22"/>
      <c r="K56" s="22" t="str">
        <f t="shared" si="13"/>
        <v>LPG</v>
      </c>
      <c r="L56" s="25">
        <f t="shared" si="14"/>
        <v>18.428600138703302</v>
      </c>
      <c r="M56" s="25">
        <f t="shared" si="14"/>
        <v>17.710501943288698</v>
      </c>
      <c r="N56" s="25">
        <f t="shared" si="14"/>
        <v>20.866578722589598</v>
      </c>
      <c r="O56" s="25">
        <f t="shared" si="14"/>
        <v>23.123685246193347</v>
      </c>
      <c r="P56" s="25">
        <f t="shared" si="14"/>
        <v>24.036311744008202</v>
      </c>
      <c r="Q56" s="25">
        <f t="shared" si="14"/>
        <v>25.633124729748904</v>
      </c>
      <c r="R56" s="25">
        <f t="shared" si="14"/>
        <v>27.171585693620553</v>
      </c>
      <c r="S56" s="25">
        <f t="shared" si="14"/>
        <v>28.797095497716001</v>
      </c>
    </row>
    <row r="57" spans="9:23" x14ac:dyDescent="0.25">
      <c r="I57" t="str">
        <f t="shared" si="12"/>
        <v>IMP-HFO</v>
      </c>
      <c r="J57" s="22"/>
      <c r="K57" s="22" t="str">
        <f t="shared" si="13"/>
        <v>HFO</v>
      </c>
      <c r="L57" s="25">
        <f t="shared" si="14"/>
        <v>9.7035820663099486</v>
      </c>
      <c r="M57" s="25">
        <f t="shared" si="14"/>
        <v>10.1436261548895</v>
      </c>
      <c r="N57" s="25">
        <f t="shared" si="14"/>
        <v>9.8295893130298495</v>
      </c>
      <c r="O57" s="25">
        <f t="shared" si="14"/>
        <v>11.316329324937001</v>
      </c>
      <c r="P57" s="25">
        <f t="shared" si="14"/>
        <v>12.636810908631</v>
      </c>
      <c r="Q57" s="25">
        <f t="shared" si="14"/>
        <v>14.045821206621749</v>
      </c>
      <c r="R57" s="25">
        <f t="shared" si="14"/>
        <v>15.0146769479616</v>
      </c>
      <c r="S57" s="25">
        <f t="shared" si="14"/>
        <v>15.844212547172098</v>
      </c>
    </row>
    <row r="58" spans="9:23" x14ac:dyDescent="0.25">
      <c r="I58" t="str">
        <f t="shared" si="12"/>
        <v>IMP-ETH</v>
      </c>
      <c r="J58" s="22"/>
      <c r="K58" s="22" t="str">
        <f t="shared" si="13"/>
        <v>ETH</v>
      </c>
      <c r="L58" s="25">
        <f t="shared" si="14"/>
        <v>16.258588240206418</v>
      </c>
      <c r="M58" s="25">
        <f t="shared" si="14"/>
        <v>15.830683597544411</v>
      </c>
      <c r="N58" s="25">
        <f t="shared" si="14"/>
        <v>17.684544904134647</v>
      </c>
      <c r="O58" s="25">
        <f t="shared" si="14"/>
        <v>20.580174550472726</v>
      </c>
      <c r="P58" s="25">
        <f t="shared" si="14"/>
        <v>20.735216897423562</v>
      </c>
      <c r="Q58" s="25">
        <f t="shared" si="14"/>
        <v>21.319775602760824</v>
      </c>
      <c r="R58" s="25">
        <f t="shared" si="14"/>
        <v>22.479681528674554</v>
      </c>
      <c r="S58" s="25">
        <f t="shared" si="14"/>
        <v>25.358699915137489</v>
      </c>
    </row>
    <row r="59" spans="9:23" x14ac:dyDescent="0.25">
      <c r="I59" t="str">
        <f t="shared" si="12"/>
        <v>IMP-BDSL</v>
      </c>
      <c r="J59" s="22"/>
      <c r="K59" s="22" t="str">
        <f>+RIGHT(I59,4)</f>
        <v>BDSL</v>
      </c>
      <c r="L59" s="25">
        <f t="shared" si="14"/>
        <v>28.366603784567719</v>
      </c>
      <c r="M59" s="25">
        <f t="shared" si="14"/>
        <v>27.436323115659178</v>
      </c>
      <c r="N59" s="25">
        <f t="shared" si="14"/>
        <v>27.994325093218343</v>
      </c>
      <c r="O59" s="25">
        <f t="shared" si="14"/>
        <v>29.757515655058956</v>
      </c>
      <c r="P59" s="25">
        <f t="shared" si="14"/>
        <v>31.321320489590349</v>
      </c>
      <c r="Q59" s="25">
        <f t="shared" si="14"/>
        <v>32.397225829571838</v>
      </c>
      <c r="R59" s="25">
        <f t="shared" si="14"/>
        <v>34.046012256693558</v>
      </c>
      <c r="S59" s="25">
        <f t="shared" si="14"/>
        <v>35.118592979312524</v>
      </c>
    </row>
    <row r="60" spans="9:23" x14ac:dyDescent="0.25">
      <c r="I60" t="str">
        <f t="shared" si="12"/>
        <v>IMP-GAS</v>
      </c>
      <c r="J60" s="22"/>
      <c r="K60" s="22" t="str">
        <f>+RIGHT(I60,3)</f>
        <v>GAS</v>
      </c>
      <c r="L60" s="25">
        <f t="shared" si="14"/>
        <v>5.0075833580136004</v>
      </c>
      <c r="M60" s="25">
        <f t="shared" si="14"/>
        <v>4.7379039252362993</v>
      </c>
      <c r="N60" s="25">
        <f t="shared" si="14"/>
        <v>5.1738208868618987</v>
      </c>
      <c r="O60" s="25">
        <f t="shared" si="14"/>
        <v>5.6518440974131492</v>
      </c>
      <c r="P60" s="25">
        <f t="shared" si="14"/>
        <v>5.7121308033425997</v>
      </c>
      <c r="Q60" s="25">
        <f t="shared" si="14"/>
        <v>5.7540897615064504</v>
      </c>
      <c r="R60" s="25">
        <f t="shared" si="14"/>
        <v>5.8202671027000497</v>
      </c>
      <c r="S60" s="25">
        <f t="shared" si="14"/>
        <v>5.9889458764043999</v>
      </c>
    </row>
    <row r="61" spans="9:23" x14ac:dyDescent="0.25">
      <c r="I61" t="str">
        <f t="shared" si="12"/>
        <v>IMP-LOIL</v>
      </c>
      <c r="J61" s="22"/>
      <c r="K61" s="22" t="str">
        <f>+RIGHT(I61,4)</f>
        <v>LOIL</v>
      </c>
      <c r="L61" s="25">
        <f t="shared" si="14"/>
        <v>9.8912782329577649</v>
      </c>
      <c r="M61" s="25">
        <f t="shared" si="14"/>
        <v>9.3420063122649797</v>
      </c>
      <c r="N61" s="25">
        <f t="shared" si="14"/>
        <v>11.349969829424836</v>
      </c>
      <c r="O61" s="25">
        <f t="shared" si="14"/>
        <v>12.542118025593822</v>
      </c>
      <c r="P61" s="25">
        <f t="shared" si="14"/>
        <v>13.951574929769594</v>
      </c>
      <c r="Q61" s="25">
        <f t="shared" si="14"/>
        <v>15.073487334897534</v>
      </c>
      <c r="R61" s="25">
        <f t="shared" si="14"/>
        <v>16.412269624876039</v>
      </c>
      <c r="S61" s="25">
        <f t="shared" si="14"/>
        <v>17.708244680803656</v>
      </c>
    </row>
    <row r="62" spans="9:23" x14ac:dyDescent="0.25">
      <c r="I62" t="str">
        <f t="shared" si="12"/>
        <v>IMP-MOIL</v>
      </c>
      <c r="J62" s="22"/>
      <c r="K62" s="22" t="str">
        <f>+RIGHT(I62,4)</f>
        <v>MOIL</v>
      </c>
      <c r="L62" s="25">
        <f t="shared" si="14"/>
        <v>9.100130715743088</v>
      </c>
      <c r="M62" s="25">
        <f t="shared" si="14"/>
        <v>8.5947919557700043</v>
      </c>
      <c r="N62" s="25">
        <f t="shared" si="14"/>
        <v>10.442149804598191</v>
      </c>
      <c r="O62" s="25">
        <f t="shared" si="14"/>
        <v>11.538944795313064</v>
      </c>
      <c r="P62" s="25">
        <f t="shared" si="14"/>
        <v>12.835667197021369</v>
      </c>
      <c r="Q62" s="25">
        <f t="shared" si="14"/>
        <v>13.86784416119368</v>
      </c>
      <c r="R62" s="25">
        <f t="shared" si="14"/>
        <v>15.099544812190651</v>
      </c>
      <c r="S62" s="25">
        <f t="shared" si="14"/>
        <v>16.291862138174636</v>
      </c>
    </row>
    <row r="63" spans="9:23" x14ac:dyDescent="0.25">
      <c r="I63" t="str">
        <f t="shared" si="12"/>
        <v>IMP-HOIL</v>
      </c>
      <c r="J63" s="22"/>
      <c r="K63" s="22" t="str">
        <f>+RIGHT(I63,4)</f>
        <v>HOIL</v>
      </c>
      <c r="L63" s="25">
        <f t="shared" si="14"/>
        <v>7.5178356813137359</v>
      </c>
      <c r="M63" s="25">
        <f t="shared" si="14"/>
        <v>7.1003632427800589</v>
      </c>
      <c r="N63" s="25">
        <f t="shared" si="14"/>
        <v>8.6265097549449088</v>
      </c>
      <c r="O63" s="25">
        <f t="shared" si="14"/>
        <v>9.5325983347515475</v>
      </c>
      <c r="P63" s="25">
        <f t="shared" si="14"/>
        <v>10.60385173152493</v>
      </c>
      <c r="Q63" s="25">
        <f t="shared" si="14"/>
        <v>11.456557813785972</v>
      </c>
      <c r="R63" s="25">
        <f t="shared" si="14"/>
        <v>12.474095186819879</v>
      </c>
      <c r="S63" s="25">
        <f t="shared" si="14"/>
        <v>13.459097052916594</v>
      </c>
    </row>
    <row r="64" spans="9:23" x14ac:dyDescent="0.25">
      <c r="I64" t="str">
        <f t="shared" si="12"/>
        <v>IMP-SIN</v>
      </c>
      <c r="J64" s="22"/>
      <c r="K64" s="23" t="s">
        <v>132</v>
      </c>
      <c r="L64" s="74">
        <f>+L51+($E$47*L51)</f>
        <v>33.833333333333336</v>
      </c>
      <c r="M64" s="74"/>
      <c r="N64" s="74"/>
      <c r="O64" s="74"/>
      <c r="P64" s="74"/>
      <c r="Q64" s="74"/>
      <c r="R64" s="74"/>
      <c r="S64" s="74"/>
    </row>
    <row r="65" spans="9:19" x14ac:dyDescent="0.25">
      <c r="I65" t="s">
        <v>528</v>
      </c>
      <c r="K65" s="250" t="str">
        <f>+J52</f>
        <v>AVG</v>
      </c>
      <c r="L65" s="25">
        <f>+L52*(100%+$E$47)</f>
        <v>22.523428260914532</v>
      </c>
      <c r="M65" s="25">
        <f t="shared" ref="M65:S65" si="15">+M52*(100%+$E$47)</f>
        <v>22.232485983458798</v>
      </c>
      <c r="N65" s="25">
        <f t="shared" si="15"/>
        <v>23.163671951136283</v>
      </c>
      <c r="O65" s="25">
        <f t="shared" si="15"/>
        <v>25.305591311965092</v>
      </c>
      <c r="P65" s="25">
        <f t="shared" si="15"/>
        <v>27.543152111656891</v>
      </c>
      <c r="Q65" s="25">
        <f t="shared" si="15"/>
        <v>29.152148033306148</v>
      </c>
      <c r="R65" s="25">
        <f t="shared" si="15"/>
        <v>31.433862365924078</v>
      </c>
      <c r="S65" s="25">
        <f t="shared" si="15"/>
        <v>33.192597940283235</v>
      </c>
    </row>
    <row r="72" spans="9:19" x14ac:dyDescent="0.25">
      <c r="I72" t="s">
        <v>216</v>
      </c>
    </row>
    <row r="73" spans="9:19" x14ac:dyDescent="0.25">
      <c r="J73" t="s">
        <v>225</v>
      </c>
      <c r="K73" s="71" t="s">
        <v>226</v>
      </c>
      <c r="L73" s="71" t="s">
        <v>227</v>
      </c>
      <c r="M73" t="s">
        <v>228</v>
      </c>
    </row>
    <row r="74" spans="9:19" x14ac:dyDescent="0.25">
      <c r="I74" t="s">
        <v>217</v>
      </c>
      <c r="J74" t="s">
        <v>215</v>
      </c>
      <c r="K74" s="71">
        <v>56.261001999999998</v>
      </c>
      <c r="L74" s="71">
        <f>+K74/$J$80</f>
        <v>9.9388771706679382</v>
      </c>
    </row>
    <row r="75" spans="9:19" x14ac:dyDescent="0.25">
      <c r="I75" t="s">
        <v>218</v>
      </c>
      <c r="J75" t="s">
        <v>221</v>
      </c>
      <c r="K75" s="71">
        <f>+K74-4.5</f>
        <v>51.761001999999998</v>
      </c>
      <c r="L75" s="71">
        <f t="shared" ref="L75:L76" si="16">+K75/$J$80</f>
        <v>9.1439224830851291</v>
      </c>
      <c r="M75" s="63">
        <f>+(L75-L74)/L74</f>
        <v>-7.9984355770983381E-2</v>
      </c>
    </row>
    <row r="76" spans="9:19" x14ac:dyDescent="0.25">
      <c r="I76" t="s">
        <v>219</v>
      </c>
      <c r="J76" t="s">
        <v>220</v>
      </c>
      <c r="K76" s="71">
        <f>+K75-9</f>
        <v>42.761001999999998</v>
      </c>
      <c r="L76" s="71">
        <f t="shared" si="16"/>
        <v>7.5540131079195145</v>
      </c>
      <c r="M76" s="63">
        <f>+(L76-L74)/L74</f>
        <v>-0.2399530673129498</v>
      </c>
    </row>
    <row r="80" spans="9:19" x14ac:dyDescent="0.25">
      <c r="I80" t="s">
        <v>222</v>
      </c>
      <c r="J80">
        <v>5.6607000000000003</v>
      </c>
      <c r="K80" t="s">
        <v>227</v>
      </c>
    </row>
    <row r="81" spans="9:41" x14ac:dyDescent="0.25">
      <c r="J81" t="s">
        <v>215</v>
      </c>
      <c r="K81" t="s">
        <v>215</v>
      </c>
    </row>
    <row r="82" spans="9:41" x14ac:dyDescent="0.25">
      <c r="J82">
        <f>4.5/J80</f>
        <v>0.79495468758280774</v>
      </c>
      <c r="K82" t="s">
        <v>223</v>
      </c>
    </row>
    <row r="83" spans="9:41" x14ac:dyDescent="0.25">
      <c r="J83">
        <f>9/J80</f>
        <v>1.5899093751656155</v>
      </c>
      <c r="K83" t="s">
        <v>224</v>
      </c>
    </row>
    <row r="95" spans="9:41" x14ac:dyDescent="0.25">
      <c r="I95" t="s">
        <v>241</v>
      </c>
    </row>
    <row r="96" spans="9:41" x14ac:dyDescent="0.25">
      <c r="J96">
        <v>2019</v>
      </c>
      <c r="K96">
        <v>2020</v>
      </c>
      <c r="L96">
        <v>2021</v>
      </c>
      <c r="M96">
        <v>2022</v>
      </c>
      <c r="N96">
        <v>2023</v>
      </c>
      <c r="O96">
        <v>2024</v>
      </c>
      <c r="P96">
        <v>2025</v>
      </c>
      <c r="Q96">
        <v>2026</v>
      </c>
      <c r="R96">
        <v>2027</v>
      </c>
      <c r="S96">
        <v>2028</v>
      </c>
      <c r="T96">
        <v>2029</v>
      </c>
      <c r="U96">
        <v>2030</v>
      </c>
      <c r="V96">
        <v>2031</v>
      </c>
      <c r="W96">
        <v>2032</v>
      </c>
      <c r="X96">
        <v>2033</v>
      </c>
      <c r="Y96">
        <v>2034</v>
      </c>
      <c r="Z96">
        <v>2035</v>
      </c>
      <c r="AA96">
        <v>2036</v>
      </c>
      <c r="AB96">
        <v>2037</v>
      </c>
      <c r="AC96">
        <v>2038</v>
      </c>
      <c r="AD96">
        <v>2039</v>
      </c>
      <c r="AE96">
        <v>2040</v>
      </c>
      <c r="AF96">
        <v>2041</v>
      </c>
      <c r="AG96">
        <v>2042</v>
      </c>
      <c r="AH96">
        <v>2043</v>
      </c>
      <c r="AI96">
        <v>2044</v>
      </c>
      <c r="AJ96">
        <v>2045</v>
      </c>
      <c r="AK96">
        <v>2046</v>
      </c>
      <c r="AL96">
        <v>2047</v>
      </c>
      <c r="AM96">
        <v>2048</v>
      </c>
      <c r="AN96">
        <v>2049</v>
      </c>
      <c r="AO96">
        <v>2050</v>
      </c>
    </row>
    <row r="97" spans="9:41" x14ac:dyDescent="0.25">
      <c r="I97" t="s">
        <v>45</v>
      </c>
      <c r="J97" s="70">
        <v>22.152425999999998</v>
      </c>
      <c r="K97" s="69">
        <v>21.94087</v>
      </c>
      <c r="L97" s="70">
        <v>21.968945999999999</v>
      </c>
      <c r="M97" s="69">
        <v>21.978165000000001</v>
      </c>
      <c r="N97" s="70">
        <v>21.894269999999999</v>
      </c>
      <c r="O97" s="69">
        <v>21.607965</v>
      </c>
      <c r="P97" s="70">
        <v>21.857471</v>
      </c>
      <c r="Q97" s="69">
        <v>22.043116000000001</v>
      </c>
      <c r="R97" s="70">
        <v>22.312280999999999</v>
      </c>
      <c r="S97" s="69">
        <v>22.424955000000001</v>
      </c>
      <c r="T97" s="70">
        <v>22.720831</v>
      </c>
      <c r="U97" s="69">
        <v>23.424423000000001</v>
      </c>
      <c r="V97" s="70">
        <v>23.588041</v>
      </c>
      <c r="W97" s="69">
        <v>23.796983999999998</v>
      </c>
      <c r="X97" s="70">
        <v>24.220589</v>
      </c>
      <c r="Y97" s="69">
        <v>24.608730000000001</v>
      </c>
      <c r="Z97" s="70">
        <v>24.865734</v>
      </c>
      <c r="AA97" s="69">
        <v>25.162941</v>
      </c>
      <c r="AB97" s="70">
        <v>25.240604000000001</v>
      </c>
      <c r="AC97" s="69">
        <v>25.517137999999999</v>
      </c>
      <c r="AD97" s="70">
        <v>25.858951999999999</v>
      </c>
      <c r="AE97" s="69">
        <v>25.951355</v>
      </c>
      <c r="AF97" s="70">
        <v>26.136623</v>
      </c>
      <c r="AG97" s="69">
        <v>26.539719000000002</v>
      </c>
      <c r="AH97" s="70">
        <v>26.75515</v>
      </c>
      <c r="AI97" s="69">
        <v>26.964805999999999</v>
      </c>
      <c r="AJ97" s="70">
        <v>27.311302000000001</v>
      </c>
      <c r="AK97" s="69">
        <v>27.396849</v>
      </c>
      <c r="AL97" s="70">
        <v>27.872745999999999</v>
      </c>
      <c r="AM97" s="69">
        <v>28.194441000000001</v>
      </c>
      <c r="AN97" s="70">
        <v>28.439672000000002</v>
      </c>
      <c r="AO97" s="69">
        <v>28.648949000000002</v>
      </c>
    </row>
    <row r="98" spans="9:41" x14ac:dyDescent="0.25">
      <c r="I98" t="s">
        <v>47</v>
      </c>
      <c r="J98" s="70">
        <v>22.055973000000002</v>
      </c>
      <c r="K98" s="69">
        <v>21.332649</v>
      </c>
      <c r="L98" s="70">
        <v>21.307634</v>
      </c>
      <c r="M98" s="69">
        <v>21.509706000000001</v>
      </c>
      <c r="N98" s="70">
        <v>21.507311000000001</v>
      </c>
      <c r="O98" s="69">
        <v>21.769124999999999</v>
      </c>
      <c r="P98" s="70">
        <v>21.766514000000001</v>
      </c>
      <c r="Q98" s="69">
        <v>22.167186999999998</v>
      </c>
      <c r="R98" s="70">
        <v>22.215661999999998</v>
      </c>
      <c r="S98" s="69">
        <v>22.559709999999999</v>
      </c>
      <c r="T98" s="70">
        <v>22.7668</v>
      </c>
      <c r="U98" s="69">
        <v>23.137453000000001</v>
      </c>
      <c r="V98" s="70">
        <v>23.400127000000001</v>
      </c>
      <c r="W98" s="69">
        <v>23.565245000000001</v>
      </c>
      <c r="X98" s="70">
        <v>23.939878</v>
      </c>
      <c r="Y98" s="69">
        <v>24.132757000000002</v>
      </c>
      <c r="Z98" s="70">
        <v>24.353363000000002</v>
      </c>
      <c r="AA98" s="69">
        <v>24.599989000000001</v>
      </c>
      <c r="AB98" s="70">
        <v>24.760366000000001</v>
      </c>
      <c r="AC98" s="69">
        <v>24.966681000000001</v>
      </c>
      <c r="AD98" s="70">
        <v>25.188585</v>
      </c>
      <c r="AE98" s="69">
        <v>25.189914999999999</v>
      </c>
      <c r="AF98" s="70">
        <v>25.361546000000001</v>
      </c>
      <c r="AG98" s="69">
        <v>25.739941000000002</v>
      </c>
      <c r="AH98" s="70">
        <v>25.903061000000001</v>
      </c>
      <c r="AI98" s="69">
        <v>26.101400000000002</v>
      </c>
      <c r="AJ98" s="70">
        <v>26.471900999999999</v>
      </c>
      <c r="AK98" s="69">
        <v>26.487107999999999</v>
      </c>
      <c r="AL98" s="70">
        <v>26.746400999999999</v>
      </c>
      <c r="AM98" s="69">
        <v>26.985009999999999</v>
      </c>
      <c r="AN98" s="70">
        <v>27.152633999999999</v>
      </c>
      <c r="AO98" s="69">
        <v>27.305868</v>
      </c>
    </row>
    <row r="99" spans="9:41" x14ac:dyDescent="0.25">
      <c r="I99" t="s">
        <v>48</v>
      </c>
      <c r="J99" s="70">
        <v>14.641048</v>
      </c>
      <c r="K99" s="69">
        <v>14.449450000000001</v>
      </c>
      <c r="L99" s="70">
        <v>14.469915</v>
      </c>
      <c r="M99" s="69">
        <v>14.677915</v>
      </c>
      <c r="N99" s="70">
        <v>14.784328</v>
      </c>
      <c r="O99" s="69">
        <v>15.181978000000001</v>
      </c>
      <c r="P99" s="70">
        <v>15.254274000000001</v>
      </c>
      <c r="Q99" s="69">
        <v>15.71048</v>
      </c>
      <c r="R99" s="70">
        <v>15.739540999999999</v>
      </c>
      <c r="S99" s="69">
        <v>16.214652999999998</v>
      </c>
      <c r="T99" s="70">
        <v>16.425370999999998</v>
      </c>
      <c r="U99" s="69">
        <v>16.664819999999999</v>
      </c>
      <c r="V99" s="70">
        <v>17.012841999999999</v>
      </c>
      <c r="W99" s="69">
        <v>17.187419999999999</v>
      </c>
      <c r="X99" s="70">
        <v>17.583839000000001</v>
      </c>
      <c r="Y99" s="69">
        <v>17.868292</v>
      </c>
      <c r="Z99" s="70">
        <v>18.138349999999999</v>
      </c>
      <c r="AA99" s="69">
        <v>18.383088999999998</v>
      </c>
      <c r="AB99" s="70">
        <v>18.624289999999998</v>
      </c>
      <c r="AC99" s="69">
        <v>18.83005</v>
      </c>
      <c r="AD99" s="70">
        <v>19.106794000000001</v>
      </c>
      <c r="AE99" s="69">
        <v>19.197942999999999</v>
      </c>
      <c r="AF99" s="70">
        <v>19.450199000000001</v>
      </c>
      <c r="AG99" s="69">
        <v>19.834574</v>
      </c>
      <c r="AH99" s="70">
        <v>20.040814999999998</v>
      </c>
      <c r="AI99" s="69">
        <v>20.276285000000001</v>
      </c>
      <c r="AJ99" s="70">
        <v>20.70055</v>
      </c>
      <c r="AK99" s="69">
        <v>20.752966000000001</v>
      </c>
      <c r="AL99" s="70">
        <v>21.175343999999999</v>
      </c>
      <c r="AM99" s="69">
        <v>21.518598999999998</v>
      </c>
      <c r="AN99" s="70">
        <v>21.766680000000001</v>
      </c>
      <c r="AO99" s="69">
        <v>21.858753</v>
      </c>
    </row>
    <row r="100" spans="9:41" x14ac:dyDescent="0.25">
      <c r="I100" t="s">
        <v>49</v>
      </c>
      <c r="J100" s="70">
        <v>18.517337999999999</v>
      </c>
      <c r="K100" s="69">
        <v>17.795781999999999</v>
      </c>
      <c r="L100" s="70">
        <v>18.164116</v>
      </c>
      <c r="M100" s="69">
        <v>18.891821</v>
      </c>
      <c r="N100" s="70">
        <v>19.477640000000001</v>
      </c>
      <c r="O100" s="69">
        <v>20.115549000000001</v>
      </c>
      <c r="P100" s="70">
        <v>20.967055999999999</v>
      </c>
      <c r="Q100" s="69">
        <v>21.841379</v>
      </c>
      <c r="R100" s="70">
        <v>22.424021</v>
      </c>
      <c r="S100" s="69">
        <v>22.825673999999999</v>
      </c>
      <c r="T100" s="70">
        <v>23.067326999999999</v>
      </c>
      <c r="U100" s="69">
        <v>23.235030999999999</v>
      </c>
      <c r="V100" s="70">
        <v>23.271035999999999</v>
      </c>
      <c r="W100" s="69">
        <v>23.351419</v>
      </c>
      <c r="X100" s="70">
        <v>23.62575</v>
      </c>
      <c r="Y100" s="69">
        <v>23.87743</v>
      </c>
      <c r="Z100" s="70">
        <v>24.152052000000001</v>
      </c>
      <c r="AA100" s="69">
        <v>24.470886</v>
      </c>
      <c r="AB100" s="70">
        <v>24.818118999999999</v>
      </c>
      <c r="AC100" s="69">
        <v>25.156732999999999</v>
      </c>
      <c r="AD100" s="70">
        <v>25.476082000000002</v>
      </c>
      <c r="AE100" s="69">
        <v>25.756554000000001</v>
      </c>
      <c r="AF100" s="70">
        <v>26.017603000000001</v>
      </c>
      <c r="AG100" s="69">
        <v>26.396612000000001</v>
      </c>
      <c r="AH100" s="70">
        <v>26.704369</v>
      </c>
      <c r="AI100" s="69">
        <v>27.004362</v>
      </c>
      <c r="AJ100" s="70">
        <v>27.302423000000001</v>
      </c>
      <c r="AK100" s="69">
        <v>27.590530000000001</v>
      </c>
      <c r="AL100" s="70">
        <v>27.952341000000001</v>
      </c>
      <c r="AM100" s="69">
        <v>28.331855999999998</v>
      </c>
      <c r="AN100" s="70">
        <v>28.642916</v>
      </c>
      <c r="AO100" s="69">
        <v>28.935759999999998</v>
      </c>
    </row>
    <row r="101" spans="9:41" x14ac:dyDescent="0.25">
      <c r="I101" t="s">
        <v>50</v>
      </c>
      <c r="J101" s="70">
        <v>9.7503069999999994</v>
      </c>
      <c r="K101" s="69">
        <v>10.19247</v>
      </c>
      <c r="L101" s="70">
        <v>10.271381</v>
      </c>
      <c r="M101" s="69">
        <v>10.173702</v>
      </c>
      <c r="N101" s="70">
        <v>9.1834290000000003</v>
      </c>
      <c r="O101" s="69">
        <v>9.5545159999999996</v>
      </c>
      <c r="P101" s="70">
        <v>9.8769209999999994</v>
      </c>
      <c r="Q101" s="69">
        <v>10.457724000000001</v>
      </c>
      <c r="R101" s="70">
        <v>11.210336</v>
      </c>
      <c r="S101" s="69">
        <v>11.536975999999999</v>
      </c>
      <c r="T101" s="70">
        <v>11.842731000000001</v>
      </c>
      <c r="U101" s="69">
        <v>11.37082</v>
      </c>
      <c r="V101" s="70">
        <v>11.605115</v>
      </c>
      <c r="W101" s="69">
        <v>11.676685000000001</v>
      </c>
      <c r="X101" s="70">
        <v>11.933399</v>
      </c>
      <c r="Y101" s="69">
        <v>12.064242</v>
      </c>
      <c r="Z101" s="70">
        <v>12.697660000000001</v>
      </c>
      <c r="AA101" s="69">
        <v>13.116432</v>
      </c>
      <c r="AB101" s="70">
        <v>13.224297</v>
      </c>
      <c r="AC101" s="69">
        <v>13.736769000000001</v>
      </c>
      <c r="AD101" s="70">
        <v>13.914393</v>
      </c>
      <c r="AE101" s="69">
        <v>14.113455</v>
      </c>
      <c r="AF101" s="70">
        <v>14.229108</v>
      </c>
      <c r="AG101" s="69">
        <v>14.283981000000001</v>
      </c>
      <c r="AH101" s="70">
        <v>14.843826</v>
      </c>
      <c r="AI101" s="69">
        <v>15.073577</v>
      </c>
      <c r="AJ101" s="70">
        <v>15.086976</v>
      </c>
      <c r="AK101" s="69">
        <v>15.677839000000001</v>
      </c>
      <c r="AL101" s="70">
        <v>15.942997</v>
      </c>
      <c r="AM101" s="69">
        <v>16.146730000000002</v>
      </c>
      <c r="AN101" s="70">
        <v>16.344221000000001</v>
      </c>
      <c r="AO101" s="69">
        <v>15.920506</v>
      </c>
    </row>
    <row r="102" spans="9:41" x14ac:dyDescent="0.25">
      <c r="I102" t="s">
        <v>43</v>
      </c>
      <c r="J102">
        <v>16.336877005347596</v>
      </c>
      <c r="K102">
        <v>15.906911905432029</v>
      </c>
      <c r="L102">
        <v>16.583545735997749</v>
      </c>
      <c r="M102">
        <v>17.425744441317196</v>
      </c>
      <c r="N102">
        <v>17.265841823810863</v>
      </c>
      <c r="O102">
        <v>17.183804109203489</v>
      </c>
      <c r="P102">
        <v>17.76969997185477</v>
      </c>
      <c r="Q102">
        <v>17.949379116239797</v>
      </c>
      <c r="R102">
        <v>18.489267661131436</v>
      </c>
      <c r="S102">
        <v>19.181316070925977</v>
      </c>
      <c r="T102">
        <v>19.59553560371517</v>
      </c>
      <c r="U102">
        <v>20.679272727272728</v>
      </c>
      <c r="V102">
        <v>20.745623979735434</v>
      </c>
      <c r="W102">
        <v>20.815344216155363</v>
      </c>
      <c r="X102">
        <v>20.860866873065014</v>
      </c>
      <c r="Y102">
        <v>20.756759358288768</v>
      </c>
      <c r="Z102">
        <v>20.835061638052352</v>
      </c>
      <c r="AA102">
        <v>20.885974669293553</v>
      </c>
      <c r="AB102">
        <v>20.979112299465239</v>
      </c>
      <c r="AC102">
        <v>21.052343371798479</v>
      </c>
      <c r="AD102">
        <v>21.330976076555025</v>
      </c>
      <c r="AE102">
        <v>21.42243512524627</v>
      </c>
      <c r="AF102">
        <v>21.491599774838164</v>
      </c>
      <c r="AG102">
        <v>21.928314663664509</v>
      </c>
      <c r="AH102">
        <v>22.202857303687022</v>
      </c>
      <c r="AI102">
        <v>22.659845201238387</v>
      </c>
      <c r="AJ102">
        <v>22.587926259499014</v>
      </c>
      <c r="AK102">
        <v>22.963514776245425</v>
      </c>
      <c r="AL102">
        <v>23.469701660568532</v>
      </c>
      <c r="AM102">
        <v>23.726725584013508</v>
      </c>
      <c r="AN102">
        <v>24.321664508865748</v>
      </c>
      <c r="AO102">
        <v>25.480807768083309</v>
      </c>
    </row>
    <row r="103" spans="9:41" x14ac:dyDescent="0.25">
      <c r="I103" t="s">
        <v>44</v>
      </c>
      <c r="J103">
        <v>28.503195372270948</v>
      </c>
      <c r="K103">
        <v>27.56843519236628</v>
      </c>
      <c r="L103">
        <v>27.536108011323876</v>
      </c>
      <c r="M103">
        <v>27.797248052403248</v>
      </c>
      <c r="N103">
        <v>27.794152965511518</v>
      </c>
      <c r="O103">
        <v>28.132498301407413</v>
      </c>
      <c r="P103">
        <v>28.129124075155097</v>
      </c>
      <c r="Q103">
        <v>28.646918542866576</v>
      </c>
      <c r="R103">
        <v>28.709563360017508</v>
      </c>
      <c r="S103">
        <v>29.154180668963214</v>
      </c>
      <c r="T103">
        <v>29.421805530928889</v>
      </c>
      <c r="U103">
        <v>29.90080479676578</v>
      </c>
      <c r="V103">
        <v>30.240261520856617</v>
      </c>
      <c r="W103">
        <v>30.453645469661708</v>
      </c>
      <c r="X103">
        <v>30.937788136679849</v>
      </c>
      <c r="Y103">
        <v>31.187047954880036</v>
      </c>
      <c r="Z103">
        <v>31.472139703872259</v>
      </c>
      <c r="AA103">
        <v>31.79085740732074</v>
      </c>
      <c r="AB103">
        <v>31.99811450562326</v>
      </c>
      <c r="AC103">
        <v>32.264737825901626</v>
      </c>
      <c r="AD103">
        <v>32.551506995681095</v>
      </c>
      <c r="AE103">
        <v>32.553225770447689</v>
      </c>
      <c r="AF103">
        <v>32.775026546361701</v>
      </c>
      <c r="AG103">
        <v>33.264030890576777</v>
      </c>
      <c r="AH103">
        <v>33.474832800296412</v>
      </c>
      <c r="AI103">
        <v>33.731148641222632</v>
      </c>
      <c r="AJ103">
        <v>34.209951475657626</v>
      </c>
      <c r="AK103">
        <v>34.229603662030271</v>
      </c>
      <c r="AL103">
        <v>34.564691079740761</v>
      </c>
      <c r="AM103">
        <v>34.873048319051037</v>
      </c>
      <c r="AN103">
        <v>35.089670801363731</v>
      </c>
      <c r="AO103">
        <v>35.287696916088954</v>
      </c>
    </row>
    <row r="104" spans="9:41" x14ac:dyDescent="0.25">
      <c r="I104" t="s">
        <v>51</v>
      </c>
      <c r="J104" s="70">
        <v>5.0316960000000002</v>
      </c>
      <c r="K104" s="69">
        <v>4.7607179999999998</v>
      </c>
      <c r="L104" s="70">
        <v>4.8476780000000002</v>
      </c>
      <c r="M104" s="69">
        <v>4.8332069999999998</v>
      </c>
      <c r="N104" s="70">
        <v>4.8686489999999996</v>
      </c>
      <c r="O104" s="69">
        <v>4.9797479999999998</v>
      </c>
      <c r="P104" s="70">
        <v>5.198734</v>
      </c>
      <c r="Q104" s="69">
        <v>5.4027200000000004</v>
      </c>
      <c r="R104" s="70">
        <v>5.5522840000000002</v>
      </c>
      <c r="S104" s="69">
        <v>5.6320800000000002</v>
      </c>
      <c r="T104" s="70">
        <v>5.6439170000000001</v>
      </c>
      <c r="U104" s="69">
        <v>5.6790589999999996</v>
      </c>
      <c r="V104" s="70">
        <v>5.6373389999999999</v>
      </c>
      <c r="W104" s="69">
        <v>5.6477459999999997</v>
      </c>
      <c r="X104" s="70">
        <v>5.7140750000000002</v>
      </c>
      <c r="Y104" s="69">
        <v>5.7420039999999997</v>
      </c>
      <c r="Z104" s="70">
        <v>5.739636</v>
      </c>
      <c r="AA104" s="69">
        <v>5.7297529999999997</v>
      </c>
      <c r="AB104" s="70">
        <v>5.7619749999999996</v>
      </c>
      <c r="AC104" s="69">
        <v>5.7804820000000001</v>
      </c>
      <c r="AD104" s="70">
        <v>5.7848649999999999</v>
      </c>
      <c r="AE104" s="69">
        <v>5.7817970000000001</v>
      </c>
      <c r="AF104" s="70">
        <v>5.7831630000000001</v>
      </c>
      <c r="AG104" s="69">
        <v>5.7969949999999999</v>
      </c>
      <c r="AH104" s="70">
        <v>5.8079429999999999</v>
      </c>
      <c r="AI104" s="69">
        <v>5.8250010000000003</v>
      </c>
      <c r="AJ104" s="70">
        <v>5.848293</v>
      </c>
      <c r="AK104" s="69">
        <v>5.8874190000000004</v>
      </c>
      <c r="AL104" s="70">
        <v>5.9310219999999996</v>
      </c>
      <c r="AM104" s="69">
        <v>5.9516270000000002</v>
      </c>
      <c r="AN104" s="70">
        <v>5.9727379999999997</v>
      </c>
      <c r="AO104" s="69">
        <v>6.0177839999999998</v>
      </c>
    </row>
    <row r="105" spans="9:41" ht="16.5" customHeight="1" x14ac:dyDescent="0.25">
      <c r="I105" t="s">
        <v>52</v>
      </c>
      <c r="J105">
        <f t="shared" ref="J105:AO105" si="17">+J108</f>
        <v>9.9389069659747609</v>
      </c>
      <c r="K105">
        <f t="shared" si="17"/>
        <v>9.3869901772428523</v>
      </c>
      <c r="L105">
        <f t="shared" si="17"/>
        <v>10.287079260646848</v>
      </c>
      <c r="M105">
        <f t="shared" si="17"/>
        <v>10.535673289409495</v>
      </c>
      <c r="N105">
        <f t="shared" si="17"/>
        <v>10.74174170797278</v>
      </c>
      <c r="O105">
        <f t="shared" si="17"/>
        <v>11.129993971580372</v>
      </c>
      <c r="P105">
        <f t="shared" si="17"/>
        <v>11.404622491095539</v>
      </c>
      <c r="Q105">
        <f t="shared" si="17"/>
        <v>11.693615001593368</v>
      </c>
      <c r="R105">
        <f t="shared" si="17"/>
        <v>11.97288183063062</v>
      </c>
      <c r="S105">
        <f t="shared" si="17"/>
        <v>12.106750658115047</v>
      </c>
      <c r="T105">
        <f t="shared" si="17"/>
        <v>12.377995487022886</v>
      </c>
      <c r="U105">
        <f t="shared" si="17"/>
        <v>12.602511149398413</v>
      </c>
      <c r="V105">
        <f t="shared" si="17"/>
        <v>12.89947849257279</v>
      </c>
      <c r="W105">
        <f t="shared" si="17"/>
        <v>13.05019617018589</v>
      </c>
      <c r="X105">
        <f t="shared" si="17"/>
        <v>13.528408425775462</v>
      </c>
      <c r="Y105">
        <f t="shared" si="17"/>
        <v>13.746138157938017</v>
      </c>
      <c r="Z105">
        <f t="shared" si="17"/>
        <v>14.018754906092827</v>
      </c>
      <c r="AA105">
        <f t="shared" si="17"/>
        <v>14.383410900612422</v>
      </c>
      <c r="AB105">
        <f t="shared" si="17"/>
        <v>14.451363477705129</v>
      </c>
      <c r="AC105">
        <f t="shared" si="17"/>
        <v>14.722348267322275</v>
      </c>
      <c r="AD105">
        <f t="shared" si="17"/>
        <v>14.97849385828558</v>
      </c>
      <c r="AE105">
        <f t="shared" si="17"/>
        <v>15.146069572197943</v>
      </c>
      <c r="AF105">
        <f t="shared" si="17"/>
        <v>15.324567642948036</v>
      </c>
      <c r="AG105">
        <f t="shared" si="17"/>
        <v>15.726956186501802</v>
      </c>
      <c r="AH105">
        <f t="shared" si="17"/>
        <v>15.920432485064548</v>
      </c>
      <c r="AI105">
        <f t="shared" si="17"/>
        <v>16.14669086999627</v>
      </c>
      <c r="AJ105">
        <f t="shared" si="17"/>
        <v>16.491298400506025</v>
      </c>
      <c r="AK105">
        <f t="shared" si="17"/>
        <v>16.614746224078669</v>
      </c>
      <c r="AL105">
        <f t="shared" si="17"/>
        <v>17.032564177747016</v>
      </c>
      <c r="AM105">
        <f t="shared" si="17"/>
        <v>17.354044993811897</v>
      </c>
      <c r="AN105">
        <f t="shared" si="17"/>
        <v>17.615031873336019</v>
      </c>
      <c r="AO105">
        <f t="shared" si="17"/>
        <v>17.793513868287572</v>
      </c>
    </row>
    <row r="106" spans="9:41" x14ac:dyDescent="0.25">
      <c r="I106" t="s">
        <v>67</v>
      </c>
      <c r="J106">
        <f>+J105*(100%+$M$75)</f>
        <v>9.143949895233531</v>
      </c>
      <c r="K106">
        <f t="shared" ref="K106:AO106" si="18">+K105*(100%+$M$75)</f>
        <v>8.6361778152875335</v>
      </c>
      <c r="L106">
        <f t="shared" si="18"/>
        <v>9.4642738532189661</v>
      </c>
      <c r="M106">
        <f t="shared" si="18"/>
        <v>9.6929842487425191</v>
      </c>
      <c r="N106">
        <f t="shared" si="18"/>
        <v>9.8825704176022739</v>
      </c>
      <c r="O106">
        <f t="shared" si="18"/>
        <v>10.239768574028588</v>
      </c>
      <c r="P106">
        <f t="shared" si="18"/>
        <v>10.492431108333994</v>
      </c>
      <c r="Q106">
        <f t="shared" si="18"/>
        <v>10.758308739057016</v>
      </c>
      <c r="R106">
        <f t="shared" si="18"/>
        <v>11.015238590685517</v>
      </c>
      <c r="S106">
        <f t="shared" si="18"/>
        <v>11.138400006245785</v>
      </c>
      <c r="T106">
        <f t="shared" si="18"/>
        <v>11.387949492257221</v>
      </c>
      <c r="U106">
        <f t="shared" si="18"/>
        <v>11.594507414017146</v>
      </c>
      <c r="V106">
        <f t="shared" si="18"/>
        <v>11.8677220155627</v>
      </c>
      <c r="W106">
        <f t="shared" si="18"/>
        <v>12.006384636828617</v>
      </c>
      <c r="X106">
        <f t="shared" si="18"/>
        <v>12.446347393233069</v>
      </c>
      <c r="Y106">
        <f t="shared" si="18"/>
        <v>12.646662153036411</v>
      </c>
      <c r="Z106">
        <f t="shared" si="18"/>
        <v>12.897473826217679</v>
      </c>
      <c r="AA106">
        <f t="shared" si="18"/>
        <v>13.232963045937597</v>
      </c>
      <c r="AB106">
        <f t="shared" si="18"/>
        <v>13.295480479928566</v>
      </c>
      <c r="AC106">
        <f t="shared" si="18"/>
        <v>13.544790725724448</v>
      </c>
      <c r="AD106">
        <f t="shared" si="18"/>
        <v>13.780448676610977</v>
      </c>
      <c r="AE106">
        <f t="shared" si="18"/>
        <v>13.934620955003197</v>
      </c>
      <c r="AF106">
        <f t="shared" si="18"/>
        <v>14.098841972557979</v>
      </c>
      <c r="AG106">
        <f t="shared" si="18"/>
        <v>14.469045727685973</v>
      </c>
      <c r="AH106">
        <f t="shared" si="18"/>
        <v>14.647046949151225</v>
      </c>
      <c r="AI106">
        <f t="shared" si="18"/>
        <v>14.855208202926399</v>
      </c>
      <c r="AJ106">
        <f t="shared" si="18"/>
        <v>15.172252522114501</v>
      </c>
      <c r="AK106">
        <f t="shared" si="18"/>
        <v>15.285826451047358</v>
      </c>
      <c r="AL106">
        <f t="shared" si="18"/>
        <v>15.670225504861991</v>
      </c>
      <c r="AM106">
        <f t="shared" si="18"/>
        <v>15.965992884961192</v>
      </c>
      <c r="AN106">
        <f t="shared" si="18"/>
        <v>16.206104897061898</v>
      </c>
      <c r="AO106">
        <f t="shared" si="18"/>
        <v>16.370311124630533</v>
      </c>
    </row>
    <row r="107" spans="9:41" x14ac:dyDescent="0.25">
      <c r="I107" t="s">
        <v>229</v>
      </c>
      <c r="J107">
        <f>+J105*(100%+$M$76)</f>
        <v>7.5540357537510738</v>
      </c>
      <c r="K107">
        <f t="shared" ref="K107:AO107" si="19">+K105*(100%+$M$76)</f>
        <v>7.1345530913769002</v>
      </c>
      <c r="L107">
        <f t="shared" si="19"/>
        <v>7.8186630383632059</v>
      </c>
      <c r="M107">
        <f t="shared" si="19"/>
        <v>8.0076061674085715</v>
      </c>
      <c r="N107">
        <f t="shared" si="19"/>
        <v>8.1642278368612686</v>
      </c>
      <c r="O107">
        <f t="shared" si="19"/>
        <v>8.4593177789250227</v>
      </c>
      <c r="P107">
        <f t="shared" si="19"/>
        <v>8.668048342810911</v>
      </c>
      <c r="Q107">
        <f t="shared" si="19"/>
        <v>8.8876962139843165</v>
      </c>
      <c r="R107">
        <f t="shared" si="19"/>
        <v>9.0999521107953179</v>
      </c>
      <c r="S107">
        <f t="shared" si="19"/>
        <v>9.2016987025072687</v>
      </c>
      <c r="T107">
        <f t="shared" si="19"/>
        <v>9.4078575027258964</v>
      </c>
      <c r="U107">
        <f t="shared" si="19"/>
        <v>9.5784999432546165</v>
      </c>
      <c r="V107">
        <f t="shared" si="19"/>
        <v>9.8042090615425241</v>
      </c>
      <c r="W107">
        <f t="shared" si="19"/>
        <v>9.9187615701140768</v>
      </c>
      <c r="X107">
        <f t="shared" si="19"/>
        <v>10.282225328148286</v>
      </c>
      <c r="Y107">
        <f t="shared" si="19"/>
        <v>10.447710143233209</v>
      </c>
      <c r="Z107">
        <f t="shared" si="19"/>
        <v>10.65491166646739</v>
      </c>
      <c r="AA107">
        <f t="shared" si="19"/>
        <v>10.932067336587954</v>
      </c>
      <c r="AB107">
        <f t="shared" si="19"/>
        <v>10.983714484375447</v>
      </c>
      <c r="AC107">
        <f t="shared" si="19"/>
        <v>11.189675642528805</v>
      </c>
      <c r="AD107">
        <f t="shared" si="19"/>
        <v>11.384358313261776</v>
      </c>
      <c r="AE107">
        <f t="shared" si="19"/>
        <v>11.511723720613711</v>
      </c>
      <c r="AF107">
        <f t="shared" si="19"/>
        <v>11.647390631777874</v>
      </c>
      <c r="AG107">
        <f t="shared" si="19"/>
        <v>11.953224810054323</v>
      </c>
      <c r="AH107">
        <f t="shared" si="19"/>
        <v>12.100275877324583</v>
      </c>
      <c r="AI107">
        <f t="shared" si="19"/>
        <v>12.272242868786664</v>
      </c>
      <c r="AJ107">
        <f t="shared" si="19"/>
        <v>12.534160765331462</v>
      </c>
      <c r="AK107">
        <f t="shared" si="19"/>
        <v>12.627986904984743</v>
      </c>
      <c r="AL107">
        <f t="shared" si="19"/>
        <v>12.945548159091949</v>
      </c>
      <c r="AM107">
        <f t="shared" si="19"/>
        <v>13.189888667259792</v>
      </c>
      <c r="AN107">
        <f t="shared" si="19"/>
        <v>13.388250944513667</v>
      </c>
      <c r="AO107">
        <f t="shared" si="19"/>
        <v>13.52390563731646</v>
      </c>
    </row>
    <row r="108" spans="9:41" x14ac:dyDescent="0.25">
      <c r="I108" t="s">
        <v>215</v>
      </c>
      <c r="J108">
        <v>9.9389069659747609</v>
      </c>
      <c r="K108">
        <v>9.3869901772428523</v>
      </c>
      <c r="L108">
        <v>10.287079260646848</v>
      </c>
      <c r="M108">
        <v>10.535673289409495</v>
      </c>
      <c r="N108">
        <v>10.74174170797278</v>
      </c>
      <c r="O108">
        <v>11.129993971580372</v>
      </c>
      <c r="P108">
        <v>11.404622491095539</v>
      </c>
      <c r="Q108">
        <v>11.693615001593368</v>
      </c>
      <c r="R108">
        <v>11.97288183063062</v>
      </c>
      <c r="S108">
        <v>12.106750658115047</v>
      </c>
      <c r="T108">
        <v>12.377995487022886</v>
      </c>
      <c r="U108">
        <v>12.602511149398413</v>
      </c>
      <c r="V108">
        <v>12.89947849257279</v>
      </c>
      <c r="W108">
        <v>13.05019617018589</v>
      </c>
      <c r="X108">
        <v>13.528408425775462</v>
      </c>
      <c r="Y108">
        <v>13.746138157938017</v>
      </c>
      <c r="Z108">
        <v>14.018754906092827</v>
      </c>
      <c r="AA108">
        <v>14.383410900612422</v>
      </c>
      <c r="AB108">
        <v>14.451363477705129</v>
      </c>
      <c r="AC108">
        <v>14.722348267322275</v>
      </c>
      <c r="AD108">
        <v>14.97849385828558</v>
      </c>
      <c r="AE108">
        <v>15.146069572197943</v>
      </c>
      <c r="AF108">
        <v>15.324567642948036</v>
      </c>
      <c r="AG108">
        <v>15.726956186501802</v>
      </c>
      <c r="AH108">
        <v>15.920432485064548</v>
      </c>
      <c r="AI108">
        <v>16.14669086999627</v>
      </c>
      <c r="AJ108">
        <v>16.491298400506025</v>
      </c>
      <c r="AK108">
        <v>16.614746224078669</v>
      </c>
      <c r="AL108">
        <v>17.032564177747016</v>
      </c>
      <c r="AM108">
        <v>17.354044993811897</v>
      </c>
      <c r="AN108">
        <v>17.615031873336019</v>
      </c>
      <c r="AO108">
        <v>17.793513868287572</v>
      </c>
    </row>
    <row r="109" spans="9:41" x14ac:dyDescent="0.25">
      <c r="I109" t="s">
        <v>522</v>
      </c>
      <c r="J109">
        <v>22.631883642110068</v>
      </c>
      <c r="K109">
        <v>22.339540412044375</v>
      </c>
      <c r="L109">
        <v>22.078422999593137</v>
      </c>
      <c r="M109">
        <v>22.39579265822039</v>
      </c>
      <c r="N109">
        <v>22.558159280737229</v>
      </c>
      <c r="O109">
        <v>23.164899880511875</v>
      </c>
      <c r="P109">
        <v>23.275210249935512</v>
      </c>
      <c r="Q109">
        <v>23.971296511876403</v>
      </c>
      <c r="R109">
        <v>24.015638240959891</v>
      </c>
      <c r="S109">
        <v>24.740571573891199</v>
      </c>
      <c r="T109">
        <v>25.062088399499931</v>
      </c>
      <c r="U109">
        <v>25.42744343502223</v>
      </c>
      <c r="V109">
        <v>25.958460854900952</v>
      </c>
      <c r="W109">
        <v>26.224834702323204</v>
      </c>
      <c r="X109">
        <v>26.829697023012422</v>
      </c>
      <c r="Y109">
        <v>27.263719866788854</v>
      </c>
      <c r="Z109">
        <v>27.675778594046346</v>
      </c>
      <c r="AA109">
        <v>28.049205194444301</v>
      </c>
      <c r="AB109">
        <v>28.417233459014266</v>
      </c>
      <c r="AC109">
        <v>28.731185290548609</v>
      </c>
      <c r="AD109">
        <v>29.153445621352176</v>
      </c>
      <c r="AE109">
        <v>29.292522193535898</v>
      </c>
      <c r="AF109">
        <v>29.677418350298769</v>
      </c>
      <c r="AG109">
        <v>30.263903747100933</v>
      </c>
      <c r="AH109">
        <v>30.578589495970853</v>
      </c>
      <c r="AI109">
        <v>30.937873310956238</v>
      </c>
      <c r="AJ109">
        <v>31.585223494694176</v>
      </c>
      <c r="AK109">
        <v>31.665200648668247</v>
      </c>
      <c r="AL109">
        <v>32.309671618243542</v>
      </c>
      <c r="AM109">
        <v>32.833415474840166</v>
      </c>
      <c r="AN109">
        <v>33.211941351195492</v>
      </c>
      <c r="AO109">
        <v>33.352427777055048</v>
      </c>
    </row>
    <row r="113" spans="9:17" x14ac:dyDescent="0.25">
      <c r="I113" t="s">
        <v>242</v>
      </c>
    </row>
    <row r="114" spans="9:17" x14ac:dyDescent="0.25">
      <c r="J114">
        <v>2019</v>
      </c>
      <c r="K114">
        <v>2020</v>
      </c>
      <c r="L114">
        <v>2025</v>
      </c>
      <c r="M114">
        <v>2030</v>
      </c>
      <c r="N114">
        <v>2035</v>
      </c>
      <c r="O114">
        <v>2040</v>
      </c>
      <c r="P114">
        <v>2045</v>
      </c>
      <c r="Q114">
        <v>2050</v>
      </c>
    </row>
    <row r="115" spans="9:17" x14ac:dyDescent="0.25">
      <c r="I115" t="s">
        <v>45</v>
      </c>
      <c r="J115" s="70">
        <f>+J97*$R$3/1000000</f>
        <v>20.996445954041999</v>
      </c>
      <c r="K115" s="70">
        <f t="shared" ref="K115" si="20">+K97*$R$3/1000000</f>
        <v>20.795929580790002</v>
      </c>
      <c r="L115" s="70">
        <f>+P97*$R$3/1000000</f>
        <v>20.716882590807003</v>
      </c>
      <c r="M115" s="70">
        <f>+U97*$R$3/1000000</f>
        <v>22.202066334591002</v>
      </c>
      <c r="N115" s="70">
        <f>+Z97*$R$3/1000000</f>
        <v>23.568165402677998</v>
      </c>
      <c r="O115" s="70">
        <f>+AE97*$R$3/1000000</f>
        <v>24.597135442035</v>
      </c>
      <c r="P115" s="70">
        <f>+AJ97*$R$3/1000000</f>
        <v>25.886116327734001</v>
      </c>
      <c r="Q115" s="70">
        <f>+AO97*$R$3/1000000</f>
        <v>27.153960894333</v>
      </c>
    </row>
    <row r="116" spans="9:17" x14ac:dyDescent="0.25">
      <c r="I116" t="s">
        <v>47</v>
      </c>
      <c r="J116" s="70">
        <f t="shared" ref="J116:K125" si="21">+J98*$R$3/1000000</f>
        <v>20.905026160941002</v>
      </c>
      <c r="K116" s="70">
        <f t="shared" si="21"/>
        <v>20.219447377232999</v>
      </c>
      <c r="L116" s="70">
        <f t="shared" ref="L116:L126" si="22">+P98*$R$3/1000000</f>
        <v>20.630671999937999</v>
      </c>
      <c r="M116" s="70">
        <f t="shared" ref="M116:M126" si="23">+U98*$R$3/1000000</f>
        <v>21.930071290101001</v>
      </c>
      <c r="N116" s="70">
        <f t="shared" ref="N116:N125" si="24">+Z98*$R$3/1000000</f>
        <v>23.082531458571001</v>
      </c>
      <c r="O116" s="70">
        <f t="shared" ref="O116:O126" si="25">+AE98*$R$3/1000000</f>
        <v>23.875429665555</v>
      </c>
      <c r="P116" s="70">
        <f t="shared" ref="P116:P126" si="26">+AJ98*$R$3/1000000</f>
        <v>25.090517790116998</v>
      </c>
      <c r="Q116" s="70">
        <f t="shared" ref="Q116:Q126" si="27">+AO98*$R$3/1000000</f>
        <v>25.880965890156002</v>
      </c>
    </row>
    <row r="117" spans="9:17" x14ac:dyDescent="0.25">
      <c r="I117" t="s">
        <v>48</v>
      </c>
      <c r="J117" s="70">
        <f t="shared" si="21"/>
        <v>13.877034192216</v>
      </c>
      <c r="K117" s="70">
        <f t="shared" si="21"/>
        <v>13.695434350650002</v>
      </c>
      <c r="L117" s="70">
        <f t="shared" si="22"/>
        <v>14.458260219857999</v>
      </c>
      <c r="M117" s="70">
        <f t="shared" si="23"/>
        <v>15.795199697939999</v>
      </c>
      <c r="N117" s="70">
        <f t="shared" si="24"/>
        <v>17.191836481949998</v>
      </c>
      <c r="O117" s="70">
        <f t="shared" si="25"/>
        <v>18.196136740431001</v>
      </c>
      <c r="P117" s="70">
        <f t="shared" si="26"/>
        <v>19.62033319935</v>
      </c>
      <c r="Q117" s="70">
        <f t="shared" si="27"/>
        <v>20.718097692200999</v>
      </c>
    </row>
    <row r="118" spans="9:17" x14ac:dyDescent="0.25">
      <c r="I118" t="s">
        <v>49</v>
      </c>
      <c r="J118" s="70">
        <f t="shared" si="21"/>
        <v>17.551047751146001</v>
      </c>
      <c r="K118" s="70">
        <f t="shared" si="21"/>
        <v>16.867144707893999</v>
      </c>
      <c r="L118" s="70">
        <f t="shared" si="22"/>
        <v>19.872932116751997</v>
      </c>
      <c r="M118" s="70">
        <f t="shared" si="23"/>
        <v>22.022557377326997</v>
      </c>
      <c r="N118" s="70">
        <f t="shared" si="24"/>
        <v>22.891725470484001</v>
      </c>
      <c r="O118" s="70">
        <f t="shared" si="25"/>
        <v>24.412499742618003</v>
      </c>
      <c r="P118" s="70">
        <f t="shared" si="26"/>
        <v>25.877700660591003</v>
      </c>
      <c r="Q118" s="70">
        <f t="shared" si="27"/>
        <v>27.425805235919999</v>
      </c>
    </row>
    <row r="119" spans="9:17" x14ac:dyDescent="0.25">
      <c r="I119" t="s">
        <v>50</v>
      </c>
      <c r="J119" s="70">
        <f t="shared" si="21"/>
        <v>9.2415067298189992</v>
      </c>
      <c r="K119" s="70">
        <f t="shared" si="21"/>
        <v>9.6605963379900004</v>
      </c>
      <c r="L119" s="70">
        <f t="shared" si="22"/>
        <v>9.3615136314569991</v>
      </c>
      <c r="M119" s="70">
        <f t="shared" si="23"/>
        <v>10.777456499940001</v>
      </c>
      <c r="N119" s="70">
        <f t="shared" si="24"/>
        <v>12.03505800822</v>
      </c>
      <c r="O119" s="70">
        <f t="shared" si="25"/>
        <v>13.376972577735</v>
      </c>
      <c r="P119" s="70">
        <f t="shared" si="26"/>
        <v>14.299692331392</v>
      </c>
      <c r="Q119" s="70">
        <f t="shared" si="27"/>
        <v>15.089726235401999</v>
      </c>
    </row>
    <row r="120" spans="9:17" x14ac:dyDescent="0.25">
      <c r="I120" t="s">
        <v>43</v>
      </c>
      <c r="J120" s="70">
        <f t="shared" si="21"/>
        <v>15.484369752577541</v>
      </c>
      <c r="K120" s="70">
        <f t="shared" si="21"/>
        <v>15.076841521470868</v>
      </c>
      <c r="L120" s="70">
        <f t="shared" si="22"/>
        <v>16.842423718223472</v>
      </c>
      <c r="M120" s="70">
        <f t="shared" si="23"/>
        <v>19.600166238545455</v>
      </c>
      <c r="N120" s="70">
        <f t="shared" si="24"/>
        <v>19.747825616593868</v>
      </c>
      <c r="O120" s="70">
        <f t="shared" si="25"/>
        <v>20.304548193105546</v>
      </c>
      <c r="P120" s="70">
        <f t="shared" si="26"/>
        <v>21.409220503499576</v>
      </c>
      <c r="Q120" s="70">
        <f t="shared" si="27"/>
        <v>24.151142776321418</v>
      </c>
    </row>
    <row r="121" spans="9:17" x14ac:dyDescent="0.25">
      <c r="I121" t="s">
        <v>44</v>
      </c>
      <c r="J121" s="70">
        <f t="shared" si="21"/>
        <v>27.015813128159731</v>
      </c>
      <c r="K121" s="70">
        <f>+K103*$R$3/1000000</f>
        <v>26.129831538723028</v>
      </c>
      <c r="L121" s="70">
        <f t="shared" si="22"/>
        <v>26.661261993541277</v>
      </c>
      <c r="M121" s="70">
        <f t="shared" si="23"/>
        <v>28.340491100056148</v>
      </c>
      <c r="N121" s="70">
        <f t="shared" si="24"/>
        <v>29.829829037705093</v>
      </c>
      <c r="O121" s="70">
        <f t="shared" si="25"/>
        <v>30.854500790068418</v>
      </c>
      <c r="P121" s="70">
        <f t="shared" si="26"/>
        <v>32.424773577803386</v>
      </c>
      <c r="Q121" s="70">
        <f t="shared" si="27"/>
        <v>33.446279027916688</v>
      </c>
    </row>
    <row r="122" spans="9:17" x14ac:dyDescent="0.25">
      <c r="I122" t="s">
        <v>51</v>
      </c>
      <c r="J122" s="70">
        <f t="shared" si="21"/>
        <v>4.769127007632</v>
      </c>
      <c r="K122" s="70">
        <f t="shared" si="21"/>
        <v>4.5122894526059998</v>
      </c>
      <c r="L122" s="70">
        <f t="shared" si="22"/>
        <v>4.9274484636779992</v>
      </c>
      <c r="M122" s="70">
        <f t="shared" si="23"/>
        <v>5.3827086642029993</v>
      </c>
      <c r="N122" s="70">
        <f t="shared" si="24"/>
        <v>5.4401245746119997</v>
      </c>
      <c r="O122" s="70">
        <f t="shared" si="25"/>
        <v>5.4800854871490001</v>
      </c>
      <c r="P122" s="70">
        <f t="shared" si="26"/>
        <v>5.5431115263809998</v>
      </c>
      <c r="Q122" s="70">
        <f t="shared" si="27"/>
        <v>5.7037579775280003</v>
      </c>
    </row>
    <row r="123" spans="9:17" x14ac:dyDescent="0.25">
      <c r="I123" t="s">
        <v>52</v>
      </c>
      <c r="J123" s="70">
        <f t="shared" si="21"/>
        <v>9.4202649837693002</v>
      </c>
      <c r="K123" s="70">
        <f t="shared" si="21"/>
        <v>8.8971488688237894</v>
      </c>
      <c r="L123" s="70">
        <f t="shared" si="22"/>
        <v>10.809495075642701</v>
      </c>
      <c r="M123" s="70">
        <f t="shared" si="23"/>
        <v>11.944874310089356</v>
      </c>
      <c r="N123" s="70">
        <f t="shared" si="24"/>
        <v>13.287214218828185</v>
      </c>
      <c r="O123" s="70">
        <f t="shared" si="25"/>
        <v>14.355702223711937</v>
      </c>
      <c r="P123" s="70">
        <f t="shared" si="26"/>
        <v>15.630732976072419</v>
      </c>
      <c r="Q123" s="70">
        <f t="shared" si="27"/>
        <v>16.864994934098721</v>
      </c>
    </row>
    <row r="124" spans="9:17" x14ac:dyDescent="0.25">
      <c r="I124" t="s">
        <v>67</v>
      </c>
      <c r="J124" s="70">
        <f t="shared" si="21"/>
        <v>8.6667911578505592</v>
      </c>
      <c r="K124" s="70">
        <f t="shared" si="21"/>
        <v>8.1855161483523844</v>
      </c>
      <c r="L124" s="70">
        <f t="shared" si="22"/>
        <v>9.9449045758078007</v>
      </c>
      <c r="M124" s="70">
        <f t="shared" si="23"/>
        <v>10.989471233631489</v>
      </c>
      <c r="N124" s="70">
        <f t="shared" si="24"/>
        <v>12.224444949544161</v>
      </c>
      <c r="O124" s="70">
        <f t="shared" si="25"/>
        <v>13.207470629708267</v>
      </c>
      <c r="P124" s="70">
        <f t="shared" si="26"/>
        <v>14.380518868753001</v>
      </c>
      <c r="Q124" s="70">
        <f t="shared" si="27"/>
        <v>15.516059179213938</v>
      </c>
    </row>
    <row r="125" spans="9:17" x14ac:dyDescent="0.25">
      <c r="I125" t="s">
        <v>229</v>
      </c>
      <c r="J125" s="70">
        <f t="shared" si="21"/>
        <v>7.1598435060130816</v>
      </c>
      <c r="K125" s="70">
        <f t="shared" si="21"/>
        <v>6.7622507074095797</v>
      </c>
      <c r="L125" s="70">
        <f t="shared" si="22"/>
        <v>8.215723576138009</v>
      </c>
      <c r="M125" s="70">
        <f t="shared" si="23"/>
        <v>9.0786650807157603</v>
      </c>
      <c r="N125" s="70">
        <f t="shared" si="24"/>
        <v>10.098906410976124</v>
      </c>
      <c r="O125" s="70">
        <f t="shared" si="25"/>
        <v>10.911007441700926</v>
      </c>
      <c r="P125" s="70">
        <f t="shared" si="26"/>
        <v>11.88009065411417</v>
      </c>
      <c r="Q125" s="70">
        <f t="shared" si="27"/>
        <v>12.818187669444375</v>
      </c>
    </row>
    <row r="126" spans="9:17" x14ac:dyDescent="0.25">
      <c r="I126" t="s">
        <v>215</v>
      </c>
      <c r="J126" s="70">
        <f>+J108*$R$3/1000000</f>
        <v>9.4202649837693002</v>
      </c>
      <c r="K126" s="70">
        <f t="shared" ref="K126" si="28">+K108*$R$3/1000000</f>
        <v>8.8971488688237894</v>
      </c>
      <c r="L126" s="70">
        <f t="shared" si="22"/>
        <v>10.809495075642701</v>
      </c>
      <c r="M126" s="70">
        <f t="shared" si="23"/>
        <v>11.944874310089356</v>
      </c>
      <c r="N126" s="70">
        <f>+Z108*$R$3/1000000</f>
        <v>13.287214218828185</v>
      </c>
      <c r="O126" s="70">
        <f t="shared" si="25"/>
        <v>14.355702223711937</v>
      </c>
      <c r="P126" s="70">
        <f t="shared" si="26"/>
        <v>15.630732976072419</v>
      </c>
      <c r="Q126" s="70">
        <f t="shared" si="27"/>
        <v>16.864994934098721</v>
      </c>
    </row>
    <row r="127" spans="9:17" x14ac:dyDescent="0.25">
      <c r="I127" t="str">
        <f>+I109</f>
        <v>AVG</v>
      </c>
      <c r="J127" s="70">
        <f>+J109*$R$3/1000000</f>
        <v>21.450884058013838</v>
      </c>
      <c r="K127" s="70">
        <f>+K109*$R$3/1000000</f>
        <v>21.173796174722664</v>
      </c>
      <c r="L127" s="70">
        <f>+P109*$R$3/1000000</f>
        <v>22.060639953463127</v>
      </c>
      <c r="M127" s="70">
        <f t="shared" ref="M127" si="29">+U109*$R$3/1000000</f>
        <v>24.100563154252466</v>
      </c>
      <c r="N127" s="70">
        <f>+Z109*$R$3/1000000</f>
        <v>26.231573439673227</v>
      </c>
      <c r="O127" s="70">
        <f t="shared" ref="O127" si="30">+AE109*$R$3/1000000</f>
        <v>27.763950507910614</v>
      </c>
      <c r="P127" s="70">
        <f t="shared" ref="P127" si="31">+AJ109*$R$3/1000000</f>
        <v>29.937011777070548</v>
      </c>
      <c r="Q127" s="70">
        <f>+AO109*$R$3/1000000</f>
        <v>31.611998038364984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FA78E-F7FE-438A-B26E-4E2AFA28C187}">
  <dimension ref="B4:T106"/>
  <sheetViews>
    <sheetView showGridLines="0" topLeftCell="E52" zoomScaleNormal="100" workbookViewId="0">
      <selection activeCell="I103" sqref="I103"/>
    </sheetView>
  </sheetViews>
  <sheetFormatPr baseColWidth="10" defaultRowHeight="15" x14ac:dyDescent="0.25"/>
  <cols>
    <col min="3" max="3" width="16.140625" customWidth="1"/>
    <col min="8" max="8" width="21.7109375" customWidth="1"/>
    <col min="9" max="9" width="20.28515625" bestFit="1" customWidth="1"/>
    <col min="11" max="11" width="14.7109375" customWidth="1"/>
    <col min="16" max="16" width="15.140625" customWidth="1"/>
    <col min="17" max="17" width="55.5703125" customWidth="1"/>
  </cols>
  <sheetData>
    <row r="4" spans="2:19" x14ac:dyDescent="0.25">
      <c r="B4" s="35"/>
      <c r="C4" s="44"/>
      <c r="D4" s="44"/>
      <c r="E4" s="35"/>
      <c r="H4" s="36" t="s">
        <v>0</v>
      </c>
      <c r="I4" s="27"/>
      <c r="J4" s="27"/>
      <c r="K4" s="37"/>
      <c r="L4" s="37"/>
      <c r="M4" s="38"/>
      <c r="O4" s="28" t="s">
        <v>30</v>
      </c>
      <c r="P4" s="38"/>
      <c r="Q4" s="38"/>
      <c r="R4" s="38"/>
      <c r="S4" s="38"/>
    </row>
    <row r="5" spans="2:19" x14ac:dyDescent="0.25">
      <c r="B5" s="45" t="s">
        <v>1</v>
      </c>
      <c r="C5" s="45" t="s">
        <v>2</v>
      </c>
      <c r="D5" s="45" t="s">
        <v>3</v>
      </c>
      <c r="E5" s="45">
        <v>2019</v>
      </c>
      <c r="H5" s="29" t="s">
        <v>11</v>
      </c>
      <c r="I5" s="29" t="s">
        <v>12</v>
      </c>
      <c r="J5" s="29" t="s">
        <v>13</v>
      </c>
      <c r="K5" s="30" t="s">
        <v>31</v>
      </c>
      <c r="L5" s="31"/>
      <c r="M5" s="38"/>
      <c r="O5" s="32" t="s">
        <v>32</v>
      </c>
      <c r="P5" s="32" t="s">
        <v>11</v>
      </c>
      <c r="Q5" s="32" t="s">
        <v>33</v>
      </c>
      <c r="R5" s="32" t="s">
        <v>34</v>
      </c>
      <c r="S5" s="32" t="s">
        <v>35</v>
      </c>
    </row>
    <row r="6" spans="2:19" ht="20.25" customHeight="1" x14ac:dyDescent="0.25">
      <c r="B6" s="48" t="s">
        <v>4</v>
      </c>
      <c r="C6" s="48" t="s">
        <v>5</v>
      </c>
      <c r="D6" s="48" t="s">
        <v>6</v>
      </c>
      <c r="E6" s="48" t="s">
        <v>7</v>
      </c>
      <c r="H6" s="27" t="str">
        <f t="shared" ref="H6:H11" si="0">+"FTE-"&amp;J6</f>
        <v>FTE-DKER</v>
      </c>
      <c r="I6" s="33" t="s">
        <v>48</v>
      </c>
      <c r="J6" s="67" t="str">
        <f>+C10</f>
        <v>DKER</v>
      </c>
      <c r="K6" s="34">
        <v>1</v>
      </c>
      <c r="L6" s="39"/>
      <c r="M6" s="38"/>
      <c r="O6" s="35" t="s">
        <v>46</v>
      </c>
      <c r="P6" s="38" t="str">
        <f t="shared" ref="P6:P11" si="1">+H6</f>
        <v>FTE-DKER</v>
      </c>
      <c r="Q6" s="38" t="s">
        <v>138</v>
      </c>
      <c r="R6" s="38" t="s">
        <v>9</v>
      </c>
      <c r="S6" s="38" t="s">
        <v>42</v>
      </c>
    </row>
    <row r="7" spans="2:19" x14ac:dyDescent="0.25">
      <c r="B7" s="49" t="s">
        <v>8</v>
      </c>
      <c r="C7" s="49"/>
      <c r="D7" s="49"/>
      <c r="E7" s="49" t="s">
        <v>9</v>
      </c>
      <c r="H7" s="27" t="str">
        <f t="shared" si="0"/>
        <v>FTE-DLPG</v>
      </c>
      <c r="I7" s="33" t="s">
        <v>49</v>
      </c>
      <c r="J7" s="67" t="str">
        <f>+C11</f>
        <v>DLPG</v>
      </c>
      <c r="K7" s="34">
        <v>1</v>
      </c>
      <c r="L7" s="40"/>
      <c r="M7" s="38"/>
      <c r="O7" s="38"/>
      <c r="P7" s="38" t="str">
        <f t="shared" si="1"/>
        <v>FTE-DLPG</v>
      </c>
      <c r="Q7" s="38" t="s">
        <v>139</v>
      </c>
      <c r="R7" s="38" t="s">
        <v>9</v>
      </c>
      <c r="S7" s="38" t="s">
        <v>42</v>
      </c>
    </row>
    <row r="8" spans="2:19" x14ac:dyDescent="0.25">
      <c r="B8" s="46" t="s">
        <v>10</v>
      </c>
      <c r="C8" s="46" t="str" cm="1">
        <f t="array" ref="C8:C14">+COMM!Z20:Z26</f>
        <v>DGSL</v>
      </c>
      <c r="D8" s="46" t="s">
        <v>9</v>
      </c>
      <c r="E8" s="50">
        <v>249.2398</v>
      </c>
      <c r="H8" s="27" t="str">
        <f t="shared" si="0"/>
        <v>FTE-DHFO</v>
      </c>
      <c r="I8" s="33" t="s">
        <v>50</v>
      </c>
      <c r="J8" s="67" t="str">
        <f>+C12</f>
        <v>DHFO</v>
      </c>
      <c r="K8" s="34">
        <v>1</v>
      </c>
      <c r="L8" s="34"/>
      <c r="M8" s="38"/>
      <c r="O8" s="38"/>
      <c r="P8" s="38" t="str">
        <f t="shared" si="1"/>
        <v>FTE-DHFO</v>
      </c>
      <c r="Q8" s="38" t="s">
        <v>140</v>
      </c>
      <c r="R8" s="38" t="s">
        <v>9</v>
      </c>
      <c r="S8" s="38" t="s">
        <v>42</v>
      </c>
    </row>
    <row r="9" spans="2:19" x14ac:dyDescent="0.25">
      <c r="B9" s="46" t="s">
        <v>10</v>
      </c>
      <c r="C9" s="46" t="str">
        <v>DDSL</v>
      </c>
      <c r="D9" s="46" t="s">
        <v>9</v>
      </c>
      <c r="E9" s="50">
        <v>269.4325</v>
      </c>
      <c r="H9" s="27" t="str">
        <f t="shared" si="0"/>
        <v>FTE-DGAS</v>
      </c>
      <c r="I9" s="33" t="s">
        <v>51</v>
      </c>
      <c r="J9" s="67" t="str">
        <f>+C13</f>
        <v>DGAS</v>
      </c>
      <c r="K9" s="34">
        <v>1</v>
      </c>
      <c r="L9" s="34"/>
      <c r="M9" s="38"/>
      <c r="O9" s="38"/>
      <c r="P9" s="38" t="str">
        <f t="shared" si="1"/>
        <v>FTE-DGAS</v>
      </c>
      <c r="Q9" s="38" t="s">
        <v>141</v>
      </c>
      <c r="R9" s="38" t="s">
        <v>9</v>
      </c>
      <c r="S9" s="38" t="s">
        <v>42</v>
      </c>
    </row>
    <row r="10" spans="2:19" x14ac:dyDescent="0.25">
      <c r="B10" s="46" t="s">
        <v>10</v>
      </c>
      <c r="C10" s="46" t="str">
        <v>DKER</v>
      </c>
      <c r="D10" s="46" t="s">
        <v>9</v>
      </c>
      <c r="E10" s="50">
        <v>59.134499999999996</v>
      </c>
      <c r="H10" s="27" t="str">
        <f t="shared" si="0"/>
        <v>FTE-DLOIL</v>
      </c>
      <c r="I10" s="33" t="s">
        <v>52</v>
      </c>
      <c r="J10" s="67" t="str">
        <f>+C14</f>
        <v>DLOIL</v>
      </c>
      <c r="K10" s="34">
        <v>1</v>
      </c>
      <c r="L10" s="34"/>
      <c r="M10" s="38"/>
      <c r="O10" s="38"/>
      <c r="P10" s="38" t="str">
        <f t="shared" si="1"/>
        <v>FTE-DLOIL</v>
      </c>
      <c r="Q10" s="38" t="s">
        <v>142</v>
      </c>
      <c r="R10" s="38" t="s">
        <v>9</v>
      </c>
      <c r="S10" s="38" t="s">
        <v>42</v>
      </c>
    </row>
    <row r="11" spans="2:19" x14ac:dyDescent="0.25">
      <c r="B11" s="46" t="s">
        <v>10</v>
      </c>
      <c r="C11" s="46" t="str">
        <v>DLPG</v>
      </c>
      <c r="D11" s="46" t="s">
        <v>9</v>
      </c>
      <c r="E11" s="50">
        <v>25.486199999999997</v>
      </c>
      <c r="H11" s="27" t="str">
        <f t="shared" si="0"/>
        <v>FTE-DAVG</v>
      </c>
      <c r="I11" s="163" t="s">
        <v>522</v>
      </c>
      <c r="J11" s="38" t="s">
        <v>523</v>
      </c>
      <c r="K11" s="149">
        <v>1</v>
      </c>
      <c r="L11" s="34"/>
      <c r="M11" s="38"/>
      <c r="O11" s="38"/>
      <c r="P11" s="38" t="str">
        <f t="shared" si="1"/>
        <v>FTE-DAVG</v>
      </c>
      <c r="Q11" s="38" t="s">
        <v>524</v>
      </c>
      <c r="R11" s="38" t="s">
        <v>9</v>
      </c>
      <c r="S11" s="38" t="s">
        <v>42</v>
      </c>
    </row>
    <row r="12" spans="2:19" x14ac:dyDescent="0.25">
      <c r="B12" s="46" t="s">
        <v>10</v>
      </c>
      <c r="C12" s="46" t="str">
        <v>DHFO</v>
      </c>
      <c r="D12" s="46" t="s">
        <v>9</v>
      </c>
      <c r="E12" s="50">
        <v>1.1855</v>
      </c>
      <c r="H12" s="38"/>
      <c r="I12" s="38"/>
      <c r="J12" s="38"/>
      <c r="K12" s="38"/>
      <c r="L12" s="34"/>
      <c r="M12" s="38"/>
      <c r="O12" s="38"/>
      <c r="P12" s="38"/>
      <c r="Q12" s="38"/>
      <c r="R12" s="38"/>
      <c r="S12" s="38"/>
    </row>
    <row r="13" spans="2:19" x14ac:dyDescent="0.25">
      <c r="B13" s="46" t="s">
        <v>10</v>
      </c>
      <c r="C13" s="46" t="str">
        <v>DGAS</v>
      </c>
      <c r="D13" s="46" t="s">
        <v>9</v>
      </c>
      <c r="E13" s="50">
        <v>238.81580000000002</v>
      </c>
      <c r="H13" s="38"/>
      <c r="I13" s="38"/>
      <c r="J13" s="38"/>
      <c r="K13" s="38"/>
      <c r="L13" s="38"/>
      <c r="M13" s="38"/>
      <c r="O13" s="38"/>
      <c r="P13" s="38"/>
      <c r="Q13" s="38"/>
      <c r="R13" s="38"/>
      <c r="S13" s="38"/>
    </row>
    <row r="14" spans="2:19" x14ac:dyDescent="0.25">
      <c r="B14" s="46" t="s">
        <v>10</v>
      </c>
      <c r="C14" s="46" t="str">
        <v>DLOIL</v>
      </c>
      <c r="D14" s="46" t="s">
        <v>9</v>
      </c>
      <c r="E14" s="50">
        <v>7.3300000000000004E-2</v>
      </c>
      <c r="H14" s="36"/>
      <c r="I14" s="38"/>
      <c r="J14" s="38"/>
      <c r="K14" s="38"/>
      <c r="L14" s="38"/>
      <c r="M14" s="38"/>
      <c r="O14" s="28"/>
      <c r="P14" s="38"/>
      <c r="Q14" s="38"/>
      <c r="R14" s="38"/>
      <c r="S14" s="38"/>
    </row>
    <row r="15" spans="2:19" x14ac:dyDescent="0.25">
      <c r="B15" s="46"/>
      <c r="C15" s="46"/>
      <c r="D15" s="46"/>
      <c r="E15" s="47"/>
      <c r="H15" s="29" t="s">
        <v>11</v>
      </c>
      <c r="I15" s="29" t="s">
        <v>12</v>
      </c>
      <c r="J15" s="29" t="s">
        <v>13</v>
      </c>
      <c r="K15" s="30" t="s">
        <v>156</v>
      </c>
      <c r="L15" s="30" t="s">
        <v>31</v>
      </c>
      <c r="M15" s="38"/>
      <c r="O15" s="32" t="s">
        <v>32</v>
      </c>
      <c r="P15" s="32" t="s">
        <v>11</v>
      </c>
      <c r="Q15" s="32" t="s">
        <v>33</v>
      </c>
      <c r="R15" s="32" t="s">
        <v>34</v>
      </c>
      <c r="S15" s="32" t="s">
        <v>35</v>
      </c>
    </row>
    <row r="16" spans="2:19" s="18" customFormat="1" x14ac:dyDescent="0.25">
      <c r="B16" s="58"/>
      <c r="C16" s="58"/>
      <c r="D16" s="58"/>
      <c r="E16" s="59"/>
      <c r="H16" s="60" t="str">
        <f>+P16</f>
        <v>BLE-GSL-10</v>
      </c>
      <c r="I16" s="61" t="s">
        <v>45</v>
      </c>
      <c r="J16" s="61" t="s">
        <v>54</v>
      </c>
      <c r="K16" s="263">
        <v>1</v>
      </c>
      <c r="L16" s="62">
        <v>1</v>
      </c>
      <c r="M16" s="61"/>
      <c r="O16" s="43" t="s">
        <v>46</v>
      </c>
      <c r="P16" s="43" t="s">
        <v>546</v>
      </c>
      <c r="Q16" s="43" t="s">
        <v>143</v>
      </c>
      <c r="R16" s="43" t="s">
        <v>9</v>
      </c>
      <c r="S16" s="43" t="s">
        <v>42</v>
      </c>
    </row>
    <row r="17" spans="2:19" s="18" customFormat="1" x14ac:dyDescent="0.25">
      <c r="E17" s="15"/>
      <c r="H17" s="61"/>
      <c r="I17" s="61" t="s">
        <v>43</v>
      </c>
      <c r="J17" s="61"/>
      <c r="K17" s="263">
        <f>+'Bases de Cálculo'!C22</f>
        <v>5.7621225008503835E-2</v>
      </c>
      <c r="L17" s="61"/>
      <c r="M17" s="61"/>
      <c r="O17" s="43"/>
      <c r="P17" s="43" t="s">
        <v>547</v>
      </c>
      <c r="Q17" s="43" t="s">
        <v>144</v>
      </c>
      <c r="R17" s="43" t="s">
        <v>9</v>
      </c>
      <c r="S17" s="43" t="s">
        <v>42</v>
      </c>
    </row>
    <row r="18" spans="2:19" x14ac:dyDescent="0.25">
      <c r="H18" s="41" t="str">
        <f>+P17</f>
        <v>BLE-DSL-10</v>
      </c>
      <c r="I18" s="38" t="s">
        <v>47</v>
      </c>
      <c r="J18" s="38" t="s">
        <v>55</v>
      </c>
      <c r="K18" s="264">
        <v>1</v>
      </c>
      <c r="L18" s="42">
        <v>1</v>
      </c>
      <c r="M18" s="38"/>
      <c r="O18" s="38"/>
      <c r="P18" s="38"/>
      <c r="Q18" s="38"/>
      <c r="R18" s="38"/>
      <c r="S18" s="38"/>
    </row>
    <row r="19" spans="2:19" x14ac:dyDescent="0.25">
      <c r="B19" t="s">
        <v>10</v>
      </c>
      <c r="C19" t="s">
        <v>149</v>
      </c>
      <c r="D19" t="s">
        <v>9</v>
      </c>
      <c r="E19">
        <v>249.2398</v>
      </c>
      <c r="H19" s="38"/>
      <c r="I19" s="38" t="str">
        <f>+COMM!F9</f>
        <v>BDSL</v>
      </c>
      <c r="J19" s="38"/>
      <c r="K19" s="264">
        <f>+'Bases de Cálculo'!D22</f>
        <v>9.3659149944684009E-2</v>
      </c>
      <c r="L19" s="38"/>
      <c r="M19" s="38"/>
      <c r="O19" s="38"/>
      <c r="P19" s="38"/>
      <c r="Q19" s="38"/>
      <c r="R19" s="38"/>
      <c r="S19" s="38"/>
    </row>
    <row r="20" spans="2:19" x14ac:dyDescent="0.25">
      <c r="B20" t="s">
        <v>10</v>
      </c>
      <c r="C20" t="s">
        <v>150</v>
      </c>
      <c r="D20" t="s">
        <v>9</v>
      </c>
      <c r="E20">
        <v>269.4325</v>
      </c>
      <c r="H20" s="38"/>
      <c r="I20" s="38"/>
      <c r="J20" s="38"/>
      <c r="K20" s="38"/>
      <c r="L20" s="38"/>
      <c r="M20" s="38"/>
      <c r="O20" s="38"/>
      <c r="P20" s="38"/>
      <c r="Q20" s="38"/>
      <c r="R20" s="38"/>
      <c r="S20" s="38"/>
    </row>
    <row r="21" spans="2:19" x14ac:dyDescent="0.25">
      <c r="B21" t="s">
        <v>10</v>
      </c>
      <c r="C21" t="s">
        <v>151</v>
      </c>
      <c r="D21" t="s">
        <v>9</v>
      </c>
      <c r="E21">
        <v>59.134499999999996</v>
      </c>
      <c r="H21" s="38"/>
      <c r="I21" s="38"/>
      <c r="J21" s="38"/>
      <c r="K21" s="38"/>
      <c r="L21" s="38"/>
      <c r="M21" s="38"/>
      <c r="O21" s="38"/>
      <c r="P21" s="38"/>
      <c r="Q21" s="38"/>
      <c r="R21" s="38"/>
      <c r="S21" s="38"/>
    </row>
    <row r="22" spans="2:19" x14ac:dyDescent="0.25">
      <c r="B22" t="s">
        <v>10</v>
      </c>
      <c r="C22" t="s">
        <v>152</v>
      </c>
      <c r="D22" t="s">
        <v>9</v>
      </c>
      <c r="E22">
        <v>25.486199999999997</v>
      </c>
      <c r="H22" s="36" t="s">
        <v>0</v>
      </c>
      <c r="I22" s="27"/>
      <c r="J22" s="27"/>
      <c r="K22" s="37"/>
      <c r="L22" s="38"/>
      <c r="M22" s="38"/>
      <c r="O22" s="28" t="s">
        <v>30</v>
      </c>
      <c r="P22" s="38"/>
      <c r="Q22" s="38"/>
      <c r="R22" s="38"/>
      <c r="S22" s="38"/>
    </row>
    <row r="23" spans="2:19" x14ac:dyDescent="0.25">
      <c r="B23" t="s">
        <v>10</v>
      </c>
      <c r="C23" t="s">
        <v>153</v>
      </c>
      <c r="D23" t="s">
        <v>9</v>
      </c>
      <c r="E23">
        <v>1.1855</v>
      </c>
      <c r="H23" s="29" t="s">
        <v>11</v>
      </c>
      <c r="I23" s="29" t="s">
        <v>12</v>
      </c>
      <c r="J23" s="29" t="s">
        <v>13</v>
      </c>
      <c r="K23" s="30" t="s">
        <v>31</v>
      </c>
      <c r="L23" s="38"/>
      <c r="M23" s="38"/>
      <c r="O23" s="32" t="s">
        <v>32</v>
      </c>
      <c r="P23" s="32" t="s">
        <v>11</v>
      </c>
      <c r="Q23" s="32" t="s">
        <v>33</v>
      </c>
      <c r="R23" s="32" t="s">
        <v>34</v>
      </c>
      <c r="S23" s="32" t="s">
        <v>35</v>
      </c>
    </row>
    <row r="24" spans="2:19" x14ac:dyDescent="0.25">
      <c r="B24" t="s">
        <v>10</v>
      </c>
      <c r="C24" t="s">
        <v>154</v>
      </c>
      <c r="D24" t="s">
        <v>9</v>
      </c>
      <c r="E24">
        <v>238.81580000000002</v>
      </c>
      <c r="H24" s="38" t="s">
        <v>145</v>
      </c>
      <c r="I24" s="38" t="s">
        <v>45</v>
      </c>
      <c r="J24" s="38" t="str">
        <f>+C8</f>
        <v>DGSL</v>
      </c>
      <c r="K24" s="163">
        <v>1</v>
      </c>
      <c r="L24" s="38"/>
      <c r="M24" s="38"/>
      <c r="O24" s="35" t="s">
        <v>46</v>
      </c>
      <c r="P24" s="38" t="str">
        <f>+H24</f>
        <v>FTE-DGSL</v>
      </c>
      <c r="Q24" s="38" t="s">
        <v>147</v>
      </c>
      <c r="R24" s="38" t="s">
        <v>9</v>
      </c>
      <c r="S24" s="38" t="s">
        <v>42</v>
      </c>
    </row>
    <row r="25" spans="2:19" x14ac:dyDescent="0.25">
      <c r="B25" t="s">
        <v>10</v>
      </c>
      <c r="C25" t="s">
        <v>155</v>
      </c>
      <c r="D25" t="s">
        <v>9</v>
      </c>
      <c r="E25">
        <v>7.3300000000000004E-2</v>
      </c>
      <c r="H25" s="38" t="s">
        <v>146</v>
      </c>
      <c r="I25" s="38" t="s">
        <v>47</v>
      </c>
      <c r="J25" s="38" t="str">
        <f>+C9</f>
        <v>DDSL</v>
      </c>
      <c r="K25" s="163">
        <v>1</v>
      </c>
      <c r="L25" s="38"/>
      <c r="M25" s="38"/>
      <c r="O25" s="38"/>
      <c r="P25" s="38" t="str">
        <f>+H25</f>
        <v>FTE-DDSL</v>
      </c>
      <c r="Q25" s="38" t="s">
        <v>148</v>
      </c>
      <c r="R25" s="38" t="s">
        <v>9</v>
      </c>
      <c r="S25" s="38" t="s">
        <v>42</v>
      </c>
    </row>
    <row r="26" spans="2:19" x14ac:dyDescent="0.25">
      <c r="H26" s="38" t="s">
        <v>549</v>
      </c>
      <c r="I26" s="38" t="s">
        <v>43</v>
      </c>
      <c r="J26" s="38" t="s">
        <v>553</v>
      </c>
      <c r="K26" s="163">
        <v>1</v>
      </c>
      <c r="L26" s="38"/>
      <c r="M26" s="38"/>
      <c r="O26" s="38"/>
      <c r="P26" s="38" t="str">
        <f>+H26</f>
        <v>FTE-ETH</v>
      </c>
      <c r="Q26" s="38" t="s">
        <v>551</v>
      </c>
      <c r="R26" s="38" t="s">
        <v>9</v>
      </c>
      <c r="S26" s="38" t="s">
        <v>42</v>
      </c>
    </row>
    <row r="27" spans="2:19" x14ac:dyDescent="0.25">
      <c r="H27" s="38" t="s">
        <v>550</v>
      </c>
      <c r="I27" s="38" t="s">
        <v>44</v>
      </c>
      <c r="J27" s="38" t="s">
        <v>554</v>
      </c>
      <c r="K27" s="163">
        <v>1</v>
      </c>
      <c r="P27" s="38" t="str">
        <f>+H27</f>
        <v>FTE-BDSL</v>
      </c>
      <c r="Q27" s="38" t="s">
        <v>552</v>
      </c>
      <c r="R27" s="38" t="s">
        <v>9</v>
      </c>
      <c r="S27" s="38" t="s">
        <v>42</v>
      </c>
    </row>
    <row r="56" spans="8:12" x14ac:dyDescent="0.25">
      <c r="H56" s="28" t="s">
        <v>30</v>
      </c>
      <c r="I56" s="38"/>
      <c r="J56" s="38"/>
      <c r="K56" s="38"/>
      <c r="L56" s="38"/>
    </row>
    <row r="57" spans="8:12" x14ac:dyDescent="0.25">
      <c r="H57" s="32" t="s">
        <v>32</v>
      </c>
      <c r="I57" s="32" t="s">
        <v>11</v>
      </c>
      <c r="J57" s="32" t="s">
        <v>33</v>
      </c>
      <c r="K57" s="32" t="s">
        <v>34</v>
      </c>
      <c r="L57" s="32" t="s">
        <v>35</v>
      </c>
    </row>
    <row r="58" spans="8:12" x14ac:dyDescent="0.25">
      <c r="H58" t="s">
        <v>41</v>
      </c>
      <c r="I58" t="str">
        <f>+H67</f>
        <v>FTD-AGR</v>
      </c>
      <c r="J58" t="s">
        <v>182</v>
      </c>
      <c r="K58" t="s">
        <v>9</v>
      </c>
      <c r="L58" t="s">
        <v>187</v>
      </c>
    </row>
    <row r="59" spans="8:12" x14ac:dyDescent="0.25">
      <c r="I59" t="str">
        <f>+H72</f>
        <v>FTD-TER</v>
      </c>
      <c r="J59" t="s">
        <v>183</v>
      </c>
      <c r="K59" t="s">
        <v>9</v>
      </c>
      <c r="L59" t="s">
        <v>187</v>
      </c>
    </row>
    <row r="60" spans="8:12" x14ac:dyDescent="0.25">
      <c r="I60" t="str">
        <f>+H74</f>
        <v>FTD-RSD</v>
      </c>
      <c r="J60" t="s">
        <v>184</v>
      </c>
      <c r="K60" t="s">
        <v>9</v>
      </c>
      <c r="L60" t="s">
        <v>187</v>
      </c>
    </row>
    <row r="61" spans="8:12" x14ac:dyDescent="0.25">
      <c r="I61" t="str">
        <f>+H76</f>
        <v>FTD-IND</v>
      </c>
      <c r="J61" t="s">
        <v>185</v>
      </c>
      <c r="K61" t="s">
        <v>9</v>
      </c>
      <c r="L61" t="s">
        <v>187</v>
      </c>
    </row>
    <row r="62" spans="8:12" x14ac:dyDescent="0.25">
      <c r="I62" t="str">
        <f>+H86</f>
        <v>FTD-TRA</v>
      </c>
      <c r="J62" t="s">
        <v>186</v>
      </c>
      <c r="K62" t="s">
        <v>9</v>
      </c>
      <c r="L62" t="s">
        <v>187</v>
      </c>
    </row>
    <row r="65" spans="2:20" x14ac:dyDescent="0.25">
      <c r="H65" s="36" t="s">
        <v>0</v>
      </c>
    </row>
    <row r="66" spans="2:20" x14ac:dyDescent="0.25">
      <c r="H66" s="29" t="s">
        <v>11</v>
      </c>
      <c r="I66" s="29" t="s">
        <v>12</v>
      </c>
      <c r="J66" s="29" t="s">
        <v>13</v>
      </c>
      <c r="K66" s="52" t="s">
        <v>14</v>
      </c>
      <c r="L66" s="30" t="s">
        <v>31</v>
      </c>
      <c r="M66" s="29" t="s">
        <v>172</v>
      </c>
      <c r="N66" s="29" t="s">
        <v>188</v>
      </c>
      <c r="O66" s="29" t="s">
        <v>189</v>
      </c>
      <c r="P66" s="29" t="s">
        <v>190</v>
      </c>
      <c r="Q66" s="29" t="s">
        <v>191</v>
      </c>
      <c r="R66" s="29" t="s">
        <v>192</v>
      </c>
      <c r="S66" s="29" t="s">
        <v>193</v>
      </c>
      <c r="T66" s="29" t="s">
        <v>194</v>
      </c>
    </row>
    <row r="67" spans="2:20" x14ac:dyDescent="0.25">
      <c r="H67" t="s">
        <v>171</v>
      </c>
      <c r="I67" s="266" t="s">
        <v>150</v>
      </c>
      <c r="J67" s="269" t="s">
        <v>170</v>
      </c>
      <c r="K67" s="270" t="s">
        <v>557</v>
      </c>
      <c r="L67" s="267">
        <v>1</v>
      </c>
      <c r="M67" s="268">
        <v>0.70492284759636947</v>
      </c>
      <c r="N67" s="268">
        <v>0.71393822850931155</v>
      </c>
      <c r="O67" s="268">
        <v>0.71446486124964681</v>
      </c>
      <c r="P67" s="268">
        <v>0.71752787053189593</v>
      </c>
      <c r="Q67" s="268">
        <v>0.71924314150809932</v>
      </c>
      <c r="R67" s="268">
        <v>0.71947452206965223</v>
      </c>
      <c r="S67" s="268">
        <v>0.71849531385010945</v>
      </c>
      <c r="T67" s="268">
        <v>0.71650902714452402</v>
      </c>
    </row>
    <row r="68" spans="2:20" x14ac:dyDescent="0.25">
      <c r="I68" s="266" t="s">
        <v>554</v>
      </c>
      <c r="J68" s="269"/>
      <c r="K68" s="270" t="s">
        <v>557</v>
      </c>
      <c r="L68" s="267">
        <v>1</v>
      </c>
      <c r="M68" s="268">
        <f>+M67*$D$74</f>
        <v>6.6022474682462001E-2</v>
      </c>
      <c r="N68" s="268">
        <f t="shared" ref="N68:T68" si="2">+N67*$D$74</f>
        <v>6.6866847595195691E-2</v>
      </c>
      <c r="O68" s="268">
        <f t="shared" si="2"/>
        <v>6.6916171569988525E-2</v>
      </c>
      <c r="P68" s="268">
        <f t="shared" si="2"/>
        <v>6.720305041563665E-2</v>
      </c>
      <c r="Q68" s="268">
        <f t="shared" si="2"/>
        <v>6.7363701237192652E-2</v>
      </c>
      <c r="R68" s="268">
        <f t="shared" si="2"/>
        <v>6.7385372143901417E-2</v>
      </c>
      <c r="S68" s="268">
        <f t="shared" si="2"/>
        <v>6.7293660334440203E-2</v>
      </c>
      <c r="T68" s="268">
        <f t="shared" si="2"/>
        <v>6.7107626410048637E-2</v>
      </c>
    </row>
    <row r="69" spans="2:20" x14ac:dyDescent="0.25">
      <c r="I69" s="266" t="s">
        <v>149</v>
      </c>
      <c r="J69" s="269"/>
      <c r="K69" s="270" t="s">
        <v>557</v>
      </c>
      <c r="L69" s="267">
        <v>1</v>
      </c>
      <c r="M69" s="268">
        <v>6.6920156894449958E-3</v>
      </c>
      <c r="N69" s="268">
        <v>7.1142331301549495E-3</v>
      </c>
      <c r="O69" s="268">
        <v>6.884185400222554E-3</v>
      </c>
      <c r="P69" s="268">
        <v>6.7217875799148548E-3</v>
      </c>
      <c r="Q69" s="268">
        <v>6.6017020910173795E-3</v>
      </c>
      <c r="R69" s="268">
        <v>6.5185070900598899E-3</v>
      </c>
      <c r="S69" s="268">
        <v>6.4624611243749045E-3</v>
      </c>
      <c r="T69" s="268">
        <v>6.4287265996042856E-3</v>
      </c>
    </row>
    <row r="70" spans="2:20" x14ac:dyDescent="0.25">
      <c r="I70" s="266" t="s">
        <v>553</v>
      </c>
      <c r="J70" s="269"/>
      <c r="K70" s="270" t="s">
        <v>557</v>
      </c>
      <c r="L70" s="267">
        <v>1</v>
      </c>
      <c r="M70" s="268">
        <f>+M69*$D$73</f>
        <v>3.8560214180194803E-4</v>
      </c>
      <c r="N70" s="268">
        <f t="shared" ref="N70:T70" si="3">+N69*$D$73</f>
        <v>4.0993082795561089E-4</v>
      </c>
      <c r="O70" s="268">
        <f t="shared" si="3"/>
        <v>3.9667519594648081E-4</v>
      </c>
      <c r="P70" s="268">
        <f t="shared" si="3"/>
        <v>3.8731763460164031E-4</v>
      </c>
      <c r="Q70" s="268">
        <f t="shared" si="3"/>
        <v>3.8039816162562266E-4</v>
      </c>
      <c r="R70" s="268">
        <f t="shared" si="3"/>
        <v>3.756043637558685E-4</v>
      </c>
      <c r="S70" s="268">
        <f t="shared" si="3"/>
        <v>3.7237492655631504E-4</v>
      </c>
      <c r="T70" s="268">
        <f t="shared" si="3"/>
        <v>3.7043110191395227E-4</v>
      </c>
    </row>
    <row r="71" spans="2:20" x14ac:dyDescent="0.25">
      <c r="I71" t="s">
        <v>154</v>
      </c>
      <c r="J71" s="20"/>
      <c r="K71" s="19" t="s">
        <v>178</v>
      </c>
      <c r="L71" s="22">
        <v>1</v>
      </c>
      <c r="M71" s="63">
        <v>0.28838513671418559</v>
      </c>
      <c r="N71" s="63">
        <v>0.27894753836053338</v>
      </c>
      <c r="O71" s="63">
        <v>0.27865095335013057</v>
      </c>
      <c r="P71" s="63">
        <v>0.27575034188818925</v>
      </c>
      <c r="Q71" s="63">
        <v>0.27415515640088323</v>
      </c>
      <c r="R71" s="63">
        <v>0.2740069708402878</v>
      </c>
      <c r="S71" s="63">
        <v>0.27504222502551567</v>
      </c>
      <c r="T71" s="63">
        <v>0.27706224625587167</v>
      </c>
    </row>
    <row r="72" spans="2:20" x14ac:dyDescent="0.25">
      <c r="H72" t="s">
        <v>173</v>
      </c>
      <c r="I72" t="s">
        <v>154</v>
      </c>
      <c r="J72" s="20" t="s">
        <v>179</v>
      </c>
      <c r="K72" s="19" t="s">
        <v>178</v>
      </c>
      <c r="L72" s="22">
        <v>1</v>
      </c>
      <c r="M72" s="63">
        <v>0.94914717262718429</v>
      </c>
      <c r="N72" s="63">
        <v>0.94909397992018851</v>
      </c>
      <c r="O72" s="63">
        <v>0.94381625559454663</v>
      </c>
      <c r="P72" s="63">
        <v>0.94089342504252638</v>
      </c>
      <c r="Q72" s="63">
        <v>0.93845062398555323</v>
      </c>
      <c r="R72" s="63">
        <v>0.93558574737128919</v>
      </c>
      <c r="S72" s="63">
        <v>0.93394802666463828</v>
      </c>
      <c r="T72" s="63">
        <v>0.933269906252853</v>
      </c>
    </row>
    <row r="73" spans="2:20" x14ac:dyDescent="0.25">
      <c r="B73" t="s">
        <v>556</v>
      </c>
      <c r="D73" s="265">
        <f>+'Bases de Cálculo'!C22</f>
        <v>5.7621225008503835E-2</v>
      </c>
      <c r="I73" t="s">
        <v>152</v>
      </c>
      <c r="J73" s="20"/>
      <c r="K73" s="19" t="s">
        <v>178</v>
      </c>
      <c r="L73" s="22">
        <v>1</v>
      </c>
      <c r="M73" s="63">
        <v>5.0852827372815664E-2</v>
      </c>
      <c r="N73" s="63">
        <v>5.0906020079811459E-2</v>
      </c>
      <c r="O73" s="63">
        <v>5.6183744405453408E-2</v>
      </c>
      <c r="P73" s="63">
        <v>5.9106574957473554E-2</v>
      </c>
      <c r="Q73" s="63">
        <v>6.1549376014446808E-2</v>
      </c>
      <c r="R73" s="63">
        <v>6.4414252628710852E-2</v>
      </c>
      <c r="S73" s="63">
        <v>6.6051973335361724E-2</v>
      </c>
      <c r="T73" s="63">
        <v>6.6730093747146987E-2</v>
      </c>
    </row>
    <row r="74" spans="2:20" x14ac:dyDescent="0.25">
      <c r="B74" t="s">
        <v>555</v>
      </c>
      <c r="D74" s="265">
        <f>+'Bases de Cálculo'!D22</f>
        <v>9.3659149944684009E-2</v>
      </c>
      <c r="H74" t="s">
        <v>174</v>
      </c>
      <c r="I74" t="s">
        <v>154</v>
      </c>
      <c r="J74" s="20" t="s">
        <v>180</v>
      </c>
      <c r="K74" s="19" t="s">
        <v>178</v>
      </c>
      <c r="L74" s="22">
        <v>1</v>
      </c>
      <c r="M74" s="63">
        <v>0.73862618670258562</v>
      </c>
      <c r="N74" s="63">
        <v>0.74554154285971541</v>
      </c>
      <c r="O74" s="63">
        <v>0.75129509265895111</v>
      </c>
      <c r="P74" s="63">
        <v>0.75734173890202261</v>
      </c>
      <c r="Q74" s="63">
        <v>0.76288003210832334</v>
      </c>
      <c r="R74" s="63">
        <v>0.76798679968770389</v>
      </c>
      <c r="S74" s="63">
        <v>0.77271043225491287</v>
      </c>
      <c r="T74" s="63">
        <v>0.7770943916548716</v>
      </c>
    </row>
    <row r="75" spans="2:20" x14ac:dyDescent="0.25">
      <c r="I75" t="s">
        <v>152</v>
      </c>
      <c r="J75" s="20"/>
      <c r="K75" s="19" t="s">
        <v>178</v>
      </c>
      <c r="L75" s="22">
        <v>1</v>
      </c>
      <c r="M75" s="63">
        <v>0.26137381329741433</v>
      </c>
      <c r="N75" s="63">
        <v>0.25445845714028453</v>
      </c>
      <c r="O75" s="63">
        <v>0.24870490734104891</v>
      </c>
      <c r="P75" s="63">
        <v>0.24265826109797739</v>
      </c>
      <c r="Q75" s="63">
        <v>0.23711996789167664</v>
      </c>
      <c r="R75" s="63">
        <v>0.23201320031229605</v>
      </c>
      <c r="S75" s="63">
        <v>0.22728956774508716</v>
      </c>
      <c r="T75" s="63">
        <v>0.22290560834512835</v>
      </c>
    </row>
    <row r="76" spans="2:20" x14ac:dyDescent="0.25">
      <c r="H76" t="s">
        <v>175</v>
      </c>
      <c r="I76" s="266" t="s">
        <v>150</v>
      </c>
      <c r="J76" s="269" t="s">
        <v>181</v>
      </c>
      <c r="K76" s="270" t="s">
        <v>557</v>
      </c>
      <c r="L76" s="267">
        <v>1</v>
      </c>
      <c r="M76" s="268">
        <v>2.3815208477444158E-2</v>
      </c>
      <c r="N76" s="268">
        <v>2.2130945027794936E-2</v>
      </c>
      <c r="O76" s="268">
        <v>2.2932665713608379E-2</v>
      </c>
      <c r="P76" s="268">
        <v>2.2896265372607132E-2</v>
      </c>
      <c r="Q76" s="268">
        <v>2.2391833159756083E-2</v>
      </c>
      <c r="R76" s="268">
        <v>2.177574009314618E-2</v>
      </c>
      <c r="S76" s="268">
        <v>2.1387985767026867E-2</v>
      </c>
      <c r="T76" s="268">
        <v>2.1105475060029102E-2</v>
      </c>
    </row>
    <row r="77" spans="2:20" x14ac:dyDescent="0.25">
      <c r="I77" s="266" t="s">
        <v>554</v>
      </c>
      <c r="J77" s="269"/>
      <c r="K77" s="270" t="s">
        <v>557</v>
      </c>
      <c r="L77" s="267">
        <v>1</v>
      </c>
      <c r="M77" s="268">
        <f>+M76*$D$74</f>
        <v>2.230512181752852E-3</v>
      </c>
      <c r="N77" s="268">
        <f t="shared" ref="N77:T77" si="4">+N76*$D$74</f>
        <v>2.0727654987758048E-3</v>
      </c>
      <c r="O77" s="268">
        <f t="shared" si="4"/>
        <v>2.1478539767021609E-3</v>
      </c>
      <c r="P77" s="268">
        <f t="shared" si="4"/>
        <v>2.1444447517062876E-3</v>
      </c>
      <c r="Q77" s="268">
        <f t="shared" si="4"/>
        <v>2.0972000594459425E-3</v>
      </c>
      <c r="R77" s="268">
        <f t="shared" si="4"/>
        <v>2.0394973065404453E-3</v>
      </c>
      <c r="S77" s="268">
        <f>+S76*$D$74</f>
        <v>2.003180565968737E-3</v>
      </c>
      <c r="T77" s="268">
        <f t="shared" si="4"/>
        <v>1.9767208533010543E-3</v>
      </c>
    </row>
    <row r="78" spans="2:20" x14ac:dyDescent="0.25">
      <c r="I78" s="266" t="s">
        <v>149</v>
      </c>
      <c r="J78" s="269"/>
      <c r="K78" s="270" t="s">
        <v>557</v>
      </c>
      <c r="L78" s="267">
        <v>1</v>
      </c>
      <c r="M78" s="268">
        <v>2.0733084888629265E-3</v>
      </c>
      <c r="N78" s="268">
        <v>1.605929586164299E-3</v>
      </c>
      <c r="O78" s="268">
        <v>1.6549809268611576E-3</v>
      </c>
      <c r="P78" s="268">
        <v>1.6409824262324721E-3</v>
      </c>
      <c r="Q78" s="268">
        <v>1.58464374956299E-3</v>
      </c>
      <c r="R78" s="268">
        <v>1.5202058455406398E-3</v>
      </c>
      <c r="S78" s="268">
        <v>1.4820495625786701E-3</v>
      </c>
      <c r="T78" s="268">
        <v>1.4573539790034261E-3</v>
      </c>
    </row>
    <row r="79" spans="2:20" x14ac:dyDescent="0.25">
      <c r="I79" s="266" t="s">
        <v>553</v>
      </c>
      <c r="J79" s="269"/>
      <c r="K79" s="270" t="s">
        <v>557</v>
      </c>
      <c r="L79" s="267">
        <v>1</v>
      </c>
      <c r="M79" s="268">
        <f>+M78*$D$73</f>
        <v>1.1946657494881176E-4</v>
      </c>
      <c r="N79" s="268">
        <f t="shared" ref="N79:T79" si="5">+N78*$D$73</f>
        <v>9.2535630032186518E-5</v>
      </c>
      <c r="O79" s="268">
        <f t="shared" si="5"/>
        <v>9.5362028371448988E-5</v>
      </c>
      <c r="P79" s="268">
        <f t="shared" si="5"/>
        <v>9.455541761694182E-5</v>
      </c>
      <c r="Q79" s="268">
        <f t="shared" si="5"/>
        <v>9.1309114051888244E-5</v>
      </c>
      <c r="R79" s="268">
        <f t="shared" si="5"/>
        <v>8.7596123085140028E-5</v>
      </c>
      <c r="S79" s="268">
        <f t="shared" si="5"/>
        <v>8.5397511319100229E-5</v>
      </c>
      <c r="T79" s="268">
        <f t="shared" si="5"/>
        <v>8.3974521541194786E-5</v>
      </c>
    </row>
    <row r="80" spans="2:20" x14ac:dyDescent="0.25">
      <c r="I80" t="s">
        <v>154</v>
      </c>
      <c r="J80" s="20"/>
      <c r="K80" s="19" t="s">
        <v>178</v>
      </c>
      <c r="L80" s="22">
        <v>1</v>
      </c>
      <c r="M80" s="63">
        <v>0.92987932910492899</v>
      </c>
      <c r="N80" s="63">
        <v>0.93058884084826032</v>
      </c>
      <c r="O80" s="63">
        <v>0.93376663960747408</v>
      </c>
      <c r="P80" s="63">
        <v>0.93688069662246576</v>
      </c>
      <c r="Q80" s="63">
        <v>0.94004040731158889</v>
      </c>
      <c r="R80" s="63">
        <v>0.94314873307226621</v>
      </c>
      <c r="S80" s="63">
        <v>0.94608397598622218</v>
      </c>
      <c r="T80" s="63">
        <v>0.94882285301864444</v>
      </c>
    </row>
    <row r="81" spans="8:20" x14ac:dyDescent="0.25">
      <c r="I81" t="s">
        <v>151</v>
      </c>
      <c r="J81" s="20"/>
      <c r="K81" s="19" t="s">
        <v>178</v>
      </c>
      <c r="L81" s="22">
        <v>1</v>
      </c>
      <c r="M81" s="63">
        <v>3.7747992514573081E-5</v>
      </c>
      <c r="N81" s="63">
        <v>3.9118797611694459E-5</v>
      </c>
      <c r="O81" s="63">
        <v>3.9511210407971213E-5</v>
      </c>
      <c r="P81" s="63">
        <v>3.7937124462826458E-5</v>
      </c>
      <c r="Q81" s="63">
        <v>3.6800830226729914E-5</v>
      </c>
      <c r="R81" s="63">
        <v>3.4916388678495262E-5</v>
      </c>
      <c r="S81" s="63">
        <v>3.3710306866127345E-5</v>
      </c>
      <c r="T81" s="63">
        <v>3.2563587076633333E-5</v>
      </c>
    </row>
    <row r="82" spans="8:20" x14ac:dyDescent="0.25">
      <c r="I82" t="s">
        <v>152</v>
      </c>
      <c r="J82" s="20"/>
      <c r="K82" s="19" t="s">
        <v>178</v>
      </c>
      <c r="L82" s="22">
        <v>1</v>
      </c>
      <c r="M82" s="63">
        <v>3.934284519831379E-2</v>
      </c>
      <c r="N82" s="63">
        <v>4.1462837142268893E-2</v>
      </c>
      <c r="O82" s="63">
        <v>3.7275235091701928E-2</v>
      </c>
      <c r="P82" s="63">
        <v>3.4209600191138528E-2</v>
      </c>
      <c r="Q82" s="63">
        <v>3.1685514825214457E-2</v>
      </c>
      <c r="R82" s="63">
        <v>2.9354610843418796E-2</v>
      </c>
      <c r="S82" s="63">
        <v>2.6908650486120688E-2</v>
      </c>
      <c r="T82" s="63">
        <v>2.4527320849557291E-2</v>
      </c>
    </row>
    <row r="83" spans="8:20" x14ac:dyDescent="0.25">
      <c r="I83" t="s">
        <v>153</v>
      </c>
      <c r="J83" s="20"/>
      <c r="K83" s="19" t="s">
        <v>178</v>
      </c>
      <c r="L83" s="22">
        <v>1</v>
      </c>
      <c r="M83" s="63">
        <v>4.1598287751059542E-3</v>
      </c>
      <c r="N83" s="63">
        <v>3.4764257772287419E-3</v>
      </c>
      <c r="O83" s="63">
        <v>3.6098878600010062E-3</v>
      </c>
      <c r="P83" s="63">
        <v>3.6177487626040034E-3</v>
      </c>
      <c r="Q83" s="63">
        <v>3.5682084987837324E-3</v>
      </c>
      <c r="R83" s="63">
        <v>3.5017109030452461E-3</v>
      </c>
      <c r="S83" s="63">
        <v>3.4559084235435194E-3</v>
      </c>
      <c r="T83" s="63">
        <v>3.4159736672684702E-3</v>
      </c>
    </row>
    <row r="84" spans="8:20" x14ac:dyDescent="0.25">
      <c r="I84" t="s">
        <v>155</v>
      </c>
      <c r="J84" s="20"/>
      <c r="K84" s="19" t="s">
        <v>178</v>
      </c>
      <c r="L84" s="22">
        <v>1</v>
      </c>
      <c r="M84" s="63">
        <v>6.9173196282955177E-4</v>
      </c>
      <c r="N84" s="63">
        <v>6.9590282067119613E-4</v>
      </c>
      <c r="O84" s="63">
        <v>7.2107958994547454E-4</v>
      </c>
      <c r="P84" s="63">
        <v>7.1676950048914668E-4</v>
      </c>
      <c r="Q84" s="63">
        <v>6.9259162486705697E-4</v>
      </c>
      <c r="R84" s="63">
        <v>6.6408285390445808E-4</v>
      </c>
      <c r="S84" s="63">
        <v>6.4771946764201826E-4</v>
      </c>
      <c r="T84" s="63">
        <v>6.3845983842054856E-4</v>
      </c>
    </row>
    <row r="85" spans="8:20" x14ac:dyDescent="0.25">
      <c r="I85" t="s">
        <v>176</v>
      </c>
      <c r="J85" s="20"/>
      <c r="K85" s="19" t="s">
        <v>178</v>
      </c>
      <c r="L85" s="22">
        <v>1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</row>
    <row r="86" spans="8:20" x14ac:dyDescent="0.25">
      <c r="H86" t="s">
        <v>168</v>
      </c>
      <c r="I86" s="266" t="s">
        <v>150</v>
      </c>
      <c r="J86" s="269" t="s">
        <v>169</v>
      </c>
      <c r="K86" s="270" t="s">
        <v>557</v>
      </c>
      <c r="L86" s="267">
        <v>1</v>
      </c>
      <c r="M86" s="268">
        <v>0.42556332971371874</v>
      </c>
      <c r="N86" s="268">
        <v>0.42885227003017673</v>
      </c>
      <c r="O86" s="268">
        <v>0.4301288355256343</v>
      </c>
      <c r="P86" s="268">
        <v>0.42782773669978968</v>
      </c>
      <c r="Q86" s="268">
        <v>0.41668817229295235</v>
      </c>
      <c r="R86" s="268">
        <v>0.39409044952974615</v>
      </c>
      <c r="S86" s="268">
        <v>0.36101605214575999</v>
      </c>
      <c r="T86" s="268">
        <v>0.32619321607544083</v>
      </c>
    </row>
    <row r="87" spans="8:20" x14ac:dyDescent="0.25">
      <c r="I87" s="266" t="s">
        <v>554</v>
      </c>
      <c r="J87" s="269"/>
      <c r="K87" s="270" t="s">
        <v>557</v>
      </c>
      <c r="L87" s="267">
        <v>1</v>
      </c>
      <c r="M87" s="268">
        <f>+M86*$D$74</f>
        <v>3.9857899708616182E-2</v>
      </c>
      <c r="N87" s="268">
        <f t="shared" ref="N87:T87" si="6">+N86*$D$74</f>
        <v>4.0165939062874439E-2</v>
      </c>
      <c r="O87" s="268">
        <f t="shared" si="6"/>
        <v>4.0285501102027707E-2</v>
      </c>
      <c r="P87" s="268">
        <f t="shared" si="6"/>
        <v>4.0069982142060388E-2</v>
      </c>
      <c r="Q87" s="268">
        <f t="shared" si="6"/>
        <v>3.9026660008961947E-2</v>
      </c>
      <c r="R87" s="268">
        <f t="shared" si="6"/>
        <v>3.6910176504274417E-2</v>
      </c>
      <c r="S87" s="268">
        <f t="shared" si="6"/>
        <v>3.3812456560357598E-2</v>
      </c>
      <c r="T87" s="268">
        <f t="shared" si="6"/>
        <v>3.0550979335348422E-2</v>
      </c>
    </row>
    <row r="88" spans="8:20" x14ac:dyDescent="0.25">
      <c r="I88" s="266" t="s">
        <v>149</v>
      </c>
      <c r="J88" s="269"/>
      <c r="K88" s="270" t="s">
        <v>557</v>
      </c>
      <c r="L88" s="267">
        <v>1</v>
      </c>
      <c r="M88" s="268">
        <v>0.43290649023408723</v>
      </c>
      <c r="N88" s="268">
        <v>0.43334520055606424</v>
      </c>
      <c r="O88" s="268">
        <v>0.42676689042599353</v>
      </c>
      <c r="P88" s="268">
        <v>0.41280956616074077</v>
      </c>
      <c r="Q88" s="268">
        <v>0.39470185013541281</v>
      </c>
      <c r="R88" s="268">
        <v>0.37375110178859372</v>
      </c>
      <c r="S88" s="268">
        <v>0.35412901955996318</v>
      </c>
      <c r="T88" s="268">
        <v>0.33610432900293752</v>
      </c>
    </row>
    <row r="89" spans="8:20" x14ac:dyDescent="0.25">
      <c r="I89" s="266" t="s">
        <v>553</v>
      </c>
      <c r="J89" s="269"/>
      <c r="K89" s="270" t="s">
        <v>557</v>
      </c>
      <c r="L89" s="267">
        <v>1</v>
      </c>
      <c r="M89" s="268">
        <f>+M88*$D$73</f>
        <v>2.4944602281420009E-2</v>
      </c>
      <c r="N89" s="268">
        <f t="shared" ref="N89:T89" si="7">+N88*$D$73</f>
        <v>2.4969881307596198E-2</v>
      </c>
      <c r="O89" s="268">
        <f t="shared" si="7"/>
        <v>2.4590831019415674E-2</v>
      </c>
      <c r="P89" s="268">
        <f t="shared" si="7"/>
        <v>2.3786592897410894E-2</v>
      </c>
      <c r="Q89" s="268">
        <f t="shared" si="7"/>
        <v>2.2743204117925381E-2</v>
      </c>
      <c r="R89" s="268">
        <f t="shared" si="7"/>
        <v>2.153599633333678E-2</v>
      </c>
      <c r="S89" s="268">
        <f t="shared" si="7"/>
        <v>2.0405347918105495E-2</v>
      </c>
      <c r="T89" s="268">
        <f t="shared" si="7"/>
        <v>1.9366743167810466E-2</v>
      </c>
    </row>
    <row r="90" spans="8:20" x14ac:dyDescent="0.25">
      <c r="I90" t="s">
        <v>154</v>
      </c>
      <c r="J90" s="20"/>
      <c r="K90" s="19" t="s">
        <v>178</v>
      </c>
      <c r="L90" s="22">
        <v>1</v>
      </c>
      <c r="M90" s="63">
        <v>3.638539169699493E-2</v>
      </c>
      <c r="N90" s="63">
        <v>3.4195910894110469E-2</v>
      </c>
      <c r="O90" s="63">
        <v>2.7821777272638556E-2</v>
      </c>
      <c r="P90" s="63">
        <v>2.934035639254148E-2</v>
      </c>
      <c r="Q90" s="63">
        <v>4.0087103729669921E-2</v>
      </c>
      <c r="R90" s="63">
        <v>6.3024887052906611E-2</v>
      </c>
      <c r="S90" s="63">
        <v>9.4953571196556966E-2</v>
      </c>
      <c r="T90" s="63">
        <v>0.1300448131911226</v>
      </c>
    </row>
    <row r="91" spans="8:20" x14ac:dyDescent="0.25">
      <c r="I91" t="s">
        <v>151</v>
      </c>
      <c r="J91" s="20"/>
      <c r="K91" s="19" t="s">
        <v>178</v>
      </c>
      <c r="L91" s="22">
        <v>1</v>
      </c>
      <c r="M91" s="63">
        <v>0.10288236971605716</v>
      </c>
      <c r="N91" s="63">
        <v>0.1011779066219103</v>
      </c>
      <c r="O91" s="63">
        <v>0.11262576139978951</v>
      </c>
      <c r="P91" s="63">
        <v>0.12700802912736228</v>
      </c>
      <c r="Q91" s="63">
        <v>0.14454567570501695</v>
      </c>
      <c r="R91" s="63">
        <v>0.16327899835227158</v>
      </c>
      <c r="S91" s="63">
        <v>0.18201419157065585</v>
      </c>
      <c r="T91" s="63">
        <v>0.19787361201483947</v>
      </c>
    </row>
    <row r="92" spans="8:20" x14ac:dyDescent="0.25">
      <c r="I92" t="s">
        <v>152</v>
      </c>
      <c r="J92" s="20"/>
      <c r="K92" s="19" t="s">
        <v>178</v>
      </c>
      <c r="L92" s="22">
        <v>1</v>
      </c>
      <c r="M92" s="63">
        <v>5.4111527860738156E-5</v>
      </c>
      <c r="N92" s="63">
        <v>5.1707184755704752E-5</v>
      </c>
      <c r="O92" s="63">
        <v>5.5852249779668886E-5</v>
      </c>
      <c r="P92" s="63">
        <v>1.2206842866928591E-4</v>
      </c>
      <c r="Q92" s="63">
        <v>7.216381291188117E-4</v>
      </c>
      <c r="R92" s="63">
        <v>2.2095540563750854E-3</v>
      </c>
      <c r="S92" s="63">
        <v>3.8226339316975969E-3</v>
      </c>
      <c r="T92" s="63">
        <v>5.3272777283629074E-3</v>
      </c>
    </row>
    <row r="93" spans="8:20" x14ac:dyDescent="0.25">
      <c r="I93" t="s">
        <v>153</v>
      </c>
      <c r="J93" s="20"/>
      <c r="K93" s="19" t="s">
        <v>178</v>
      </c>
      <c r="L93" s="22">
        <v>1</v>
      </c>
      <c r="M93" s="63">
        <v>1.2957188037907301E-3</v>
      </c>
      <c r="N93" s="63">
        <v>1.4795036110263455E-3</v>
      </c>
      <c r="O93" s="63">
        <v>1.6018485292991595E-3</v>
      </c>
      <c r="P93" s="63">
        <v>1.7656822825739534E-3</v>
      </c>
      <c r="Q93" s="63">
        <v>1.9734108574841298E-3</v>
      </c>
      <c r="R93" s="63">
        <v>2.1965936880489674E-3</v>
      </c>
      <c r="S93" s="63">
        <v>2.4499520724434688E-3</v>
      </c>
      <c r="T93" s="63">
        <v>2.7014653486442395E-3</v>
      </c>
    </row>
    <row r="94" spans="8:20" x14ac:dyDescent="0.25">
      <c r="I94" t="s">
        <v>523</v>
      </c>
      <c r="J94" s="20"/>
      <c r="K94" s="19" t="s">
        <v>178</v>
      </c>
      <c r="L94" s="22">
        <v>1</v>
      </c>
      <c r="M94" s="63">
        <v>9.1258830749058398E-4</v>
      </c>
      <c r="N94" s="63">
        <v>8.9750110195639654E-4</v>
      </c>
      <c r="O94" s="63">
        <v>9.9903459686536767E-4</v>
      </c>
      <c r="P94" s="63">
        <v>1.1265609083225784E-3</v>
      </c>
      <c r="Q94" s="63">
        <v>1.282149150345063E-3</v>
      </c>
      <c r="R94" s="63">
        <v>1.4484155320577225E-3</v>
      </c>
      <c r="S94" s="63">
        <v>1.6145795229228466E-3</v>
      </c>
      <c r="T94" s="63">
        <v>1.7552866386524909E-3</v>
      </c>
    </row>
    <row r="95" spans="8:20" x14ac:dyDescent="0.25">
      <c r="I95" t="s">
        <v>176</v>
      </c>
      <c r="J95" s="20"/>
      <c r="K95" s="19" t="s">
        <v>178</v>
      </c>
      <c r="L95" s="22">
        <v>1</v>
      </c>
      <c r="M95" s="63">
        <v>0</v>
      </c>
      <c r="N95" s="63">
        <v>0</v>
      </c>
      <c r="O95" s="63">
        <v>0</v>
      </c>
      <c r="P95" s="63">
        <v>0</v>
      </c>
      <c r="Q95" s="63">
        <v>0</v>
      </c>
      <c r="R95" s="63">
        <v>0</v>
      </c>
      <c r="S95" s="63">
        <v>0</v>
      </c>
      <c r="T95" s="63">
        <v>0</v>
      </c>
    </row>
    <row r="96" spans="8:20" x14ac:dyDescent="0.25">
      <c r="M96" s="248"/>
      <c r="N96" s="248"/>
      <c r="O96" s="248"/>
      <c r="P96" s="248"/>
      <c r="Q96" s="248"/>
      <c r="R96" s="248"/>
      <c r="S96" s="248"/>
      <c r="T96" s="248"/>
    </row>
    <row r="98" spans="8:18" x14ac:dyDescent="0.25">
      <c r="H98" s="53" t="s">
        <v>0</v>
      </c>
      <c r="J98" s="53"/>
      <c r="K98" s="54"/>
    </row>
    <row r="99" spans="8:18" x14ac:dyDescent="0.25">
      <c r="H99" s="55" t="s">
        <v>1</v>
      </c>
      <c r="I99" s="55" t="s">
        <v>2</v>
      </c>
      <c r="J99" s="55" t="s">
        <v>3</v>
      </c>
      <c r="K99" s="56">
        <v>2019</v>
      </c>
      <c r="L99" s="56">
        <v>2020</v>
      </c>
      <c r="M99" s="56">
        <v>2025</v>
      </c>
      <c r="N99" s="56">
        <v>2030</v>
      </c>
      <c r="O99" s="56">
        <v>2035</v>
      </c>
      <c r="P99" s="56">
        <v>2040</v>
      </c>
      <c r="Q99" s="56">
        <v>2045</v>
      </c>
      <c r="R99" s="56">
        <v>2050</v>
      </c>
    </row>
    <row r="100" spans="8:18" x14ac:dyDescent="0.25">
      <c r="H100" t="s">
        <v>10</v>
      </c>
      <c r="I100" t="str" cm="1">
        <f t="array" ref="I100:I104">+_xlfn.ANCHORARRAY(COMM!Z30)</f>
        <v>DAGR</v>
      </c>
      <c r="J100" t="s">
        <v>9</v>
      </c>
      <c r="K100" s="64">
        <v>31.6646</v>
      </c>
      <c r="L100" s="65">
        <v>27.873699999999999</v>
      </c>
      <c r="M100" s="65">
        <v>34.688200000000002</v>
      </c>
      <c r="N100" s="65">
        <v>41.387799999999999</v>
      </c>
      <c r="O100" s="65">
        <v>48.775300000000001</v>
      </c>
      <c r="P100" s="65">
        <v>57.037600000000005</v>
      </c>
      <c r="Q100" s="65">
        <v>66.4298</v>
      </c>
      <c r="R100" s="65">
        <v>76.873699999999999</v>
      </c>
    </row>
    <row r="101" spans="8:18" x14ac:dyDescent="0.25">
      <c r="H101" t="s">
        <v>10</v>
      </c>
      <c r="I101" t="str">
        <v>DTER</v>
      </c>
      <c r="J101" s="54" t="s">
        <v>9</v>
      </c>
      <c r="K101" s="65">
        <v>62.181400000000004</v>
      </c>
      <c r="L101" s="65">
        <v>54.353099999999998</v>
      </c>
      <c r="M101" s="65">
        <v>60.013800000000003</v>
      </c>
      <c r="N101" s="65">
        <v>67.605000000000004</v>
      </c>
      <c r="O101" s="65">
        <v>74.424799999999991</v>
      </c>
      <c r="P101" s="65">
        <v>80.742999999999995</v>
      </c>
      <c r="Q101" s="65">
        <v>90.7119</v>
      </c>
      <c r="R101" s="65">
        <v>104.0565</v>
      </c>
    </row>
    <row r="102" spans="8:18" x14ac:dyDescent="0.25">
      <c r="H102" s="54" t="s">
        <v>10</v>
      </c>
      <c r="I102" s="54" t="str">
        <v>DRSD</v>
      </c>
      <c r="J102" s="54" t="s">
        <v>9</v>
      </c>
      <c r="K102" s="65">
        <v>69.341300000000004</v>
      </c>
      <c r="L102" s="65">
        <v>71.078400000000002</v>
      </c>
      <c r="M102" s="65">
        <v>80.650599999999997</v>
      </c>
      <c r="N102" s="65">
        <v>89.464500000000001</v>
      </c>
      <c r="O102" s="65">
        <v>94.679500000000004</v>
      </c>
      <c r="P102" s="65">
        <v>98.240100000000012</v>
      </c>
      <c r="Q102" s="65">
        <v>103.37649999999999</v>
      </c>
      <c r="R102" s="65">
        <v>109.43870000000001</v>
      </c>
    </row>
    <row r="103" spans="8:18" x14ac:dyDescent="0.25">
      <c r="H103" t="s">
        <v>10</v>
      </c>
      <c r="I103" t="str">
        <v>DIND</v>
      </c>
      <c r="J103" s="54" t="s">
        <v>9</v>
      </c>
      <c r="K103" s="65">
        <v>105.9659</v>
      </c>
      <c r="L103" s="65">
        <v>97.14</v>
      </c>
      <c r="M103" s="65">
        <v>111.3608</v>
      </c>
      <c r="N103" s="65">
        <v>123.88920000000002</v>
      </c>
      <c r="O103" s="65">
        <v>135.8665</v>
      </c>
      <c r="P103" s="65">
        <v>148.9272</v>
      </c>
      <c r="Q103" s="65">
        <v>166.12129999999999</v>
      </c>
      <c r="R103" s="65">
        <v>187.32580000000002</v>
      </c>
    </row>
    <row r="104" spans="8:18" x14ac:dyDescent="0.25">
      <c r="H104" t="s">
        <v>10</v>
      </c>
      <c r="I104" t="str">
        <v>DTRA</v>
      </c>
      <c r="J104" s="54" t="s">
        <v>9</v>
      </c>
      <c r="K104" s="64">
        <v>574.73889999999994</v>
      </c>
      <c r="L104" s="65">
        <v>589.8599999999999</v>
      </c>
      <c r="M104" s="65">
        <v>666.04299999999989</v>
      </c>
      <c r="N104" s="65">
        <v>719.26869999999997</v>
      </c>
      <c r="O104" s="65">
        <v>757.1662</v>
      </c>
      <c r="P104" s="65">
        <v>794.73050000000012</v>
      </c>
      <c r="Q104" s="65">
        <v>829.68970000000013</v>
      </c>
      <c r="R104" s="65">
        <v>871.08279999999991</v>
      </c>
    </row>
    <row r="105" spans="8:18" x14ac:dyDescent="0.25">
      <c r="K105" s="66"/>
      <c r="L105" s="66"/>
      <c r="M105" s="66"/>
      <c r="N105" s="66"/>
      <c r="O105" s="66"/>
      <c r="P105" s="66"/>
      <c r="Q105" s="66"/>
      <c r="R105" s="66"/>
    </row>
    <row r="106" spans="8:18" x14ac:dyDescent="0.25">
      <c r="K106" s="57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C82E9-8F73-426D-8F88-3BAEF8827B8F}">
  <dimension ref="B1:O26"/>
  <sheetViews>
    <sheetView showGridLines="0" zoomScaleNormal="100" workbookViewId="0">
      <selection activeCell="C21" sqref="C21:P21"/>
    </sheetView>
  </sheetViews>
  <sheetFormatPr baseColWidth="10" defaultRowHeight="15" x14ac:dyDescent="0.25"/>
  <cols>
    <col min="2" max="2" width="15" customWidth="1"/>
  </cols>
  <sheetData>
    <row r="1" spans="2:8" x14ac:dyDescent="0.25">
      <c r="G1" s="212" t="s">
        <v>408</v>
      </c>
    </row>
    <row r="2" spans="2:8" x14ac:dyDescent="0.25">
      <c r="G2" s="259" t="s">
        <v>285</v>
      </c>
    </row>
    <row r="3" spans="2:8" x14ac:dyDescent="0.25">
      <c r="G3" s="260" t="s">
        <v>476</v>
      </c>
    </row>
    <row r="4" spans="2:8" x14ac:dyDescent="0.25">
      <c r="B4" s="258" t="str" cm="1">
        <f t="array" ref="B4:D19">+COMM!X20:Z35</f>
        <v>NRG</v>
      </c>
      <c r="C4" s="257">
        <v>0</v>
      </c>
      <c r="D4" s="257" t="str">
        <v>DGSL</v>
      </c>
      <c r="F4" t="s">
        <v>149</v>
      </c>
    </row>
    <row r="5" spans="2:8" x14ac:dyDescent="0.25">
      <c r="B5" s="258">
        <v>0</v>
      </c>
      <c r="C5" s="257">
        <v>0</v>
      </c>
      <c r="D5" s="257" t="str">
        <v>DDSL</v>
      </c>
      <c r="F5" t="s">
        <v>150</v>
      </c>
    </row>
    <row r="6" spans="2:8" x14ac:dyDescent="0.25">
      <c r="B6" s="258">
        <v>0</v>
      </c>
      <c r="C6" s="257">
        <v>0</v>
      </c>
      <c r="D6" s="257" t="str">
        <v>DKER</v>
      </c>
      <c r="F6" t="s">
        <v>151</v>
      </c>
      <c r="G6" s="122">
        <f>+'Bases de Cálculo'!G12</f>
        <v>87.735056011523966</v>
      </c>
      <c r="H6" s="257">
        <v>87.735056011523966</v>
      </c>
    </row>
    <row r="7" spans="2:8" x14ac:dyDescent="0.25">
      <c r="B7" s="258">
        <v>0</v>
      </c>
      <c r="C7" s="257">
        <v>0</v>
      </c>
      <c r="D7" s="257" t="str">
        <v>DLPG</v>
      </c>
      <c r="F7" t="s">
        <v>152</v>
      </c>
      <c r="G7" s="122">
        <f>+'Bases de Cálculo'!G13</f>
        <v>47.28933824683137</v>
      </c>
      <c r="H7" s="257">
        <v>47.28933824683137</v>
      </c>
    </row>
    <row r="8" spans="2:8" x14ac:dyDescent="0.25">
      <c r="B8" s="258">
        <v>0</v>
      </c>
      <c r="C8" s="257">
        <v>0</v>
      </c>
      <c r="D8" s="257" t="str">
        <v>DHFO</v>
      </c>
      <c r="F8" t="s">
        <v>153</v>
      </c>
      <c r="G8" s="122">
        <f>+'Bases de Cálculo'!G14</f>
        <v>78.281203343664757</v>
      </c>
      <c r="H8" s="257">
        <v>78.281203343664757</v>
      </c>
    </row>
    <row r="9" spans="2:8" x14ac:dyDescent="0.25">
      <c r="B9" s="258">
        <v>0</v>
      </c>
      <c r="C9" s="257">
        <v>0</v>
      </c>
      <c r="D9" s="257" t="str">
        <v>DGAS</v>
      </c>
      <c r="F9" t="s">
        <v>154</v>
      </c>
      <c r="G9" s="122">
        <f>+'Bases de Cálculo'!G6</f>
        <v>55.539114956987063</v>
      </c>
      <c r="H9" s="257">
        <v>55.539114956987063</v>
      </c>
    </row>
    <row r="10" spans="2:8" x14ac:dyDescent="0.25">
      <c r="B10" s="258">
        <v>0</v>
      </c>
      <c r="C10" s="257">
        <v>0</v>
      </c>
      <c r="D10" s="257" t="str">
        <v>DLOIL</v>
      </c>
      <c r="F10" t="s">
        <v>155</v>
      </c>
      <c r="G10" s="122">
        <f>+'Bases de Cálculo'!G7</f>
        <v>77.841777688967127</v>
      </c>
      <c r="H10" s="257">
        <v>77.841777688967127</v>
      </c>
    </row>
    <row r="11" spans="2:8" x14ac:dyDescent="0.25">
      <c r="B11" s="258">
        <v>0</v>
      </c>
      <c r="C11" s="257">
        <v>0</v>
      </c>
      <c r="D11" s="257" t="str">
        <v>DMOIL</v>
      </c>
      <c r="F11" t="s">
        <v>532</v>
      </c>
      <c r="G11" s="122">
        <v>77.841777688967127</v>
      </c>
      <c r="H11" s="257">
        <v>77.841777688967127</v>
      </c>
    </row>
    <row r="12" spans="2:8" x14ac:dyDescent="0.25">
      <c r="B12" s="258">
        <v>0</v>
      </c>
      <c r="C12" s="257">
        <v>0</v>
      </c>
      <c r="D12" s="257" t="str">
        <v>DHOIL</v>
      </c>
      <c r="F12" t="s">
        <v>533</v>
      </c>
      <c r="G12" s="122">
        <v>77.841777688967127</v>
      </c>
      <c r="H12" s="257">
        <v>77.841777688967127</v>
      </c>
    </row>
    <row r="13" spans="2:8" x14ac:dyDescent="0.25">
      <c r="B13" s="258">
        <v>0</v>
      </c>
      <c r="C13" s="257">
        <v>0</v>
      </c>
      <c r="D13" s="257" t="str">
        <v>DH2</v>
      </c>
      <c r="F13" t="s">
        <v>176</v>
      </c>
      <c r="G13" s="122">
        <v>0</v>
      </c>
      <c r="H13" s="257">
        <v>0</v>
      </c>
    </row>
    <row r="14" spans="2:8" x14ac:dyDescent="0.25">
      <c r="B14" s="258" t="str">
        <v>DEM</v>
      </c>
      <c r="C14" s="257">
        <v>0</v>
      </c>
      <c r="D14" s="257" t="str">
        <v>DAGR</v>
      </c>
      <c r="F14" t="str">
        <f>+D19</f>
        <v>DAVG</v>
      </c>
      <c r="G14" s="122">
        <f>+'Bases de Cálculo'!G24</f>
        <v>56.337812381502502</v>
      </c>
      <c r="H14" s="257">
        <v>56.337812381502502</v>
      </c>
    </row>
    <row r="15" spans="2:8" x14ac:dyDescent="0.25">
      <c r="B15" s="258">
        <v>0</v>
      </c>
      <c r="C15" s="257">
        <v>0</v>
      </c>
      <c r="D15" s="257" t="str">
        <v>DTER</v>
      </c>
    </row>
    <row r="16" spans="2:8" x14ac:dyDescent="0.25">
      <c r="B16" s="258">
        <v>0</v>
      </c>
      <c r="C16" s="257">
        <v>0</v>
      </c>
      <c r="D16" s="257" t="str">
        <v>DRSD</v>
      </c>
    </row>
    <row r="17" spans="2:15" x14ac:dyDescent="0.25">
      <c r="B17" s="258">
        <v>0</v>
      </c>
      <c r="C17" s="257">
        <v>0</v>
      </c>
      <c r="D17" s="257" t="str">
        <v>DIND</v>
      </c>
    </row>
    <row r="18" spans="2:15" x14ac:dyDescent="0.25">
      <c r="B18" s="258">
        <v>0</v>
      </c>
      <c r="C18" s="257">
        <v>0</v>
      </c>
      <c r="D18" s="257" t="str">
        <v>DTRA</v>
      </c>
    </row>
    <row r="19" spans="2:15" x14ac:dyDescent="0.25">
      <c r="B19" s="258" t="str">
        <v>NRG</v>
      </c>
      <c r="C19" s="257">
        <v>0</v>
      </c>
      <c r="D19" s="257" t="str">
        <v>DAVG</v>
      </c>
    </row>
    <row r="23" spans="2:15" x14ac:dyDescent="0.25">
      <c r="B23" s="254" t="s">
        <v>531</v>
      </c>
    </row>
    <row r="24" spans="2:15" ht="15.75" thickBot="1" x14ac:dyDescent="0.3">
      <c r="B24" s="255" t="s">
        <v>2</v>
      </c>
      <c r="C24" s="256" t="s">
        <v>149</v>
      </c>
      <c r="D24" s="256" t="s">
        <v>150</v>
      </c>
      <c r="E24" s="256" t="s">
        <v>553</v>
      </c>
      <c r="F24" s="256" t="s">
        <v>554</v>
      </c>
      <c r="G24" s="256" t="s">
        <v>151</v>
      </c>
      <c r="H24" s="256" t="s">
        <v>152</v>
      </c>
      <c r="I24" s="256" t="s">
        <v>153</v>
      </c>
      <c r="J24" s="256" t="s">
        <v>154</v>
      </c>
      <c r="K24" s="256" t="s">
        <v>155</v>
      </c>
      <c r="L24" s="256" t="s">
        <v>532</v>
      </c>
      <c r="M24" s="256" t="s">
        <v>533</v>
      </c>
      <c r="N24" s="256" t="s">
        <v>176</v>
      </c>
      <c r="O24" s="256" t="s">
        <v>523</v>
      </c>
    </row>
    <row r="25" spans="2:15" ht="15.75" thickBot="1" x14ac:dyDescent="0.3">
      <c r="B25" s="7" t="s">
        <v>8</v>
      </c>
      <c r="C25" s="21" t="s">
        <v>285</v>
      </c>
      <c r="D25" s="21" t="s">
        <v>285</v>
      </c>
      <c r="E25" s="21" t="s">
        <v>285</v>
      </c>
      <c r="F25" s="21" t="s">
        <v>285</v>
      </c>
      <c r="G25" s="21" t="s">
        <v>285</v>
      </c>
      <c r="H25" s="21" t="s">
        <v>285</v>
      </c>
      <c r="I25" s="21" t="s">
        <v>285</v>
      </c>
      <c r="J25" s="21" t="s">
        <v>285</v>
      </c>
      <c r="K25" s="21" t="s">
        <v>285</v>
      </c>
      <c r="L25" s="21" t="s">
        <v>285</v>
      </c>
      <c r="M25" s="21" t="s">
        <v>285</v>
      </c>
      <c r="N25" s="21" t="s">
        <v>285</v>
      </c>
      <c r="O25" s="21" t="s">
        <v>285</v>
      </c>
    </row>
    <row r="26" spans="2:15" x14ac:dyDescent="0.25">
      <c r="B26" t="str">
        <f>+COMM!AK43</f>
        <v>CO2e-Scope3</v>
      </c>
      <c r="C26" s="261">
        <f>+'Bases de Cálculo'!G10</f>
        <v>69.193827140333724</v>
      </c>
      <c r="D26" s="261">
        <f>+'Bases de Cálculo'!G11</f>
        <v>75.166375708662926</v>
      </c>
      <c r="E26" s="261">
        <f>+'Bases de Cálculo'!G15</f>
        <v>84.75811612074672</v>
      </c>
      <c r="F26" s="261">
        <f>+'Bases de Cálculo'!G16</f>
        <v>54.806487022879928</v>
      </c>
      <c r="G26" s="261">
        <v>87.735056011523966</v>
      </c>
      <c r="H26" s="261">
        <v>47.28933824683137</v>
      </c>
      <c r="I26" s="261">
        <v>78.281203343664757</v>
      </c>
      <c r="J26" s="261">
        <v>55.539114956987063</v>
      </c>
      <c r="K26" s="261">
        <v>77.841777688967127</v>
      </c>
      <c r="L26" s="261">
        <v>77.841777688967127</v>
      </c>
      <c r="M26" s="261">
        <v>77.841777688967127</v>
      </c>
      <c r="N26" s="262">
        <v>0</v>
      </c>
      <c r="O26" s="261">
        <v>56.337812381502502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85ECA-FE55-40C7-81E9-7925402EFE4F}">
  <sheetPr>
    <tabColor rgb="FFC00000"/>
  </sheetPr>
  <dimension ref="B3:L104"/>
  <sheetViews>
    <sheetView showGridLines="0" topLeftCell="A60" zoomScale="130" zoomScaleNormal="130" workbookViewId="0">
      <selection activeCell="E71" sqref="E71"/>
    </sheetView>
  </sheetViews>
  <sheetFormatPr baseColWidth="10" defaultRowHeight="15" x14ac:dyDescent="0.25"/>
  <cols>
    <col min="2" max="2" width="13.5703125" style="142" customWidth="1"/>
    <col min="3" max="3" width="25.28515625" customWidth="1"/>
    <col min="10" max="10" width="11.42578125" customWidth="1"/>
    <col min="11" max="11" width="14.5703125" customWidth="1"/>
  </cols>
  <sheetData>
    <row r="3" spans="2:10" x14ac:dyDescent="0.25">
      <c r="C3" t="s">
        <v>574</v>
      </c>
    </row>
    <row r="4" spans="2:10" x14ac:dyDescent="0.25">
      <c r="C4" s="142"/>
      <c r="J4" t="s">
        <v>616</v>
      </c>
    </row>
    <row r="5" spans="2:10" x14ac:dyDescent="0.25">
      <c r="B5" s="286"/>
      <c r="C5" s="251"/>
      <c r="D5" s="421" t="s">
        <v>581</v>
      </c>
      <c r="E5" s="421"/>
      <c r="F5" s="421"/>
    </row>
    <row r="6" spans="2:10" x14ac:dyDescent="0.25">
      <c r="B6" s="286"/>
      <c r="C6" s="287"/>
      <c r="D6" s="287" t="s">
        <v>578</v>
      </c>
      <c r="E6" s="287" t="s">
        <v>582</v>
      </c>
      <c r="F6" s="287" t="s">
        <v>580</v>
      </c>
    </row>
    <row r="7" spans="2:10" x14ac:dyDescent="0.25">
      <c r="B7" s="422" t="s">
        <v>584</v>
      </c>
      <c r="C7" s="287" t="s">
        <v>577</v>
      </c>
      <c r="D7" s="288">
        <v>62846</v>
      </c>
      <c r="E7" s="288">
        <v>105000</v>
      </c>
      <c r="F7" s="288">
        <f>+E7+D7</f>
        <v>167846</v>
      </c>
    </row>
    <row r="8" spans="2:10" x14ac:dyDescent="0.25">
      <c r="B8" s="422"/>
      <c r="C8" s="287" t="s">
        <v>576</v>
      </c>
      <c r="D8" s="288">
        <v>146640</v>
      </c>
      <c r="E8" s="288">
        <v>45000</v>
      </c>
      <c r="F8" s="288">
        <f t="shared" ref="F8:F9" si="0">+E8+D8</f>
        <v>191640</v>
      </c>
    </row>
    <row r="9" spans="2:10" x14ac:dyDescent="0.25">
      <c r="B9" s="286"/>
      <c r="C9" s="287" t="s">
        <v>580</v>
      </c>
      <c r="D9" s="288">
        <f>+SUM(D7:D8)</f>
        <v>209486</v>
      </c>
      <c r="E9" s="288">
        <f>+SUM(E7:E8)</f>
        <v>150000</v>
      </c>
      <c r="F9" s="288">
        <f t="shared" si="0"/>
        <v>359486</v>
      </c>
    </row>
    <row r="10" spans="2:10" x14ac:dyDescent="0.25">
      <c r="B10" s="142" t="s">
        <v>599</v>
      </c>
      <c r="C10" s="287" t="s">
        <v>575</v>
      </c>
      <c r="E10" s="285">
        <v>0.6</v>
      </c>
      <c r="F10" s="283"/>
    </row>
    <row r="11" spans="2:10" x14ac:dyDescent="0.25">
      <c r="C11" s="287" t="s">
        <v>597</v>
      </c>
      <c r="D11" s="284"/>
      <c r="E11" s="285">
        <v>0.25</v>
      </c>
      <c r="F11" s="283"/>
    </row>
    <row r="12" spans="2:10" x14ac:dyDescent="0.25">
      <c r="C12" s="287" t="s">
        <v>598</v>
      </c>
      <c r="D12" s="285"/>
      <c r="E12" s="281">
        <v>0.15</v>
      </c>
    </row>
    <row r="14" spans="2:10" x14ac:dyDescent="0.25">
      <c r="C14" s="22"/>
      <c r="D14" s="22" t="s">
        <v>578</v>
      </c>
      <c r="E14" s="22" t="s">
        <v>582</v>
      </c>
      <c r="F14" s="22" t="s">
        <v>580</v>
      </c>
    </row>
    <row r="15" spans="2:10" x14ac:dyDescent="0.25">
      <c r="B15" s="142" t="s">
        <v>584</v>
      </c>
      <c r="C15" s="22" t="s">
        <v>579</v>
      </c>
      <c r="D15" s="285">
        <f>+D8/D9</f>
        <v>0.69999904528226231</v>
      </c>
      <c r="E15" s="285">
        <f>+E8/E9</f>
        <v>0.3</v>
      </c>
      <c r="F15" s="285">
        <f>+F8/F9</f>
        <v>0.53309447377644748</v>
      </c>
    </row>
    <row r="16" spans="2:10" x14ac:dyDescent="0.25">
      <c r="B16" s="142" t="s">
        <v>587</v>
      </c>
      <c r="C16" s="19" t="s">
        <v>586</v>
      </c>
      <c r="D16" s="290">
        <v>0.7</v>
      </c>
      <c r="E16" s="281">
        <f>45000/150000</f>
        <v>0.3</v>
      </c>
    </row>
    <row r="20" spans="2:5" x14ac:dyDescent="0.25">
      <c r="C20" s="19"/>
      <c r="D20" s="19" t="s">
        <v>578</v>
      </c>
      <c r="E20" t="s">
        <v>582</v>
      </c>
    </row>
    <row r="21" spans="2:5" x14ac:dyDescent="0.25">
      <c r="C21" s="19" t="s">
        <v>583</v>
      </c>
      <c r="D21" s="19">
        <v>250</v>
      </c>
      <c r="E21" s="19">
        <v>150</v>
      </c>
    </row>
    <row r="24" spans="2:5" x14ac:dyDescent="0.25">
      <c r="D24" s="19" t="s">
        <v>578</v>
      </c>
      <c r="E24" t="s">
        <v>582</v>
      </c>
    </row>
    <row r="25" spans="2:5" x14ac:dyDescent="0.25">
      <c r="B25" s="142" t="s">
        <v>585</v>
      </c>
      <c r="C25" t="s">
        <v>572</v>
      </c>
      <c r="D25" s="265">
        <v>0.83</v>
      </c>
      <c r="E25" s="265">
        <v>0.93700000000000006</v>
      </c>
    </row>
    <row r="26" spans="2:5" x14ac:dyDescent="0.25">
      <c r="B26" s="142" t="s">
        <v>599</v>
      </c>
      <c r="D26" s="283">
        <v>220000</v>
      </c>
      <c r="E26" s="283">
        <v>150000</v>
      </c>
    </row>
    <row r="28" spans="2:5" x14ac:dyDescent="0.25">
      <c r="D28" s="19" t="s">
        <v>578</v>
      </c>
      <c r="E28" t="s">
        <v>582</v>
      </c>
    </row>
    <row r="29" spans="2:5" x14ac:dyDescent="0.25">
      <c r="B29" s="142" t="s">
        <v>585</v>
      </c>
      <c r="C29" t="s">
        <v>588</v>
      </c>
      <c r="D29" s="289">
        <v>0.61</v>
      </c>
      <c r="E29" s="289">
        <v>0.97</v>
      </c>
    </row>
    <row r="30" spans="2:5" x14ac:dyDescent="0.25">
      <c r="D30" s="19" t="s">
        <v>578</v>
      </c>
      <c r="E30" t="s">
        <v>582</v>
      </c>
    </row>
    <row r="31" spans="2:5" x14ac:dyDescent="0.25">
      <c r="B31" s="142" t="s">
        <v>606</v>
      </c>
      <c r="C31" t="s">
        <v>605</v>
      </c>
      <c r="D31">
        <v>180000</v>
      </c>
      <c r="E31">
        <v>130000</v>
      </c>
    </row>
    <row r="32" spans="2:5" x14ac:dyDescent="0.25">
      <c r="C32" t="s">
        <v>607</v>
      </c>
      <c r="D32">
        <v>222000</v>
      </c>
      <c r="E32">
        <v>165000</v>
      </c>
    </row>
    <row r="33" spans="2:9" x14ac:dyDescent="0.25">
      <c r="C33" t="s">
        <v>608</v>
      </c>
      <c r="D33" s="293">
        <f>+D31/D32</f>
        <v>0.81081081081081086</v>
      </c>
      <c r="E33" s="293">
        <f>+E31/E32</f>
        <v>0.78787878787878785</v>
      </c>
    </row>
    <row r="34" spans="2:9" x14ac:dyDescent="0.25">
      <c r="B34" s="142" t="s">
        <v>585</v>
      </c>
      <c r="C34" t="s">
        <v>605</v>
      </c>
      <c r="D34">
        <v>209000</v>
      </c>
      <c r="E34">
        <v>147888</v>
      </c>
    </row>
    <row r="35" spans="2:9" x14ac:dyDescent="0.25">
      <c r="C35" t="s">
        <v>607</v>
      </c>
      <c r="D35">
        <v>211820</v>
      </c>
      <c r="E35">
        <v>150000</v>
      </c>
    </row>
    <row r="36" spans="2:9" x14ac:dyDescent="0.25">
      <c r="C36" t="s">
        <v>608</v>
      </c>
      <c r="D36" s="293">
        <f>+D34/D35</f>
        <v>0.98668680955528276</v>
      </c>
      <c r="E36" s="293">
        <f>+E34/E35</f>
        <v>0.98592000000000002</v>
      </c>
    </row>
    <row r="39" spans="2:9" x14ac:dyDescent="0.25">
      <c r="D39" s="19" t="s">
        <v>578</v>
      </c>
      <c r="E39" t="s">
        <v>582</v>
      </c>
    </row>
    <row r="40" spans="2:9" x14ac:dyDescent="0.25">
      <c r="C40" t="s">
        <v>589</v>
      </c>
      <c r="D40">
        <v>2027</v>
      </c>
      <c r="E40">
        <v>2026</v>
      </c>
    </row>
    <row r="41" spans="2:9" x14ac:dyDescent="0.25">
      <c r="C41" t="s">
        <v>590</v>
      </c>
      <c r="D41">
        <v>2032</v>
      </c>
      <c r="E41">
        <v>2029</v>
      </c>
    </row>
    <row r="45" spans="2:9" x14ac:dyDescent="0.25">
      <c r="B45" s="423" t="s">
        <v>587</v>
      </c>
      <c r="C45" t="s">
        <v>592</v>
      </c>
    </row>
    <row r="46" spans="2:9" x14ac:dyDescent="0.25">
      <c r="B46" s="423"/>
      <c r="D46" s="19" t="s">
        <v>578</v>
      </c>
      <c r="E46" t="s">
        <v>582</v>
      </c>
      <c r="F46" t="s">
        <v>595</v>
      </c>
    </row>
    <row r="47" spans="2:9" x14ac:dyDescent="0.25">
      <c r="B47" s="423"/>
      <c r="C47" t="s">
        <v>85</v>
      </c>
      <c r="D47" s="283">
        <v>62000</v>
      </c>
      <c r="E47" s="282">
        <v>27000</v>
      </c>
      <c r="F47" s="283">
        <v>113000</v>
      </c>
      <c r="G47" s="291"/>
      <c r="I47" s="291">
        <f>+SUM(D47:D50)</f>
        <v>209000</v>
      </c>
    </row>
    <row r="48" spans="2:9" x14ac:dyDescent="0.25">
      <c r="B48" s="423"/>
      <c r="C48" t="s">
        <v>86</v>
      </c>
      <c r="D48" s="283">
        <v>64000</v>
      </c>
      <c r="E48" s="282">
        <v>77000</v>
      </c>
      <c r="F48" s="283">
        <v>113300</v>
      </c>
      <c r="H48" s="291"/>
    </row>
    <row r="49" spans="2:8" x14ac:dyDescent="0.25">
      <c r="B49" s="423"/>
      <c r="C49" t="s">
        <v>591</v>
      </c>
      <c r="D49" s="283">
        <v>21000</v>
      </c>
      <c r="E49" s="282">
        <v>7000</v>
      </c>
      <c r="F49" s="283">
        <v>36200</v>
      </c>
      <c r="H49" s="291"/>
    </row>
    <row r="50" spans="2:8" x14ac:dyDescent="0.25">
      <c r="B50" s="423"/>
      <c r="C50" t="s">
        <v>573</v>
      </c>
      <c r="D50" s="283">
        <v>62000</v>
      </c>
      <c r="E50" s="282">
        <v>13800</v>
      </c>
      <c r="F50" s="283">
        <v>92888</v>
      </c>
      <c r="H50" s="291"/>
    </row>
    <row r="51" spans="2:8" x14ac:dyDescent="0.25">
      <c r="B51" s="308"/>
      <c r="D51" s="283">
        <f>+SUM(D47:D50)</f>
        <v>209000</v>
      </c>
      <c r="E51" s="283">
        <f>+SUM(E47:E50)</f>
        <v>124800</v>
      </c>
      <c r="F51" s="283"/>
      <c r="H51" s="291"/>
    </row>
    <row r="52" spans="2:8" x14ac:dyDescent="0.25">
      <c r="B52" s="308"/>
      <c r="C52" t="s">
        <v>673</v>
      </c>
      <c r="D52" s="283"/>
      <c r="E52" s="283">
        <f>150000*0.937</f>
        <v>140550</v>
      </c>
      <c r="F52" s="283"/>
      <c r="H52" s="382">
        <f>+E51/E52</f>
        <v>0.88794023479188899</v>
      </c>
    </row>
    <row r="53" spans="2:8" x14ac:dyDescent="0.25">
      <c r="B53" s="308"/>
      <c r="D53" s="283"/>
      <c r="E53" s="283"/>
      <c r="F53" s="283"/>
      <c r="H53" s="291"/>
    </row>
    <row r="54" spans="2:8" x14ac:dyDescent="0.25">
      <c r="D54" s="19"/>
      <c r="E54" t="s">
        <v>582</v>
      </c>
      <c r="H54" s="291"/>
    </row>
    <row r="55" spans="2:8" x14ac:dyDescent="0.25">
      <c r="B55" s="142" t="s">
        <v>596</v>
      </c>
      <c r="C55" t="s">
        <v>85</v>
      </c>
      <c r="D55" s="283">
        <v>56700</v>
      </c>
      <c r="E55" s="282">
        <v>29000</v>
      </c>
      <c r="F55" s="283"/>
      <c r="H55" s="291"/>
    </row>
    <row r="56" spans="2:8" x14ac:dyDescent="0.25">
      <c r="C56" t="s">
        <v>86</v>
      </c>
      <c r="D56" s="283">
        <v>58000</v>
      </c>
      <c r="E56" s="282">
        <v>75000</v>
      </c>
      <c r="F56" s="283"/>
      <c r="H56" s="291"/>
    </row>
    <row r="57" spans="2:8" x14ac:dyDescent="0.25">
      <c r="C57" t="s">
        <v>591</v>
      </c>
      <c r="D57" s="283">
        <v>23000</v>
      </c>
      <c r="E57" s="282">
        <v>9000</v>
      </c>
      <c r="F57" s="283"/>
      <c r="H57" s="291"/>
    </row>
    <row r="58" spans="2:8" x14ac:dyDescent="0.25">
      <c r="C58" t="s">
        <v>573</v>
      </c>
      <c r="D58" s="283"/>
      <c r="E58" s="282"/>
      <c r="F58" s="283"/>
      <c r="H58" s="291"/>
    </row>
    <row r="59" spans="2:8" x14ac:dyDescent="0.25">
      <c r="D59" s="283"/>
      <c r="E59" s="282"/>
      <c r="F59" s="283"/>
      <c r="H59" s="291"/>
    </row>
    <row r="62" spans="2:8" x14ac:dyDescent="0.25">
      <c r="B62" s="303" t="s">
        <v>587</v>
      </c>
      <c r="C62" s="304" t="s">
        <v>593</v>
      </c>
      <c r="D62" s="305"/>
      <c r="E62" s="305"/>
      <c r="F62" s="305"/>
      <c r="G62" s="306">
        <v>209500</v>
      </c>
    </row>
    <row r="63" spans="2:8" x14ac:dyDescent="0.25">
      <c r="B63" s="296"/>
      <c r="D63" s="19" t="s">
        <v>578</v>
      </c>
      <c r="E63" t="s">
        <v>582</v>
      </c>
      <c r="G63" s="297"/>
    </row>
    <row r="64" spans="2:8" x14ac:dyDescent="0.25">
      <c r="B64" s="296"/>
      <c r="C64" t="s">
        <v>594</v>
      </c>
      <c r="D64" s="298">
        <v>0.29599999999999999</v>
      </c>
      <c r="E64" s="299">
        <v>0.34799999999999998</v>
      </c>
      <c r="G64" s="297">
        <f>+D64*$G$62</f>
        <v>62012</v>
      </c>
    </row>
    <row r="65" spans="2:12" x14ac:dyDescent="0.25">
      <c r="B65" s="296"/>
      <c r="C65" t="s">
        <v>86</v>
      </c>
      <c r="D65" s="298">
        <v>0.307</v>
      </c>
      <c r="E65" s="299">
        <v>0.51300000000000001</v>
      </c>
      <c r="G65" s="297">
        <f t="shared" ref="G65:G67" si="1">+D65*$G$62</f>
        <v>64316.5</v>
      </c>
      <c r="I65" t="s">
        <v>667</v>
      </c>
    </row>
    <row r="66" spans="2:12" x14ac:dyDescent="0.25">
      <c r="B66" s="296"/>
      <c r="C66" t="s">
        <v>591</v>
      </c>
      <c r="D66" s="298">
        <v>0.10100000000000001</v>
      </c>
      <c r="E66" s="299">
        <v>4.7E-2</v>
      </c>
      <c r="G66" s="297">
        <f t="shared" si="1"/>
        <v>21159.5</v>
      </c>
      <c r="I66" s="292" t="s">
        <v>45</v>
      </c>
      <c r="J66" s="310">
        <v>0.28962955526553558</v>
      </c>
    </row>
    <row r="67" spans="2:12" x14ac:dyDescent="0.25">
      <c r="B67" s="296"/>
      <c r="C67" t="s">
        <v>573</v>
      </c>
      <c r="D67" s="298">
        <v>0.29599999999999999</v>
      </c>
      <c r="E67" s="299">
        <v>9.1999999999999998E-2</v>
      </c>
      <c r="G67" s="297">
        <f t="shared" si="1"/>
        <v>62012</v>
      </c>
      <c r="I67" s="292" t="s">
        <v>47</v>
      </c>
      <c r="J67" s="310">
        <v>0.25690191747816488</v>
      </c>
    </row>
    <row r="68" spans="2:12" x14ac:dyDescent="0.25">
      <c r="B68" s="296"/>
      <c r="D68" s="298">
        <f>+SUM(D64:D67)</f>
        <v>1</v>
      </c>
      <c r="E68" s="299">
        <f>+SUM(E64:E67)</f>
        <v>1</v>
      </c>
      <c r="G68" s="297"/>
      <c r="I68" s="292" t="s">
        <v>48</v>
      </c>
      <c r="J68" s="310">
        <v>8.7340628450958732E-2</v>
      </c>
    </row>
    <row r="69" spans="2:12" x14ac:dyDescent="0.25">
      <c r="B69" s="307" t="s">
        <v>596</v>
      </c>
      <c r="D69" s="19" t="s">
        <v>578</v>
      </c>
      <c r="E69" t="s">
        <v>582</v>
      </c>
      <c r="G69" s="297"/>
      <c r="I69" s="1" t="s">
        <v>49</v>
      </c>
      <c r="J69" s="309">
        <v>4.6280493926312651E-2</v>
      </c>
    </row>
    <row r="70" spans="2:12" x14ac:dyDescent="0.25">
      <c r="B70" s="296"/>
      <c r="C70" t="s">
        <v>594</v>
      </c>
      <c r="D70" s="298">
        <v>0.28000000000000003</v>
      </c>
      <c r="E70" s="299">
        <v>0.34799999999999998</v>
      </c>
      <c r="G70" s="297"/>
      <c r="I70" s="1" t="s">
        <v>50</v>
      </c>
      <c r="J70" s="309">
        <v>0.29294247565505466</v>
      </c>
    </row>
    <row r="71" spans="2:12" x14ac:dyDescent="0.25">
      <c r="B71" s="296"/>
      <c r="C71" t="s">
        <v>86</v>
      </c>
      <c r="D71" s="298">
        <v>0.28100000000000003</v>
      </c>
      <c r="E71" s="299">
        <v>0.56100000000000005</v>
      </c>
      <c r="G71" s="297"/>
      <c r="I71" s="1" t="s">
        <v>519</v>
      </c>
      <c r="J71" s="309">
        <v>2.6904929223973497E-2</v>
      </c>
      <c r="L71" s="289">
        <f>+SUM(J69:J71)</f>
        <v>0.3661278988053408</v>
      </c>
    </row>
    <row r="72" spans="2:12" x14ac:dyDescent="0.25">
      <c r="B72" s="296"/>
      <c r="C72" t="s">
        <v>591</v>
      </c>
      <c r="D72" s="298">
        <v>9.8000000000000004E-2</v>
      </c>
      <c r="E72" s="299">
        <v>5.8000000000000003E-2</v>
      </c>
      <c r="G72" s="297"/>
    </row>
    <row r="73" spans="2:12" x14ac:dyDescent="0.25">
      <c r="B73" s="296"/>
      <c r="C73" t="s">
        <v>573</v>
      </c>
      <c r="D73" s="298">
        <v>0.32</v>
      </c>
      <c r="E73" s="299">
        <v>7.0000000000000007E-2</v>
      </c>
      <c r="G73" s="297"/>
    </row>
    <row r="74" spans="2:12" x14ac:dyDescent="0.25">
      <c r="B74" s="296"/>
      <c r="D74" s="298">
        <f>+SUM(D70:D73)</f>
        <v>0.97900000000000009</v>
      </c>
      <c r="E74" s="299">
        <f>+SUM(E70:E73)</f>
        <v>1.0370000000000001</v>
      </c>
      <c r="G74" s="297"/>
    </row>
    <row r="75" spans="2:12" x14ac:dyDescent="0.25">
      <c r="B75" s="307" t="s">
        <v>601</v>
      </c>
      <c r="D75" s="19" t="s">
        <v>578</v>
      </c>
      <c r="E75" t="s">
        <v>582</v>
      </c>
      <c r="G75" s="297"/>
      <c r="J75" s="289">
        <f>+SUM(J66:J70)</f>
        <v>0.97309507077602642</v>
      </c>
    </row>
    <row r="76" spans="2:12" x14ac:dyDescent="0.25">
      <c r="B76" s="296"/>
      <c r="C76" t="s">
        <v>85</v>
      </c>
      <c r="D76" s="265">
        <v>0.32400000000000001</v>
      </c>
      <c r="G76" s="297"/>
    </row>
    <row r="77" spans="2:12" x14ac:dyDescent="0.25">
      <c r="B77" s="296"/>
      <c r="C77" t="s">
        <v>86</v>
      </c>
      <c r="D77" s="265">
        <v>0.32900000000000001</v>
      </c>
      <c r="G77" s="297"/>
    </row>
    <row r="78" spans="2:12" x14ac:dyDescent="0.25">
      <c r="B78" s="296"/>
      <c r="C78" t="s">
        <v>591</v>
      </c>
      <c r="D78" s="265">
        <v>9.9000000000000005E-2</v>
      </c>
      <c r="G78" s="297"/>
    </row>
    <row r="79" spans="2:12" x14ac:dyDescent="0.25">
      <c r="B79" s="296"/>
      <c r="C79" t="s">
        <v>603</v>
      </c>
      <c r="D79" s="265">
        <v>0.248</v>
      </c>
      <c r="G79" s="297"/>
    </row>
    <row r="80" spans="2:12" x14ac:dyDescent="0.25">
      <c r="B80" s="300"/>
      <c r="C80" s="152"/>
      <c r="D80" s="301">
        <f>+SUM(D76:D79)</f>
        <v>1</v>
      </c>
      <c r="E80" s="152"/>
      <c r="F80" s="152"/>
      <c r="G80" s="302"/>
    </row>
    <row r="81" spans="2:5" x14ac:dyDescent="0.25">
      <c r="B81" s="142" t="s">
        <v>601</v>
      </c>
      <c r="C81" s="292" t="s">
        <v>604</v>
      </c>
      <c r="D81" s="19" t="s">
        <v>578</v>
      </c>
      <c r="E81" t="s">
        <v>582</v>
      </c>
    </row>
    <row r="82" spans="2:5" x14ac:dyDescent="0.25">
      <c r="C82" t="s">
        <v>85</v>
      </c>
      <c r="D82" s="265">
        <v>0.24</v>
      </c>
      <c r="E82" s="289">
        <v>0.19</v>
      </c>
    </row>
    <row r="83" spans="2:5" ht="15.75" customHeight="1" x14ac:dyDescent="0.25">
      <c r="C83" t="s">
        <v>86</v>
      </c>
      <c r="D83" s="265">
        <v>0.28999999999999998</v>
      </c>
      <c r="E83" s="289">
        <v>0.52</v>
      </c>
    </row>
    <row r="84" spans="2:5" ht="15.75" customHeight="1" x14ac:dyDescent="0.25">
      <c r="C84" t="s">
        <v>591</v>
      </c>
      <c r="D84" s="265">
        <v>0.09</v>
      </c>
      <c r="E84" s="289">
        <v>7.0000000000000007E-2</v>
      </c>
    </row>
    <row r="85" spans="2:5" ht="15.75" customHeight="1" x14ac:dyDescent="0.25">
      <c r="C85" t="s">
        <v>49</v>
      </c>
      <c r="D85" s="265">
        <v>0.01</v>
      </c>
      <c r="E85" s="289">
        <v>0.01</v>
      </c>
    </row>
    <row r="86" spans="2:5" ht="15.75" customHeight="1" x14ac:dyDescent="0.25">
      <c r="D86" s="265">
        <f>+SUM(D82:D85)</f>
        <v>0.63</v>
      </c>
      <c r="E86" s="289">
        <f>+SUM(E82:E85)</f>
        <v>0.79</v>
      </c>
    </row>
    <row r="90" spans="2:5" x14ac:dyDescent="0.25">
      <c r="B90" s="142" t="s">
        <v>587</v>
      </c>
    </row>
    <row r="91" spans="2:5" x14ac:dyDescent="0.25">
      <c r="C91" s="22"/>
      <c r="D91" s="22" t="s">
        <v>609</v>
      </c>
      <c r="E91" s="22"/>
    </row>
    <row r="92" spans="2:5" x14ac:dyDescent="0.25">
      <c r="C92" s="22" t="s">
        <v>610</v>
      </c>
      <c r="D92" s="295" t="s">
        <v>611</v>
      </c>
      <c r="E92" s="22" t="s">
        <v>612</v>
      </c>
    </row>
    <row r="93" spans="2:5" x14ac:dyDescent="0.25">
      <c r="C93" s="22" t="s">
        <v>613</v>
      </c>
      <c r="D93" s="295">
        <v>0.307</v>
      </c>
      <c r="E93" s="295">
        <v>0.43</v>
      </c>
    </row>
    <row r="94" spans="2:5" x14ac:dyDescent="0.25">
      <c r="C94" s="22" t="s">
        <v>614</v>
      </c>
      <c r="D94" s="295">
        <v>0.29599999999999999</v>
      </c>
      <c r="E94" s="295">
        <v>0.33600000000000002</v>
      </c>
    </row>
    <row r="95" spans="2:5" x14ac:dyDescent="0.25">
      <c r="C95" s="22" t="s">
        <v>615</v>
      </c>
      <c r="D95" s="295">
        <v>0.10100000000000001</v>
      </c>
      <c r="E95" s="295">
        <v>0.114</v>
      </c>
    </row>
    <row r="96" spans="2:5" x14ac:dyDescent="0.25">
      <c r="C96" s="22" t="s">
        <v>573</v>
      </c>
      <c r="D96" s="294">
        <v>0.29599999999999999</v>
      </c>
      <c r="E96" s="294">
        <v>0.12</v>
      </c>
    </row>
    <row r="100" spans="2:4" x14ac:dyDescent="0.25">
      <c r="B100" s="142" t="s">
        <v>601</v>
      </c>
      <c r="C100" s="142"/>
      <c r="D100" t="s">
        <v>600</v>
      </c>
    </row>
    <row r="101" spans="2:4" x14ac:dyDescent="0.25">
      <c r="C101" t="s">
        <v>594</v>
      </c>
      <c r="D101" s="265">
        <v>0.60299999999999998</v>
      </c>
    </row>
    <row r="102" spans="2:4" x14ac:dyDescent="0.25">
      <c r="C102" t="s">
        <v>86</v>
      </c>
      <c r="D102" s="265">
        <v>0.57799999999999996</v>
      </c>
    </row>
    <row r="103" spans="2:4" x14ac:dyDescent="0.25">
      <c r="C103" t="s">
        <v>591</v>
      </c>
      <c r="D103" s="289">
        <v>0.64</v>
      </c>
    </row>
    <row r="104" spans="2:4" x14ac:dyDescent="0.25">
      <c r="C104" t="s">
        <v>602</v>
      </c>
      <c r="D104" s="289">
        <v>0.7</v>
      </c>
    </row>
  </sheetData>
  <mergeCells count="3">
    <mergeCell ref="D5:F5"/>
    <mergeCell ref="B7:B8"/>
    <mergeCell ref="B45:B50"/>
  </mergeCells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67A5B-B850-4418-AFD1-5785400287E8}">
  <dimension ref="A1:Y195"/>
  <sheetViews>
    <sheetView showGridLines="0" tabSelected="1" topLeftCell="D125" zoomScaleNormal="100" workbookViewId="0">
      <selection activeCell="O156" sqref="O156"/>
    </sheetView>
  </sheetViews>
  <sheetFormatPr baseColWidth="10" defaultRowHeight="15" x14ac:dyDescent="0.25"/>
  <cols>
    <col min="1" max="1" width="6.7109375" customWidth="1"/>
    <col min="2" max="2" width="15.42578125" customWidth="1"/>
    <col min="3" max="3" width="15.28515625" customWidth="1"/>
    <col min="4" max="4" width="34.570312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19" width="13.140625" bestFit="1" customWidth="1"/>
    <col min="20" max="20" width="13.140625" customWidth="1"/>
    <col min="21" max="21" width="19.5703125" customWidth="1"/>
  </cols>
  <sheetData>
    <row r="1" spans="3:21" x14ac:dyDescent="0.25">
      <c r="C1" t="s">
        <v>633</v>
      </c>
      <c r="D1">
        <v>119.96</v>
      </c>
      <c r="E1" t="s">
        <v>328</v>
      </c>
    </row>
    <row r="2" spans="3:21" x14ac:dyDescent="0.25">
      <c r="C2" t="s">
        <v>633</v>
      </c>
      <c r="D2">
        <v>142500</v>
      </c>
      <c r="E2" t="s">
        <v>659</v>
      </c>
      <c r="F2">
        <v>1.4250000000000001E-7</v>
      </c>
      <c r="G2" t="s">
        <v>660</v>
      </c>
    </row>
    <row r="4" spans="3:21" x14ac:dyDescent="0.25">
      <c r="E4" s="19" t="str">
        <f>'Bases de Cálculo'!F3</f>
        <v>PCI</v>
      </c>
      <c r="F4" s="19" t="str">
        <f>'Bases de Cálculo'!G3</f>
        <v>F.E. CO2eq</v>
      </c>
      <c r="G4" s="19"/>
      <c r="H4" s="19"/>
      <c r="I4" s="19"/>
      <c r="J4" s="19"/>
      <c r="K4" s="19"/>
    </row>
    <row r="5" spans="3:21" x14ac:dyDescent="0.25">
      <c r="E5" s="19"/>
      <c r="F5" s="19" t="str">
        <f>'Bases de Cálculo'!G4</f>
        <v>kt/PJ</v>
      </c>
      <c r="G5" s="19"/>
      <c r="H5" s="19"/>
      <c r="I5" s="19"/>
      <c r="J5" s="19"/>
      <c r="K5" s="19"/>
    </row>
    <row r="6" spans="3:21" x14ac:dyDescent="0.25">
      <c r="D6" t="str">
        <f>'Bases de Cálculo'!B5</f>
        <v>Energético</v>
      </c>
      <c r="E6" s="19" t="str">
        <f>'Bases de Cálculo'!F5</f>
        <v>TJ/kbl*</v>
      </c>
      <c r="F6" s="19" t="str">
        <f>'Bases de Cálculo'!G5</f>
        <v>t/TJ</v>
      </c>
      <c r="G6" s="19"/>
      <c r="H6" s="19"/>
      <c r="I6" s="19"/>
      <c r="J6" s="19"/>
      <c r="K6" s="19"/>
    </row>
    <row r="7" spans="3:21" x14ac:dyDescent="0.25">
      <c r="C7" s="19" t="str">
        <f>'Bases de Cálculo'!E6</f>
        <v>GAS</v>
      </c>
      <c r="D7" s="143" t="str">
        <f>'Bases de Cálculo'!B6</f>
        <v>Gas Natural</v>
      </c>
      <c r="E7" s="311">
        <f>'Bases de Cálculo'!F6</f>
        <v>1.0095573442026637</v>
      </c>
      <c r="F7" s="312">
        <f>'Bases de Cálculo'!G6</f>
        <v>55.539114956987063</v>
      </c>
      <c r="G7" s="122"/>
      <c r="H7" s="122"/>
      <c r="I7" s="122"/>
      <c r="J7" s="122"/>
      <c r="K7" s="122"/>
      <c r="L7" s="389" t="s">
        <v>617</v>
      </c>
      <c r="M7" s="490"/>
      <c r="N7" s="490"/>
      <c r="O7" s="490"/>
      <c r="P7" s="490"/>
      <c r="Q7" s="490"/>
      <c r="R7" s="490"/>
      <c r="S7" s="490"/>
      <c r="T7" s="490"/>
      <c r="U7" s="390"/>
    </row>
    <row r="8" spans="3:21" x14ac:dyDescent="0.25">
      <c r="C8" s="19" t="str">
        <f>'Bases de Cálculo'!E7</f>
        <v>LOIL</v>
      </c>
      <c r="D8" s="143" t="str">
        <f>'Bases de Cálculo'!B7</f>
        <v>Petróleo liviano</v>
      </c>
      <c r="E8" s="311">
        <f>'Bases de Cálculo'!F7</f>
        <v>6.0871741676095334</v>
      </c>
      <c r="F8" s="312">
        <f>'Bases de Cálculo'!G7</f>
        <v>77.841777688967127</v>
      </c>
      <c r="G8" s="122"/>
      <c r="H8" s="122"/>
      <c r="I8" s="122"/>
      <c r="J8" s="122"/>
      <c r="K8" s="122"/>
      <c r="L8" s="148"/>
      <c r="M8" s="431"/>
      <c r="N8" s="431"/>
      <c r="O8" s="431"/>
      <c r="P8" s="431"/>
      <c r="Q8" s="431"/>
      <c r="R8" s="431"/>
      <c r="S8" s="431"/>
      <c r="T8" s="431"/>
      <c r="U8" s="297"/>
    </row>
    <row r="9" spans="3:21" x14ac:dyDescent="0.25">
      <c r="C9" s="19" t="str">
        <f>'Bases de Cálculo'!E8</f>
        <v>MOIL</v>
      </c>
      <c r="D9" s="148" t="str">
        <f>'Bases de Cálculo'!B8</f>
        <v>Petróleo mediano</v>
      </c>
      <c r="E9" s="122">
        <f>+E8</f>
        <v>6.0871741676095334</v>
      </c>
      <c r="F9" s="313">
        <f>+F8</f>
        <v>77.841777688967127</v>
      </c>
      <c r="G9" s="122"/>
      <c r="H9" s="122"/>
      <c r="I9" s="122"/>
      <c r="J9" s="122"/>
      <c r="K9" s="122"/>
      <c r="L9" s="148"/>
      <c r="M9" s="431"/>
      <c r="N9" s="446" t="s">
        <v>618</v>
      </c>
      <c r="O9" s="447"/>
      <c r="P9" s="448"/>
      <c r="Q9" s="431"/>
      <c r="R9" s="431"/>
      <c r="S9" s="431"/>
      <c r="T9" s="431"/>
      <c r="U9" s="297"/>
    </row>
    <row r="10" spans="3:21" x14ac:dyDescent="0.25">
      <c r="C10" s="19" t="str">
        <f>'Bases de Cálculo'!E9</f>
        <v>HOIL</v>
      </c>
      <c r="D10" s="151" t="str">
        <f>'Bases de Cálculo'!B9</f>
        <v>Petróleo pesado</v>
      </c>
      <c r="E10" s="314">
        <f>+E9</f>
        <v>6.0871741676095334</v>
      </c>
      <c r="F10" s="315">
        <f>+F9</f>
        <v>77.841777688967127</v>
      </c>
      <c r="G10" s="122"/>
      <c r="H10" s="122"/>
      <c r="I10" s="122"/>
      <c r="J10" s="122"/>
      <c r="K10" s="122"/>
      <c r="L10" s="148"/>
      <c r="M10" s="431"/>
      <c r="N10" s="437"/>
      <c r="O10" s="438" t="s">
        <v>706</v>
      </c>
      <c r="P10" s="439" t="s">
        <v>707</v>
      </c>
      <c r="Q10" s="431"/>
      <c r="R10" s="432"/>
      <c r="S10" s="432"/>
      <c r="T10" s="433"/>
      <c r="U10" s="297"/>
    </row>
    <row r="11" spans="3:21" x14ac:dyDescent="0.25">
      <c r="C11" s="19" t="str">
        <f>'Bases de Cálculo'!E10</f>
        <v>GSL</v>
      </c>
      <c r="D11" s="143" t="str">
        <f>'Bases de Cálculo'!B10</f>
        <v>Gasolina antes de blending</v>
      </c>
      <c r="E11" s="311">
        <f>'Bases de Cálculo'!F10</f>
        <v>5.3308987344700309</v>
      </c>
      <c r="F11" s="312">
        <f>'Bases de Cálculo'!G10</f>
        <v>69.193827140333724</v>
      </c>
      <c r="G11" s="122"/>
      <c r="H11" s="122"/>
      <c r="I11" s="122"/>
      <c r="J11" s="122"/>
      <c r="K11" s="122"/>
      <c r="L11" s="148"/>
      <c r="M11" s="431"/>
      <c r="N11" s="437" t="s">
        <v>619</v>
      </c>
      <c r="O11" s="440">
        <f>100%-'4. Refinery''s Data'!E15</f>
        <v>0.7</v>
      </c>
      <c r="P11" s="441">
        <v>0.7</v>
      </c>
      <c r="Q11" s="431"/>
      <c r="R11" s="433"/>
      <c r="S11" s="434"/>
      <c r="T11" s="434"/>
      <c r="U11" s="297"/>
    </row>
    <row r="12" spans="3:21" x14ac:dyDescent="0.25">
      <c r="C12" s="19" t="str">
        <f>'Bases de Cálculo'!E11</f>
        <v>DSL</v>
      </c>
      <c r="D12" s="148" t="str">
        <f>'Bases de Cálculo'!B11</f>
        <v>Diesel antes de blending</v>
      </c>
      <c r="E12" s="122">
        <f>'Bases de Cálculo'!F11</f>
        <v>5.6708498400612823</v>
      </c>
      <c r="F12" s="313">
        <f>'Bases de Cálculo'!G11</f>
        <v>75.166375708662926</v>
      </c>
      <c r="G12" s="122"/>
      <c r="H12" s="122"/>
      <c r="I12" s="122"/>
      <c r="J12" s="122"/>
      <c r="K12" s="122"/>
      <c r="L12" s="148"/>
      <c r="M12" s="431"/>
      <c r="N12" s="437" t="s">
        <v>620</v>
      </c>
      <c r="O12" s="442"/>
      <c r="P12" s="441"/>
      <c r="Q12" s="431"/>
      <c r="R12" s="433"/>
      <c r="S12" s="435"/>
      <c r="T12" s="434"/>
      <c r="U12" s="297"/>
    </row>
    <row r="13" spans="3:21" x14ac:dyDescent="0.25">
      <c r="C13" s="19" t="str">
        <f>'Bases de Cálculo'!E12</f>
        <v>KER</v>
      </c>
      <c r="D13" s="151" t="str">
        <f>'Bases de Cálculo'!B12</f>
        <v>Keroseno-Jet</v>
      </c>
      <c r="E13" s="314">
        <f>'Bases de Cálculo'!F12</f>
        <v>4.7117947967516214</v>
      </c>
      <c r="F13" s="315">
        <f>'Bases de Cálculo'!G12</f>
        <v>87.735056011523966</v>
      </c>
      <c r="G13" s="122"/>
      <c r="H13" s="122"/>
      <c r="I13" s="122"/>
      <c r="J13" s="122"/>
      <c r="K13" s="122"/>
      <c r="L13" s="148"/>
      <c r="M13" s="431"/>
      <c r="N13" s="443" t="s">
        <v>621</v>
      </c>
      <c r="O13" s="444"/>
      <c r="P13" s="445"/>
      <c r="Q13" s="431"/>
      <c r="R13" s="433"/>
      <c r="S13" s="432"/>
      <c r="T13" s="433"/>
      <c r="U13" s="297"/>
    </row>
    <row r="14" spans="3:21" x14ac:dyDescent="0.25">
      <c r="C14" s="19" t="str">
        <f>'Bases de Cálculo'!E13</f>
        <v>LPG</v>
      </c>
      <c r="D14" s="143" t="str">
        <f>'Bases de Cálculo'!B13</f>
        <v>Gas licuado de Petróleo</v>
      </c>
      <c r="E14" s="311">
        <f>'Bases de Cálculo'!F13</f>
        <v>4.0562660463586173</v>
      </c>
      <c r="F14" s="312">
        <f>'Bases de Cálculo'!G13</f>
        <v>47.28933824683137</v>
      </c>
      <c r="G14" s="122"/>
      <c r="H14" s="122"/>
      <c r="I14" s="122"/>
      <c r="J14" s="122"/>
      <c r="K14" s="122"/>
      <c r="L14" s="148"/>
      <c r="M14" s="431"/>
      <c r="N14" s="431"/>
      <c r="O14" s="431"/>
      <c r="P14" s="431"/>
      <c r="Q14" s="431"/>
      <c r="R14" s="431"/>
      <c r="S14" s="431"/>
      <c r="T14" s="431"/>
      <c r="U14" s="297"/>
    </row>
    <row r="15" spans="3:21" x14ac:dyDescent="0.25">
      <c r="C15" s="19" t="str">
        <f>'Bases de Cálculo'!E14</f>
        <v>HFO</v>
      </c>
      <c r="D15" s="148" t="str">
        <f>'Bases de Cálculo'!B14</f>
        <v>Fuel Oil (Combustoleo</v>
      </c>
      <c r="E15" s="122">
        <f>'Bases de Cálculo'!F14</f>
        <v>5.4608206169323079</v>
      </c>
      <c r="F15" s="313">
        <f>'Bases de Cálculo'!G14</f>
        <v>78.281203343664757</v>
      </c>
      <c r="G15" s="122"/>
      <c r="H15" s="122"/>
      <c r="I15" s="122"/>
      <c r="J15" s="122"/>
      <c r="K15" s="122"/>
      <c r="L15" s="151"/>
      <c r="M15" s="152"/>
      <c r="N15" s="152"/>
      <c r="O15" s="152"/>
      <c r="P15" s="152"/>
      <c r="Q15" s="152"/>
      <c r="R15" s="152"/>
      <c r="S15" s="152"/>
      <c r="T15" s="152"/>
      <c r="U15" s="302"/>
    </row>
    <row r="16" spans="3:21" x14ac:dyDescent="0.25">
      <c r="C16" s="19" t="s">
        <v>522</v>
      </c>
      <c r="D16" s="148" t="str">
        <f>'Bases de Cálculo'!B24</f>
        <v>Gasolina de aviación</v>
      </c>
      <c r="E16" s="122">
        <f>'Bases de Cálculo'!F24</f>
        <v>4.7615165047769556</v>
      </c>
      <c r="F16" s="313">
        <f>'Bases de Cálculo'!G24</f>
        <v>56.337812381502502</v>
      </c>
      <c r="G16" s="122"/>
      <c r="H16" s="122"/>
      <c r="I16" s="122"/>
      <c r="J16" s="122"/>
      <c r="K16" s="122"/>
    </row>
    <row r="17" spans="1:22" x14ac:dyDescent="0.25">
      <c r="C17" s="19" t="s">
        <v>519</v>
      </c>
      <c r="D17" s="151" t="str">
        <f>'Bases de Cálculo'!B25</f>
        <v>Refinery Gas</v>
      </c>
      <c r="E17" s="314">
        <f>'Bases de Cálculo'!F25</f>
        <v>4.1867999999999999</v>
      </c>
      <c r="F17" s="315">
        <f>'Bases de Cálculo'!G25</f>
        <v>40.784041574326501</v>
      </c>
      <c r="G17" s="122"/>
      <c r="H17" s="122"/>
      <c r="I17" s="122"/>
      <c r="J17" s="122"/>
      <c r="K17" s="122"/>
    </row>
    <row r="18" spans="1:22" x14ac:dyDescent="0.25">
      <c r="C18" s="142" t="s">
        <v>485</v>
      </c>
    </row>
    <row r="19" spans="1:22" x14ac:dyDescent="0.25">
      <c r="S19" s="431"/>
      <c r="T19" s="452"/>
      <c r="U19" s="431"/>
    </row>
    <row r="20" spans="1:22" x14ac:dyDescent="0.25">
      <c r="A20" s="14" t="s">
        <v>30</v>
      </c>
      <c r="B20" s="1"/>
      <c r="C20" s="1"/>
      <c r="D20" s="1"/>
      <c r="E20" s="1"/>
      <c r="F20" s="1"/>
      <c r="N20" s="322" t="s">
        <v>0</v>
      </c>
      <c r="O20" s="1"/>
      <c r="P20" s="1"/>
      <c r="Q20" s="1"/>
      <c r="R20" s="1"/>
      <c r="S20" s="431"/>
      <c r="T20" s="506"/>
      <c r="U20" s="431"/>
    </row>
    <row r="21" spans="1:22" x14ac:dyDescent="0.25">
      <c r="A21" s="329" t="s">
        <v>32</v>
      </c>
      <c r="B21" s="12" t="s">
        <v>22</v>
      </c>
      <c r="C21" s="12" t="s">
        <v>11</v>
      </c>
      <c r="D21" s="12" t="s">
        <v>33</v>
      </c>
      <c r="E21" s="12" t="s">
        <v>34</v>
      </c>
      <c r="F21" s="330" t="s">
        <v>35</v>
      </c>
      <c r="N21" s="323" t="s">
        <v>11</v>
      </c>
      <c r="O21" s="324" t="s">
        <v>12</v>
      </c>
      <c r="P21" s="324" t="s">
        <v>13</v>
      </c>
      <c r="Q21" s="324" t="s">
        <v>156</v>
      </c>
      <c r="R21" s="325" t="s">
        <v>31</v>
      </c>
      <c r="T21" s="334"/>
    </row>
    <row r="22" spans="1:22" x14ac:dyDescent="0.25">
      <c r="A22" s="1" t="s">
        <v>46</v>
      </c>
      <c r="B22" s="1"/>
      <c r="C22" s="1" t="s">
        <v>634</v>
      </c>
      <c r="D22" s="1" t="s">
        <v>635</v>
      </c>
      <c r="E22" s="1" t="s">
        <v>9</v>
      </c>
      <c r="F22" s="1" t="s">
        <v>42</v>
      </c>
      <c r="N22" s="326" t="str">
        <f>+C22</f>
        <v>MIX-OIL-REF1</v>
      </c>
      <c r="O22" s="22" t="str">
        <f>+C10</f>
        <v>HOIL</v>
      </c>
      <c r="P22" s="326" t="s">
        <v>636</v>
      </c>
      <c r="Q22" s="327">
        <f>+O11</f>
        <v>0.7</v>
      </c>
      <c r="R22" s="328">
        <v>1</v>
      </c>
      <c r="T22" s="334"/>
      <c r="U22" s="358"/>
      <c r="V22" s="358"/>
    </row>
    <row r="23" spans="1:22" x14ac:dyDescent="0.25">
      <c r="A23" s="1"/>
      <c r="B23" s="1"/>
      <c r="I23" s="357"/>
      <c r="N23" s="326"/>
      <c r="O23" s="326" t="str">
        <f>+C9</f>
        <v>MOIL</v>
      </c>
      <c r="P23" s="326"/>
      <c r="Q23" s="327"/>
      <c r="R23" s="326"/>
      <c r="T23" s="334"/>
      <c r="U23" s="72"/>
      <c r="V23" s="72"/>
    </row>
    <row r="24" spans="1:22" x14ac:dyDescent="0.25">
      <c r="A24" s="1"/>
      <c r="B24" s="1"/>
      <c r="N24" s="22"/>
      <c r="O24" s="326" t="str">
        <f>+C8</f>
        <v>LOIL</v>
      </c>
      <c r="P24" s="22"/>
      <c r="Q24" s="22"/>
      <c r="R24" s="22"/>
      <c r="T24" s="334"/>
      <c r="U24" s="359"/>
      <c r="V24" s="359"/>
    </row>
    <row r="25" spans="1:22" x14ac:dyDescent="0.25">
      <c r="A25" s="1"/>
      <c r="B25" s="1"/>
      <c r="T25" s="334"/>
      <c r="U25" s="72"/>
      <c r="V25" s="72"/>
    </row>
    <row r="26" spans="1:22" x14ac:dyDescent="0.25">
      <c r="C26" s="1" t="s">
        <v>625</v>
      </c>
      <c r="D26" s="1" t="s">
        <v>626</v>
      </c>
      <c r="E26" s="1" t="s">
        <v>9</v>
      </c>
      <c r="F26" s="1" t="s">
        <v>42</v>
      </c>
    </row>
    <row r="27" spans="1:22" x14ac:dyDescent="0.25">
      <c r="C27" s="1" t="s">
        <v>627</v>
      </c>
      <c r="D27" s="1" t="s">
        <v>628</v>
      </c>
      <c r="E27" s="1" t="s">
        <v>9</v>
      </c>
      <c r="F27" s="1" t="s">
        <v>187</v>
      </c>
    </row>
    <row r="28" spans="1:22" x14ac:dyDescent="0.25">
      <c r="C28" s="1" t="s">
        <v>629</v>
      </c>
      <c r="D28" s="1" t="s">
        <v>630</v>
      </c>
      <c r="E28" s="1" t="s">
        <v>9</v>
      </c>
      <c r="F28" s="1" t="s">
        <v>187</v>
      </c>
      <c r="L28" s="389" t="s">
        <v>717</v>
      </c>
      <c r="M28" s="490"/>
      <c r="N28" s="490"/>
      <c r="O28" s="490"/>
      <c r="P28" s="490"/>
      <c r="Q28" s="490"/>
      <c r="R28" s="490"/>
      <c r="S28" s="490"/>
      <c r="T28" s="490"/>
      <c r="U28" s="390"/>
    </row>
    <row r="29" spans="1:22" x14ac:dyDescent="0.25">
      <c r="L29" s="148"/>
      <c r="M29" s="431"/>
      <c r="N29" s="431"/>
      <c r="O29" s="431"/>
      <c r="P29" s="431"/>
      <c r="Q29" s="431"/>
      <c r="R29" s="431"/>
      <c r="S29" s="431"/>
      <c r="T29" s="431"/>
      <c r="U29" s="297"/>
    </row>
    <row r="30" spans="1:22" x14ac:dyDescent="0.25">
      <c r="L30" s="148"/>
      <c r="M30" s="431"/>
      <c r="N30" s="431"/>
      <c r="O30" s="431"/>
      <c r="P30" s="431"/>
      <c r="Q30" s="431"/>
      <c r="R30" s="431"/>
      <c r="S30" s="431"/>
      <c r="T30" s="431"/>
      <c r="U30" s="297"/>
    </row>
    <row r="31" spans="1:22" x14ac:dyDescent="0.25">
      <c r="L31" s="148"/>
      <c r="M31" s="431"/>
      <c r="N31" s="385" t="s">
        <v>651</v>
      </c>
      <c r="O31" s="385" t="s">
        <v>253</v>
      </c>
      <c r="P31" s="385" t="s">
        <v>708</v>
      </c>
      <c r="Q31" s="431"/>
      <c r="R31" s="451" t="s">
        <v>709</v>
      </c>
      <c r="S31" s="451" t="s">
        <v>710</v>
      </c>
      <c r="T31" s="431"/>
      <c r="U31" s="297"/>
    </row>
    <row r="32" spans="1:22" x14ac:dyDescent="0.25">
      <c r="L32" s="148"/>
      <c r="M32" s="431"/>
      <c r="N32" s="471" t="s">
        <v>653</v>
      </c>
      <c r="O32" s="472">
        <v>165</v>
      </c>
      <c r="P32" s="473">
        <f>+O32*365*E8/1000</f>
        <v>366.60006424428417</v>
      </c>
      <c r="Q32" s="473" t="s">
        <v>9</v>
      </c>
      <c r="R32" s="431"/>
      <c r="S32" s="431"/>
      <c r="T32" s="431"/>
      <c r="U32" s="297"/>
    </row>
    <row r="33" spans="1:21" x14ac:dyDescent="0.25">
      <c r="L33" s="148"/>
      <c r="M33" s="431"/>
      <c r="N33" s="471" t="s">
        <v>652</v>
      </c>
      <c r="O33" s="474">
        <f>(874275+499)/1000</f>
        <v>874.774</v>
      </c>
      <c r="P33" s="473">
        <f>+O33*0.0036</f>
        <v>3.1491864000000001</v>
      </c>
      <c r="Q33" s="475" t="s">
        <v>9</v>
      </c>
      <c r="R33" s="476" t="str">
        <f>+ROUND(P33/P32,4)&amp;" PJ H2 per PJ oil"</f>
        <v>0,0086 PJ H2 per PJ oil</v>
      </c>
      <c r="S33" s="476" t="str">
        <f>+ROUND(O33/(365*O32),4)&amp;" Gwh per kbl oil"</f>
        <v>0,0145 Gwh per kbl oil</v>
      </c>
      <c r="T33" s="431"/>
      <c r="U33" s="297"/>
    </row>
    <row r="34" spans="1:21" x14ac:dyDescent="0.25">
      <c r="A34" s="9" t="s">
        <v>20</v>
      </c>
      <c r="B34" s="9"/>
      <c r="C34" s="10"/>
      <c r="D34" s="10"/>
      <c r="E34" s="10"/>
      <c r="L34" s="148"/>
      <c r="M34" s="431"/>
      <c r="N34" s="471" t="s">
        <v>654</v>
      </c>
      <c r="O34" s="472">
        <f>+(0.17+0.035)*365</f>
        <v>74.825000000000003</v>
      </c>
      <c r="P34" s="473">
        <f>+O34*0.041868</f>
        <v>3.1327731000000001</v>
      </c>
      <c r="Q34" s="475" t="s">
        <v>9</v>
      </c>
      <c r="R34" s="476" t="str">
        <f>+ROUND(P34/P32,4)&amp;" PJ H2 per PJ oil"</f>
        <v>0,0085 PJ H2 per PJ oil</v>
      </c>
      <c r="S34" s="476" t="str">
        <f>+ROUND(O34/(365*O32),4)&amp;" kt H2 per kbl oil"</f>
        <v>0,0012 kt H2 per kbl oil</v>
      </c>
      <c r="T34" s="431"/>
      <c r="U34" s="297"/>
    </row>
    <row r="35" spans="1:21" x14ac:dyDescent="0.25">
      <c r="A35" s="329" t="s">
        <v>21</v>
      </c>
      <c r="B35" s="12" t="s">
        <v>22</v>
      </c>
      <c r="C35" s="12" t="s">
        <v>2</v>
      </c>
      <c r="D35" s="12" t="s">
        <v>23</v>
      </c>
      <c r="E35" s="330" t="s">
        <v>24</v>
      </c>
      <c r="L35" s="148"/>
      <c r="M35" s="431"/>
      <c r="N35" s="471"/>
      <c r="O35" s="477"/>
      <c r="P35" s="472"/>
      <c r="Q35" s="431"/>
      <c r="R35" s="431"/>
      <c r="S35" s="431"/>
      <c r="T35" s="431"/>
      <c r="U35" s="297"/>
    </row>
    <row r="36" spans="1:21" x14ac:dyDescent="0.25">
      <c r="A36" s="331" t="s">
        <v>82</v>
      </c>
      <c r="B36" s="331"/>
      <c r="C36" s="1" t="s">
        <v>636</v>
      </c>
      <c r="D36" s="1" t="s">
        <v>637</v>
      </c>
      <c r="E36" s="1" t="s">
        <v>9</v>
      </c>
      <c r="L36" s="151"/>
      <c r="M36" s="152"/>
      <c r="N36" s="152"/>
      <c r="O36" s="152"/>
      <c r="P36" s="152"/>
      <c r="Q36" s="152"/>
      <c r="R36" s="152"/>
      <c r="S36" s="152"/>
      <c r="T36" s="152"/>
      <c r="U36" s="302"/>
    </row>
    <row r="37" spans="1:21" x14ac:dyDescent="0.25">
      <c r="A37" s="1"/>
      <c r="B37" s="1"/>
      <c r="C37" s="1" t="s">
        <v>548</v>
      </c>
      <c r="D37" s="1" t="s">
        <v>633</v>
      </c>
      <c r="E37" s="1" t="s">
        <v>9</v>
      </c>
      <c r="L37" s="431"/>
      <c r="M37" s="431"/>
      <c r="N37" s="431"/>
      <c r="O37" s="431"/>
      <c r="P37" s="431"/>
      <c r="Q37" s="431"/>
      <c r="R37" s="431"/>
      <c r="S37" s="431"/>
      <c r="T37" s="431"/>
      <c r="U37" s="431"/>
    </row>
    <row r="38" spans="1:21" x14ac:dyDescent="0.25">
      <c r="A38" s="1"/>
      <c r="C38" s="1" t="s">
        <v>657</v>
      </c>
      <c r="D38" s="1" t="s">
        <v>632</v>
      </c>
      <c r="E38" s="1" t="s">
        <v>9</v>
      </c>
      <c r="L38" s="431"/>
      <c r="M38" s="431"/>
      <c r="N38" s="478" t="s">
        <v>655</v>
      </c>
      <c r="O38" s="479"/>
      <c r="P38" s="480"/>
      <c r="Q38" s="431"/>
      <c r="R38" s="431"/>
      <c r="S38" s="431"/>
      <c r="T38" s="431"/>
      <c r="U38" s="431"/>
    </row>
    <row r="39" spans="1:21" x14ac:dyDescent="0.25">
      <c r="A39" s="1"/>
      <c r="C39" s="1" t="s">
        <v>656</v>
      </c>
      <c r="D39" s="1" t="s">
        <v>631</v>
      </c>
      <c r="E39" s="1" t="s">
        <v>9</v>
      </c>
      <c r="L39" s="431"/>
      <c r="M39" s="431"/>
      <c r="N39" s="488" t="s">
        <v>11</v>
      </c>
      <c r="O39" s="356" t="s">
        <v>12</v>
      </c>
      <c r="P39" s="489" t="s">
        <v>178</v>
      </c>
      <c r="Q39" s="431"/>
      <c r="R39" s="431"/>
      <c r="S39" s="431"/>
      <c r="T39" s="431"/>
      <c r="U39" s="431"/>
    </row>
    <row r="40" spans="1:21" x14ac:dyDescent="0.25">
      <c r="A40" s="1"/>
      <c r="B40" s="1"/>
      <c r="L40" s="431"/>
      <c r="M40" s="431"/>
      <c r="N40" s="481" t="s">
        <v>650</v>
      </c>
      <c r="O40" s="482" t="str">
        <f>+P22</f>
        <v>OIL-REF1</v>
      </c>
      <c r="P40" s="450">
        <f>+P32/(P32+P33+P34)</f>
        <v>0.98315295696767602</v>
      </c>
      <c r="Q40" s="431"/>
      <c r="R40" s="431"/>
      <c r="S40" s="431"/>
      <c r="T40" s="431"/>
      <c r="U40" s="431"/>
    </row>
    <row r="41" spans="1:21" x14ac:dyDescent="0.25">
      <c r="A41" s="1"/>
      <c r="B41" s="1"/>
      <c r="L41" s="431"/>
      <c r="M41" s="431"/>
      <c r="N41" s="483"/>
      <c r="O41" s="484" t="str">
        <f>+C37</f>
        <v>H2</v>
      </c>
      <c r="P41" s="485">
        <f>+P33/(P32+P33+P34)</f>
        <v>8.4455302199272966E-3</v>
      </c>
      <c r="Q41" s="431"/>
      <c r="R41" s="431"/>
      <c r="S41" s="431"/>
      <c r="T41" s="431"/>
      <c r="U41" s="431"/>
    </row>
    <row r="42" spans="1:21" x14ac:dyDescent="0.25">
      <c r="A42" s="1"/>
      <c r="B42" s="1"/>
      <c r="L42" s="431"/>
      <c r="M42" s="431"/>
      <c r="N42" s="454"/>
      <c r="O42" s="486" t="str">
        <f>+C39</f>
        <v>ELC-REF1</v>
      </c>
      <c r="P42" s="485">
        <f>+P34/(P32+P33+P34)</f>
        <v>8.401512812396662E-3</v>
      </c>
      <c r="Q42" s="431"/>
      <c r="R42" s="431"/>
      <c r="S42" s="431"/>
      <c r="T42" s="431"/>
      <c r="U42" s="431"/>
    </row>
    <row r="43" spans="1:21" x14ac:dyDescent="0.25">
      <c r="L43" s="431"/>
      <c r="M43" s="431"/>
      <c r="N43" s="454"/>
      <c r="O43" s="431"/>
      <c r="P43" s="431"/>
      <c r="Q43" s="431"/>
      <c r="R43" s="431"/>
      <c r="S43" s="431"/>
      <c r="T43" s="431"/>
      <c r="U43" s="431"/>
    </row>
    <row r="44" spans="1:21" x14ac:dyDescent="0.25">
      <c r="L44" s="431"/>
      <c r="M44" s="431"/>
      <c r="N44" s="431"/>
      <c r="O44" s="431"/>
      <c r="P44" s="487">
        <f>+SUM(P40:P42)</f>
        <v>1</v>
      </c>
      <c r="Q44" s="431"/>
      <c r="R44" s="431"/>
      <c r="S44" s="431"/>
      <c r="T44" s="431"/>
      <c r="U44" s="431"/>
    </row>
    <row r="45" spans="1:21" x14ac:dyDescent="0.25">
      <c r="L45" s="431"/>
      <c r="M45" s="431"/>
      <c r="Q45" s="431"/>
      <c r="R45" s="431"/>
      <c r="S45" s="431"/>
      <c r="T45" s="431"/>
      <c r="U45" s="431"/>
    </row>
    <row r="46" spans="1:21" x14ac:dyDescent="0.25">
      <c r="E46">
        <v>200</v>
      </c>
      <c r="L46" s="431"/>
      <c r="M46" s="431"/>
      <c r="N46" s="431"/>
      <c r="O46" s="431"/>
      <c r="P46" s="431"/>
      <c r="Q46" s="431"/>
      <c r="R46" s="431"/>
      <c r="S46" s="431"/>
      <c r="T46" s="431"/>
      <c r="U46" s="431"/>
    </row>
    <row r="47" spans="1:21" x14ac:dyDescent="0.25">
      <c r="E47">
        <v>76</v>
      </c>
      <c r="F47">
        <v>78</v>
      </c>
      <c r="L47" s="389" t="s">
        <v>716</v>
      </c>
      <c r="M47" s="490"/>
      <c r="N47" s="490"/>
      <c r="O47" s="490"/>
      <c r="P47" s="490"/>
      <c r="Q47" s="490"/>
      <c r="R47" s="490"/>
      <c r="S47" s="490"/>
      <c r="T47" s="490"/>
      <c r="U47" s="390"/>
    </row>
    <row r="48" spans="1:21" x14ac:dyDescent="0.25">
      <c r="B48" s="1"/>
      <c r="C48" s="1"/>
      <c r="D48" s="1"/>
      <c r="E48">
        <f>+E47/E46</f>
        <v>0.38</v>
      </c>
      <c r="F48">
        <f>+F47/E46</f>
        <v>0.39</v>
      </c>
      <c r="L48" s="148"/>
      <c r="M48" s="431"/>
      <c r="N48" s="431"/>
      <c r="O48" s="431"/>
      <c r="P48" s="431"/>
      <c r="Q48" s="431"/>
      <c r="R48" s="431"/>
      <c r="S48" s="431"/>
      <c r="T48" s="431"/>
      <c r="U48" s="297"/>
    </row>
    <row r="49" spans="2:21" x14ac:dyDescent="0.25">
      <c r="L49" s="148"/>
      <c r="M49" s="385" t="s">
        <v>712</v>
      </c>
      <c r="N49" s="385" t="s">
        <v>686</v>
      </c>
      <c r="O49" s="385" t="s">
        <v>677</v>
      </c>
      <c r="P49" s="431"/>
      <c r="Q49" s="431"/>
      <c r="R49" s="431"/>
      <c r="S49" s="431"/>
      <c r="T49" s="431"/>
      <c r="U49" s="297"/>
    </row>
    <row r="50" spans="2:21" x14ac:dyDescent="0.25">
      <c r="B50" s="1"/>
      <c r="C50" s="1"/>
      <c r="D50" s="1"/>
      <c r="L50" s="148"/>
      <c r="M50" s="433" t="s">
        <v>611</v>
      </c>
      <c r="N50" s="436">
        <v>165</v>
      </c>
      <c r="O50" s="436">
        <v>23.978999999999999</v>
      </c>
      <c r="P50" s="431"/>
      <c r="Q50" s="431"/>
      <c r="R50" s="452"/>
      <c r="S50" s="453"/>
      <c r="T50" s="453"/>
      <c r="U50" s="297"/>
    </row>
    <row r="51" spans="2:21" x14ac:dyDescent="0.25">
      <c r="B51" s="1"/>
      <c r="C51" s="1"/>
      <c r="D51" s="1"/>
      <c r="E51">
        <v>245</v>
      </c>
      <c r="L51" s="148"/>
      <c r="M51" s="431"/>
      <c r="N51" s="431"/>
      <c r="O51" s="431"/>
      <c r="P51" s="431"/>
      <c r="Q51" s="299"/>
      <c r="R51" s="456"/>
      <c r="S51" s="453"/>
      <c r="T51" s="453"/>
      <c r="U51" s="381"/>
    </row>
    <row r="52" spans="2:21" x14ac:dyDescent="0.25">
      <c r="E52">
        <v>84</v>
      </c>
      <c r="F52">
        <v>86</v>
      </c>
      <c r="L52" s="148"/>
      <c r="M52" s="431"/>
      <c r="N52" s="431"/>
      <c r="O52" s="431"/>
      <c r="P52" s="431"/>
      <c r="Q52" s="431"/>
      <c r="R52" s="456"/>
      <c r="S52" s="453"/>
      <c r="T52" s="453"/>
      <c r="U52" s="381"/>
    </row>
    <row r="53" spans="2:21" ht="18" x14ac:dyDescent="0.35">
      <c r="E53">
        <f>+E52/E51</f>
        <v>0.34285714285714286</v>
      </c>
      <c r="F53">
        <f>+F52/E51</f>
        <v>0.3510204081632653</v>
      </c>
      <c r="L53" s="148"/>
      <c r="M53" s="370" t="s">
        <v>664</v>
      </c>
      <c r="N53" s="385" t="s">
        <v>686</v>
      </c>
      <c r="O53" s="385" t="s">
        <v>677</v>
      </c>
      <c r="P53" s="385" t="s">
        <v>713</v>
      </c>
      <c r="Q53" s="385" t="s">
        <v>714</v>
      </c>
      <c r="R53" s="431"/>
      <c r="S53" s="453"/>
      <c r="T53" s="453"/>
      <c r="U53" s="381"/>
    </row>
    <row r="54" spans="2:21" x14ac:dyDescent="0.25">
      <c r="L54" s="148"/>
      <c r="M54" s="456" t="s">
        <v>85</v>
      </c>
      <c r="N54" s="433">
        <v>36.799999999999997</v>
      </c>
      <c r="O54" s="457">
        <v>4.2300000000000004</v>
      </c>
      <c r="P54" s="458">
        <f>+O54/$O$62</f>
        <v>0.19905882352941179</v>
      </c>
      <c r="Q54" s="299">
        <f>+N54/$N$62</f>
        <v>0.2292834890965732</v>
      </c>
      <c r="R54" s="456"/>
      <c r="S54" s="453"/>
      <c r="T54" s="456"/>
      <c r="U54" s="297"/>
    </row>
    <row r="55" spans="2:21" x14ac:dyDescent="0.25">
      <c r="L55" s="148"/>
      <c r="M55" s="456" t="s">
        <v>665</v>
      </c>
      <c r="N55" s="433">
        <v>94</v>
      </c>
      <c r="O55" s="457">
        <v>12.75</v>
      </c>
      <c r="P55" s="458">
        <f>+O55/$O$62</f>
        <v>0.6</v>
      </c>
      <c r="Q55" s="299">
        <f t="shared" ref="Q55:Q59" si="0">+N55/$N$62</f>
        <v>0.58566978193146413</v>
      </c>
      <c r="R55" s="456"/>
      <c r="S55" s="456"/>
      <c r="T55" s="456"/>
      <c r="U55" s="297"/>
    </row>
    <row r="56" spans="2:21" x14ac:dyDescent="0.25">
      <c r="E56">
        <v>51</v>
      </c>
      <c r="F56" s="386">
        <v>58</v>
      </c>
      <c r="G56" t="s">
        <v>689</v>
      </c>
      <c r="L56" s="148"/>
      <c r="M56" s="456" t="s">
        <v>87</v>
      </c>
      <c r="N56" s="433">
        <v>10.199999999999999</v>
      </c>
      <c r="O56" s="457">
        <v>1.33</v>
      </c>
      <c r="P56" s="458">
        <f>+O56/$O$62</f>
        <v>6.2588235294117653E-2</v>
      </c>
      <c r="Q56" s="299">
        <f t="shared" si="0"/>
        <v>6.3551401869158877E-2</v>
      </c>
      <c r="R56" s="456"/>
      <c r="S56" s="456"/>
      <c r="T56" s="456"/>
      <c r="U56" s="297"/>
    </row>
    <row r="57" spans="2:21" x14ac:dyDescent="0.25">
      <c r="D57" t="s">
        <v>690</v>
      </c>
      <c r="L57" s="148"/>
      <c r="M57" s="456" t="s">
        <v>49</v>
      </c>
      <c r="N57" s="433">
        <v>5.5</v>
      </c>
      <c r="O57" s="457">
        <v>0.45</v>
      </c>
      <c r="P57" s="458">
        <f>+O57/$O$62</f>
        <v>2.1176470588235293E-2</v>
      </c>
      <c r="Q57" s="299">
        <f t="shared" si="0"/>
        <v>3.4267912772585667E-2</v>
      </c>
      <c r="R57" s="456"/>
      <c r="S57" s="456"/>
      <c r="T57" s="456"/>
      <c r="U57" s="297"/>
    </row>
    <row r="58" spans="2:21" x14ac:dyDescent="0.25">
      <c r="D58" t="s">
        <v>691</v>
      </c>
      <c r="L58" s="148"/>
      <c r="M58" s="456" t="s">
        <v>88</v>
      </c>
      <c r="N58" s="433">
        <v>1.4</v>
      </c>
      <c r="O58" s="457">
        <v>0.24</v>
      </c>
      <c r="P58" s="458">
        <f>+O58/$O$62</f>
        <v>1.1294117647058823E-2</v>
      </c>
      <c r="Q58" s="299">
        <f t="shared" si="0"/>
        <v>8.7227414330218068E-3</v>
      </c>
      <c r="R58" s="456"/>
      <c r="S58" s="459"/>
      <c r="T58" s="456"/>
      <c r="U58" s="297"/>
    </row>
    <row r="59" spans="2:21" x14ac:dyDescent="0.25">
      <c r="L59" s="148"/>
      <c r="M59" s="456" t="s">
        <v>688</v>
      </c>
      <c r="N59" s="433">
        <v>12.6</v>
      </c>
      <c r="O59" s="457">
        <v>1.44</v>
      </c>
      <c r="P59" s="458">
        <f>+O59/$O$62</f>
        <v>6.7764705882352935E-2</v>
      </c>
      <c r="Q59" s="299">
        <f t="shared" si="0"/>
        <v>7.8504672897196259E-2</v>
      </c>
      <c r="R59" s="431"/>
      <c r="S59" s="431"/>
      <c r="T59" s="456"/>
      <c r="U59" s="297"/>
    </row>
    <row r="60" spans="2:21" x14ac:dyDescent="0.25">
      <c r="L60" s="148"/>
      <c r="M60" s="456" t="s">
        <v>687</v>
      </c>
      <c r="N60" s="433">
        <v>33.799999999999997</v>
      </c>
      <c r="O60" s="457">
        <v>0.81</v>
      </c>
      <c r="P60" s="458">
        <f>+O60/$O$62</f>
        <v>3.8117647058823534E-2</v>
      </c>
      <c r="Q60" s="460" t="s">
        <v>715</v>
      </c>
      <c r="R60" s="431"/>
      <c r="S60" s="431"/>
      <c r="T60" s="456"/>
      <c r="U60" s="297"/>
    </row>
    <row r="61" spans="2:21" x14ac:dyDescent="0.25">
      <c r="L61" s="148"/>
      <c r="M61" s="431"/>
      <c r="N61" s="431"/>
      <c r="O61" s="431"/>
      <c r="P61" s="431"/>
      <c r="Q61" s="431"/>
      <c r="R61" s="431"/>
      <c r="S61" s="431"/>
      <c r="T61" s="431"/>
      <c r="U61" s="297"/>
    </row>
    <row r="62" spans="2:21" x14ac:dyDescent="0.25">
      <c r="E62" t="s">
        <v>692</v>
      </c>
      <c r="F62">
        <f>+F56*365*E7/1000</f>
        <v>21.37232897677039</v>
      </c>
      <c r="G62" t="s">
        <v>9</v>
      </c>
      <c r="L62" s="148"/>
      <c r="M62" s="456" t="s">
        <v>711</v>
      </c>
      <c r="N62" s="461">
        <f>+SUM(N54:N59)</f>
        <v>160.5</v>
      </c>
      <c r="O62" s="462">
        <f>+SUM(O54:O60)</f>
        <v>21.25</v>
      </c>
      <c r="P62" s="463">
        <f>+SUM(P54:P60)</f>
        <v>1</v>
      </c>
      <c r="Q62" s="464">
        <f>+SUM(Q54:Q60)</f>
        <v>1</v>
      </c>
      <c r="R62" s="431"/>
      <c r="S62" s="431"/>
      <c r="T62" s="431"/>
      <c r="U62" s="297"/>
    </row>
    <row r="63" spans="2:21" x14ac:dyDescent="0.25">
      <c r="E63" t="s">
        <v>693</v>
      </c>
      <c r="F63">
        <f>+O60*365*0.041868</f>
        <v>12.378274200000002</v>
      </c>
      <c r="G63" t="s">
        <v>9</v>
      </c>
      <c r="L63" s="148"/>
      <c r="M63" s="456" t="s">
        <v>573</v>
      </c>
      <c r="N63" s="462">
        <f>161.61-N62</f>
        <v>1.1100000000000136</v>
      </c>
      <c r="O63" s="462">
        <f>24.39-O62</f>
        <v>3.1400000000000006</v>
      </c>
      <c r="P63" s="458"/>
      <c r="Q63" s="431"/>
      <c r="R63" s="431"/>
      <c r="S63" s="465"/>
      <c r="T63" s="465"/>
      <c r="U63" s="297"/>
    </row>
    <row r="64" spans="2:21" x14ac:dyDescent="0.25">
      <c r="L64" s="148"/>
      <c r="M64" s="456" t="s">
        <v>580</v>
      </c>
      <c r="N64" s="462">
        <f>+N63+N62</f>
        <v>161.61000000000001</v>
      </c>
      <c r="O64" s="462">
        <f>+O63+O62</f>
        <v>24.39</v>
      </c>
      <c r="P64" s="431"/>
      <c r="Q64" s="431"/>
      <c r="R64" s="431"/>
      <c r="S64" s="465"/>
      <c r="T64" s="465"/>
      <c r="U64" s="297"/>
    </row>
    <row r="65" spans="4:21" x14ac:dyDescent="0.25">
      <c r="F65">
        <f>+F63+F62</f>
        <v>33.75060317677039</v>
      </c>
      <c r="G65" t="s">
        <v>9</v>
      </c>
      <c r="L65" s="148"/>
      <c r="M65" s="431"/>
      <c r="N65" s="431"/>
      <c r="O65" s="431"/>
      <c r="P65" s="431"/>
      <c r="Q65" s="431"/>
      <c r="R65" s="431"/>
      <c r="S65" s="465"/>
      <c r="T65" s="465"/>
      <c r="U65" s="297"/>
    </row>
    <row r="66" spans="4:21" x14ac:dyDescent="0.25">
      <c r="D66" t="s">
        <v>694</v>
      </c>
      <c r="E66">
        <v>0.35</v>
      </c>
      <c r="L66" s="148"/>
      <c r="M66" s="431"/>
      <c r="N66" s="431"/>
      <c r="O66" s="431"/>
      <c r="P66" s="431"/>
      <c r="Q66" s="431"/>
      <c r="R66" s="431"/>
      <c r="S66" s="465"/>
      <c r="T66" s="465"/>
      <c r="U66" s="297"/>
    </row>
    <row r="67" spans="4:21" x14ac:dyDescent="0.25">
      <c r="F67">
        <f>+F65*E66</f>
        <v>11.812711111869636</v>
      </c>
      <c r="G67" t="s">
        <v>9</v>
      </c>
      <c r="L67" s="151"/>
      <c r="M67" s="152"/>
      <c r="N67" s="152"/>
      <c r="O67" s="152"/>
      <c r="P67" s="152"/>
      <c r="Q67" s="152"/>
      <c r="R67" s="152"/>
      <c r="S67" s="492"/>
      <c r="T67" s="492"/>
      <c r="U67" s="302"/>
    </row>
    <row r="68" spans="4:21" x14ac:dyDescent="0.25">
      <c r="L68" s="431"/>
      <c r="M68" s="431"/>
      <c r="N68" s="431"/>
      <c r="O68" s="431"/>
      <c r="P68" s="431"/>
      <c r="Q68" s="431"/>
      <c r="R68" s="431"/>
      <c r="S68" s="465"/>
      <c r="T68" s="465"/>
      <c r="U68" s="431"/>
    </row>
    <row r="69" spans="4:21" x14ac:dyDescent="0.25">
      <c r="F69" s="122">
        <f>+F67/0.0036</f>
        <v>3281.3086421860098</v>
      </c>
      <c r="L69" s="431"/>
      <c r="M69" s="431"/>
      <c r="N69" s="466" t="s">
        <v>669</v>
      </c>
      <c r="O69" s="467"/>
      <c r="P69" s="468"/>
      <c r="Q69" s="431"/>
      <c r="R69" s="431"/>
      <c r="S69" s="431"/>
      <c r="T69" s="431"/>
      <c r="U69" s="431"/>
    </row>
    <row r="70" spans="4:21" x14ac:dyDescent="0.25">
      <c r="L70" s="431"/>
      <c r="M70" s="431"/>
      <c r="N70" s="323" t="s">
        <v>11</v>
      </c>
      <c r="O70" s="338" t="s">
        <v>13</v>
      </c>
      <c r="P70" s="491" t="s">
        <v>557</v>
      </c>
      <c r="Q70" s="431"/>
      <c r="R70" s="431"/>
      <c r="S70" s="465"/>
      <c r="T70" s="431"/>
      <c r="U70" s="431"/>
    </row>
    <row r="71" spans="4:21" x14ac:dyDescent="0.25">
      <c r="L71" s="431"/>
      <c r="M71" s="431"/>
      <c r="N71" s="469" t="s">
        <v>116</v>
      </c>
      <c r="O71" s="454" t="s">
        <v>45</v>
      </c>
      <c r="P71" s="455">
        <f>+P54+P59</f>
        <v>0.26682352941176474</v>
      </c>
      <c r="Q71" s="431"/>
      <c r="R71" s="431"/>
      <c r="S71" s="431"/>
      <c r="T71" s="431"/>
      <c r="U71" s="431"/>
    </row>
    <row r="72" spans="4:21" x14ac:dyDescent="0.25">
      <c r="F72">
        <f>85*24*365/1000</f>
        <v>744.6</v>
      </c>
      <c r="G72" t="s">
        <v>695</v>
      </c>
      <c r="L72" s="431"/>
      <c r="M72" s="431"/>
      <c r="N72" s="454"/>
      <c r="O72" s="454" t="s">
        <v>47</v>
      </c>
      <c r="P72" s="455">
        <f>+P55</f>
        <v>0.6</v>
      </c>
      <c r="Q72" s="431"/>
      <c r="R72" s="431"/>
      <c r="S72" s="431"/>
      <c r="T72" s="431"/>
      <c r="U72" s="431"/>
    </row>
    <row r="73" spans="4:21" x14ac:dyDescent="0.25">
      <c r="F73">
        <f>+F72*0.0036</f>
        <v>2.6805599999999998</v>
      </c>
      <c r="G73" t="s">
        <v>9</v>
      </c>
      <c r="L73" s="431"/>
      <c r="M73" s="431"/>
      <c r="N73" s="454"/>
      <c r="O73" s="454" t="s">
        <v>48</v>
      </c>
      <c r="P73" s="455">
        <f>+P56</f>
        <v>6.2588235294117653E-2</v>
      </c>
      <c r="Q73" s="431"/>
      <c r="R73" s="431"/>
      <c r="S73" s="431"/>
      <c r="T73" s="431"/>
      <c r="U73" s="431"/>
    </row>
    <row r="74" spans="4:21" x14ac:dyDescent="0.25">
      <c r="L74" s="431"/>
      <c r="M74" s="431"/>
      <c r="N74" s="454"/>
      <c r="O74" s="454" t="s">
        <v>49</v>
      </c>
      <c r="P74" s="455">
        <f>+P57</f>
        <v>2.1176470588235293E-2</v>
      </c>
      <c r="Q74" s="431"/>
      <c r="R74" s="431"/>
      <c r="S74" s="431"/>
      <c r="T74" s="431"/>
      <c r="U74" s="431"/>
    </row>
    <row r="75" spans="4:21" x14ac:dyDescent="0.25">
      <c r="L75" s="431"/>
      <c r="M75" s="431"/>
      <c r="N75" s="454"/>
      <c r="O75" s="454" t="s">
        <v>50</v>
      </c>
      <c r="P75" s="455">
        <f>+P58</f>
        <v>1.1294117647058823E-2</v>
      </c>
      <c r="Q75" s="431"/>
      <c r="R75" s="431"/>
      <c r="S75" s="431"/>
      <c r="T75" s="431"/>
      <c r="U75" s="431"/>
    </row>
    <row r="76" spans="4:21" x14ac:dyDescent="0.25">
      <c r="L76" s="431"/>
      <c r="M76" s="431"/>
      <c r="N76" s="454"/>
      <c r="O76" s="454" t="s">
        <v>519</v>
      </c>
      <c r="P76" s="299">
        <f>+P60</f>
        <v>3.8117647058823534E-2</v>
      </c>
      <c r="Q76" s="431"/>
      <c r="R76" s="431"/>
      <c r="S76" s="431"/>
      <c r="T76" s="431"/>
      <c r="U76" s="431"/>
    </row>
    <row r="77" spans="4:21" x14ac:dyDescent="0.25">
      <c r="L77" s="431"/>
      <c r="M77" s="431"/>
      <c r="N77" s="431"/>
      <c r="O77" s="454"/>
      <c r="P77" s="455"/>
      <c r="Q77" s="431"/>
      <c r="R77" s="431"/>
      <c r="S77" s="431"/>
      <c r="T77" s="431"/>
      <c r="U77" s="431"/>
    </row>
    <row r="78" spans="4:21" x14ac:dyDescent="0.25">
      <c r="L78" s="431"/>
      <c r="M78" s="431"/>
      <c r="N78" s="431"/>
      <c r="O78" s="431"/>
      <c r="P78" s="470">
        <f>++SUM(P71:P76)</f>
        <v>1</v>
      </c>
      <c r="Q78" s="431"/>
      <c r="R78" s="431"/>
      <c r="S78" s="431"/>
      <c r="T78" s="431"/>
      <c r="U78" s="431"/>
    </row>
    <row r="79" spans="4:21" x14ac:dyDescent="0.25">
      <c r="L79" s="431"/>
      <c r="M79" s="431"/>
      <c r="N79" s="431"/>
      <c r="O79" s="431"/>
      <c r="P79" s="431"/>
      <c r="Q79" s="431"/>
      <c r="R79" s="431"/>
      <c r="S79" s="431"/>
      <c r="T79" s="431"/>
      <c r="U79" s="431"/>
    </row>
    <row r="80" spans="4:21" x14ac:dyDescent="0.25">
      <c r="L80" s="389" t="s">
        <v>718</v>
      </c>
      <c r="M80" s="490"/>
      <c r="N80" s="490"/>
      <c r="O80" s="490"/>
      <c r="P80" s="490"/>
      <c r="Q80" s="490"/>
      <c r="R80" s="490"/>
      <c r="S80" s="490"/>
      <c r="T80" s="490"/>
      <c r="U80" s="390"/>
    </row>
    <row r="81" spans="1:21" x14ac:dyDescent="0.25">
      <c r="D81" t="s">
        <v>677</v>
      </c>
      <c r="L81" s="148"/>
      <c r="M81" s="431"/>
      <c r="N81" s="431"/>
      <c r="O81" s="431"/>
      <c r="P81" s="431"/>
      <c r="Q81" s="431"/>
      <c r="R81" s="431"/>
      <c r="S81" s="431"/>
      <c r="T81" s="431"/>
      <c r="U81" s="297"/>
    </row>
    <row r="82" spans="1:21" x14ac:dyDescent="0.25">
      <c r="A82" t="s">
        <v>679</v>
      </c>
      <c r="C82" t="s">
        <v>548</v>
      </c>
      <c r="D82">
        <v>0.17</v>
      </c>
      <c r="L82" s="148"/>
      <c r="M82" s="431"/>
      <c r="N82" s="152"/>
      <c r="O82" s="385" t="s">
        <v>253</v>
      </c>
      <c r="P82" s="385" t="s">
        <v>708</v>
      </c>
      <c r="R82" s="431"/>
      <c r="T82" s="493"/>
      <c r="U82" s="297"/>
    </row>
    <row r="83" spans="1:21" x14ac:dyDescent="0.25">
      <c r="A83" t="s">
        <v>678</v>
      </c>
      <c r="C83" t="s">
        <v>548</v>
      </c>
      <c r="D83">
        <v>1.4999999999999999E-2</v>
      </c>
      <c r="L83" s="148"/>
      <c r="M83" s="431"/>
      <c r="N83" s="456" t="s">
        <v>719</v>
      </c>
      <c r="O83" s="431">
        <v>165</v>
      </c>
      <c r="P83" s="457">
        <f>+O83*365*E10/1000</f>
        <v>366.60006424428417</v>
      </c>
      <c r="Q83" s="431"/>
      <c r="R83" s="431"/>
      <c r="S83" s="494"/>
      <c r="T83" s="494"/>
      <c r="U83" s="297"/>
    </row>
    <row r="84" spans="1:21" x14ac:dyDescent="0.25">
      <c r="A84" t="s">
        <v>680</v>
      </c>
      <c r="C84" t="s">
        <v>548</v>
      </c>
      <c r="D84">
        <v>3.5000000000000003E-2</v>
      </c>
      <c r="L84" s="148"/>
      <c r="M84" s="431"/>
      <c r="N84" s="456" t="s">
        <v>641</v>
      </c>
      <c r="O84" s="431">
        <v>155</v>
      </c>
      <c r="P84" s="462">
        <f>+O84*365*E10/1000</f>
        <v>344.3818785325094</v>
      </c>
      <c r="Q84" s="431"/>
      <c r="R84" s="431"/>
      <c r="S84" s="431"/>
      <c r="T84" s="431"/>
      <c r="U84" s="297"/>
    </row>
    <row r="85" spans="1:21" x14ac:dyDescent="0.25">
      <c r="D85">
        <f>+SUM(D82:D84)</f>
        <v>0.22</v>
      </c>
      <c r="E85" t="s">
        <v>681</v>
      </c>
      <c r="L85" s="148"/>
      <c r="M85" s="431"/>
      <c r="N85" s="495" t="s">
        <v>643</v>
      </c>
      <c r="O85" s="496">
        <f>+O84/O83</f>
        <v>0.93939393939393945</v>
      </c>
      <c r="P85" s="431"/>
      <c r="Q85" s="431"/>
      <c r="R85" s="431"/>
      <c r="S85" s="431"/>
      <c r="T85" s="431"/>
      <c r="U85" s="297"/>
    </row>
    <row r="86" spans="1:21" x14ac:dyDescent="0.25">
      <c r="D86">
        <f>+D85*365</f>
        <v>80.3</v>
      </c>
      <c r="E86" t="s">
        <v>682</v>
      </c>
      <c r="L86" s="148"/>
      <c r="M86" s="431"/>
      <c r="N86" s="497" t="s">
        <v>644</v>
      </c>
      <c r="O86" s="498">
        <v>1</v>
      </c>
      <c r="P86" s="431"/>
      <c r="Q86" s="431"/>
      <c r="R86" s="431"/>
      <c r="S86" s="431"/>
      <c r="T86" s="431"/>
      <c r="U86" s="297"/>
    </row>
    <row r="87" spans="1:21" x14ac:dyDescent="0.25">
      <c r="L87" s="148"/>
      <c r="M87" s="431"/>
      <c r="N87" s="431"/>
      <c r="O87" s="431"/>
      <c r="P87" s="431"/>
      <c r="Q87" s="431"/>
      <c r="R87" s="494"/>
      <c r="S87" s="431"/>
      <c r="T87" s="431"/>
      <c r="U87" s="297"/>
    </row>
    <row r="88" spans="1:21" x14ac:dyDescent="0.25">
      <c r="D88">
        <v>150</v>
      </c>
      <c r="E88" t="s">
        <v>683</v>
      </c>
      <c r="L88" s="148"/>
      <c r="M88" s="431"/>
      <c r="N88" s="456" t="s">
        <v>721</v>
      </c>
      <c r="O88" s="503">
        <f>+N64/N50</f>
        <v>0.97945454545454558</v>
      </c>
      <c r="P88" s="503">
        <f>+O64/O50</f>
        <v>1.0171399974978106</v>
      </c>
      <c r="Q88" s="431"/>
      <c r="R88" s="431"/>
      <c r="S88" s="431"/>
      <c r="T88" s="431"/>
      <c r="U88" s="297"/>
    </row>
    <row r="89" spans="1:21" x14ac:dyDescent="0.25">
      <c r="D89">
        <f>+D88*365</f>
        <v>54750</v>
      </c>
      <c r="E89" t="s">
        <v>683</v>
      </c>
      <c r="L89" s="148"/>
      <c r="M89" s="431"/>
      <c r="N89" s="456" t="s">
        <v>720</v>
      </c>
      <c r="O89" s="503">
        <f>+N62/N50</f>
        <v>0.97272727272727277</v>
      </c>
      <c r="P89" s="503">
        <f>+O62/O50</f>
        <v>0.8861920847408149</v>
      </c>
      <c r="Q89" s="431"/>
      <c r="R89" s="431"/>
      <c r="S89" s="431"/>
      <c r="T89" s="431"/>
      <c r="U89" s="297"/>
    </row>
    <row r="90" spans="1:21" x14ac:dyDescent="0.25">
      <c r="L90" s="148"/>
      <c r="M90" s="431"/>
      <c r="N90" s="431"/>
      <c r="O90" s="431"/>
      <c r="P90" s="431"/>
      <c r="Q90" s="431"/>
      <c r="R90" s="431"/>
      <c r="S90" s="431"/>
      <c r="T90" s="431"/>
      <c r="U90" s="297"/>
    </row>
    <row r="91" spans="1:21" x14ac:dyDescent="0.25">
      <c r="L91" s="148"/>
      <c r="M91" s="431"/>
      <c r="N91" s="504" t="s">
        <v>722</v>
      </c>
      <c r="O91" s="505">
        <v>0</v>
      </c>
      <c r="P91" s="431"/>
      <c r="Q91" s="431"/>
      <c r="R91" s="431"/>
      <c r="S91" s="431"/>
      <c r="T91" s="431"/>
      <c r="U91" s="297"/>
    </row>
    <row r="92" spans="1:21" x14ac:dyDescent="0.25">
      <c r="L92" s="151"/>
      <c r="M92" s="152"/>
      <c r="N92" s="152"/>
      <c r="O92" s="152"/>
      <c r="P92" s="152"/>
      <c r="Q92" s="152"/>
      <c r="R92" s="152"/>
      <c r="S92" s="152"/>
      <c r="T92" s="152"/>
      <c r="U92" s="302"/>
    </row>
    <row r="93" spans="1:21" x14ac:dyDescent="0.25">
      <c r="D93" s="382">
        <f>+P83</f>
        <v>366.60006424428417</v>
      </c>
      <c r="E93" t="s">
        <v>9</v>
      </c>
    </row>
    <row r="94" spans="1:21" x14ac:dyDescent="0.25">
      <c r="D94">
        <f>+D86*0.041868</f>
        <v>3.3620003999999999</v>
      </c>
      <c r="E94" t="s">
        <v>9</v>
      </c>
      <c r="F94">
        <f>+D84*0.041868*365</f>
        <v>0.53486370000000005</v>
      </c>
      <c r="N94" s="499" t="s">
        <v>0</v>
      </c>
      <c r="O94" s="347"/>
      <c r="P94" s="347"/>
      <c r="Q94" s="500"/>
      <c r="R94" s="347"/>
    </row>
    <row r="95" spans="1:21" x14ac:dyDescent="0.25">
      <c r="D95" t="s">
        <v>684</v>
      </c>
      <c r="F95" t="s">
        <v>685</v>
      </c>
      <c r="N95" s="343" t="s">
        <v>11</v>
      </c>
      <c r="O95" s="344" t="s">
        <v>1</v>
      </c>
      <c r="P95" s="344" t="s">
        <v>647</v>
      </c>
      <c r="Q95" s="344" t="s">
        <v>557</v>
      </c>
      <c r="R95" s="345" t="s">
        <v>178</v>
      </c>
    </row>
    <row r="96" spans="1:21" x14ac:dyDescent="0.25">
      <c r="D96" s="383">
        <f>+D94/D93</f>
        <v>9.1707578036858417E-3</v>
      </c>
      <c r="F96" s="383">
        <f>+F94/D93</f>
        <v>1.4589841960409296E-3</v>
      </c>
      <c r="N96" s="346" t="s">
        <v>650</v>
      </c>
      <c r="O96" s="340" t="s">
        <v>648</v>
      </c>
      <c r="P96" s="347">
        <v>2019</v>
      </c>
      <c r="Q96" s="347"/>
      <c r="R96" s="353">
        <f>+P84</f>
        <v>344.3818785325094</v>
      </c>
    </row>
    <row r="97" spans="5:25" x14ac:dyDescent="0.25">
      <c r="E97" s="384"/>
      <c r="N97" s="22" t="str">
        <f>+N96</f>
        <v>REF1</v>
      </c>
      <c r="O97" s="22" t="str">
        <f>+O96</f>
        <v>ACT_BND</v>
      </c>
      <c r="P97" s="22">
        <v>2020</v>
      </c>
      <c r="Q97" s="501">
        <f>+P83</f>
        <v>366.60006424428417</v>
      </c>
      <c r="R97" s="326"/>
    </row>
    <row r="98" spans="5:25" x14ac:dyDescent="0.25">
      <c r="N98" s="346" t="s">
        <v>650</v>
      </c>
      <c r="O98" s="346" t="s">
        <v>31</v>
      </c>
      <c r="P98" s="347">
        <v>2019</v>
      </c>
      <c r="Q98" s="347"/>
      <c r="R98" s="328">
        <f>+P89*P40</f>
        <v>0.87126236855428152</v>
      </c>
    </row>
    <row r="99" spans="5:25" x14ac:dyDescent="0.25">
      <c r="N99" s="347" t="s">
        <v>650</v>
      </c>
      <c r="O99" s="348" t="s">
        <v>649</v>
      </c>
      <c r="P99" s="349">
        <v>2019</v>
      </c>
      <c r="Q99" s="502"/>
      <c r="R99" s="351">
        <f>+O91</f>
        <v>0</v>
      </c>
    </row>
    <row r="100" spans="5:25" x14ac:dyDescent="0.25">
      <c r="N100" s="22"/>
      <c r="O100" s="22"/>
      <c r="P100" s="22"/>
      <c r="Q100" s="22"/>
      <c r="R100" s="22"/>
    </row>
    <row r="103" spans="5:25" x14ac:dyDescent="0.25">
      <c r="L103" s="389" t="s">
        <v>723</v>
      </c>
      <c r="M103" s="490"/>
      <c r="N103" s="490"/>
      <c r="O103" s="490"/>
      <c r="P103" s="490"/>
      <c r="Q103" s="490"/>
      <c r="R103" s="490"/>
      <c r="S103" s="490"/>
      <c r="T103" s="490"/>
      <c r="U103" s="390"/>
    </row>
    <row r="104" spans="5:25" x14ac:dyDescent="0.25">
      <c r="L104" s="148"/>
      <c r="M104" s="431"/>
      <c r="N104" s="431"/>
      <c r="O104" s="431"/>
      <c r="P104" s="431"/>
      <c r="Q104" s="431"/>
      <c r="R104" s="431"/>
      <c r="S104" s="431"/>
      <c r="T104" s="431"/>
      <c r="U104" s="297"/>
      <c r="X104">
        <v>4.5</v>
      </c>
      <c r="Y104" t="s">
        <v>701</v>
      </c>
    </row>
    <row r="105" spans="5:25" x14ac:dyDescent="0.25">
      <c r="L105" s="148"/>
      <c r="M105" s="431"/>
      <c r="N105" s="431"/>
      <c r="P105" s="431"/>
      <c r="Q105" s="431"/>
      <c r="R105" s="431"/>
      <c r="S105" s="431"/>
      <c r="T105" s="431"/>
      <c r="U105" s="297"/>
      <c r="X105">
        <v>1</v>
      </c>
      <c r="Y105" t="s">
        <v>697</v>
      </c>
    </row>
    <row r="106" spans="5:25" x14ac:dyDescent="0.25">
      <c r="L106" s="148"/>
      <c r="M106" s="431"/>
      <c r="N106" s="507"/>
      <c r="O106" s="512" t="s">
        <v>253</v>
      </c>
      <c r="P106" s="512" t="s">
        <v>708</v>
      </c>
      <c r="Q106" s="431"/>
      <c r="R106" s="431"/>
      <c r="S106" s="431"/>
      <c r="T106" s="431"/>
      <c r="U106" s="297"/>
    </row>
    <row r="107" spans="5:25" x14ac:dyDescent="0.25">
      <c r="L107" s="148"/>
      <c r="M107" s="431"/>
      <c r="N107" s="510" t="s">
        <v>725</v>
      </c>
      <c r="O107" s="509">
        <f>394.77/299.7</f>
        <v>1.3172172172172172</v>
      </c>
      <c r="P107" s="508">
        <f>+O107</f>
        <v>1.3172172172172172</v>
      </c>
      <c r="Q107" s="431" t="s">
        <v>726</v>
      </c>
      <c r="R107" s="431"/>
      <c r="S107" s="431"/>
      <c r="T107" s="431"/>
      <c r="U107" s="297"/>
      <c r="X107">
        <f>+O34*1000000</f>
        <v>74825000</v>
      </c>
      <c r="Y107" t="s">
        <v>697</v>
      </c>
    </row>
    <row r="108" spans="5:25" x14ac:dyDescent="0.25">
      <c r="L108" s="148"/>
      <c r="M108" s="431"/>
      <c r="N108" s="431"/>
      <c r="O108" s="431"/>
      <c r="P108" s="431"/>
      <c r="Q108" s="431"/>
      <c r="R108" s="431"/>
      <c r="S108" s="431"/>
      <c r="T108" s="431"/>
      <c r="U108" s="297"/>
    </row>
    <row r="109" spans="5:25" x14ac:dyDescent="0.25">
      <c r="L109" s="148"/>
      <c r="M109" s="431"/>
      <c r="N109" s="334" t="s">
        <v>728</v>
      </c>
      <c r="R109" s="431"/>
      <c r="S109" s="431"/>
      <c r="T109" s="431"/>
      <c r="U109" s="297"/>
      <c r="X109">
        <f>+X107*X104</f>
        <v>336712500</v>
      </c>
      <c r="Y109" t="s">
        <v>702</v>
      </c>
    </row>
    <row r="110" spans="5:25" x14ac:dyDescent="0.25">
      <c r="L110" s="148"/>
      <c r="M110" s="431"/>
      <c r="N110" s="456" t="s">
        <v>727</v>
      </c>
      <c r="O110" s="511">
        <f>79/(9*1000*24*365)</f>
        <v>1.002029426686961E-6</v>
      </c>
      <c r="P110" s="494">
        <f>+(O110/119.96)*1000000000</f>
        <v>8.3530295655798685</v>
      </c>
      <c r="Q110" s="431" t="s">
        <v>134</v>
      </c>
      <c r="R110" s="431"/>
      <c r="S110" s="431"/>
      <c r="T110" s="431"/>
      <c r="U110" s="297"/>
      <c r="X110">
        <f>+X109*35.3147</f>
        <v>11890900923.75</v>
      </c>
      <c r="Y110" t="s">
        <v>703</v>
      </c>
    </row>
    <row r="111" spans="5:25" x14ac:dyDescent="0.25">
      <c r="L111" s="148"/>
      <c r="M111" s="431"/>
      <c r="N111" s="431"/>
      <c r="O111" s="431"/>
      <c r="P111" s="431"/>
      <c r="Q111" s="431"/>
      <c r="R111" s="431"/>
      <c r="S111" s="431"/>
      <c r="T111" s="431"/>
      <c r="U111" s="297"/>
      <c r="X111">
        <f>+X110/(1000000)</f>
        <v>11890.900923749999</v>
      </c>
      <c r="Y111" t="s">
        <v>704</v>
      </c>
    </row>
    <row r="112" spans="5:25" x14ac:dyDescent="0.25">
      <c r="L112" s="151"/>
      <c r="M112" s="152"/>
      <c r="N112" s="152"/>
      <c r="O112" s="152"/>
      <c r="P112" s="152"/>
      <c r="Q112" s="152"/>
      <c r="R112" s="152"/>
      <c r="S112" s="152"/>
      <c r="T112" s="152"/>
      <c r="U112" s="302"/>
      <c r="X112" s="122">
        <f>+X111/365</f>
        <v>32.577810749999998</v>
      </c>
    </row>
    <row r="113" spans="2:21" x14ac:dyDescent="0.25">
      <c r="M113" s="449"/>
      <c r="N113" s="449"/>
      <c r="O113" s="449"/>
      <c r="P113" s="449"/>
      <c r="Q113" s="449"/>
      <c r="R113" s="449"/>
    </row>
    <row r="114" spans="2:21" x14ac:dyDescent="0.25">
      <c r="M114" s="449"/>
      <c r="N114" s="520" t="s">
        <v>0</v>
      </c>
      <c r="O114" s="516"/>
      <c r="P114" s="516"/>
      <c r="Q114" s="521"/>
      <c r="R114" s="516"/>
    </row>
    <row r="115" spans="2:21" x14ac:dyDescent="0.25">
      <c r="M115" s="449"/>
      <c r="N115" s="356" t="s">
        <v>11</v>
      </c>
      <c r="O115" s="356" t="s">
        <v>1</v>
      </c>
      <c r="P115" s="356" t="s">
        <v>647</v>
      </c>
      <c r="Q115" s="356" t="s">
        <v>557</v>
      </c>
      <c r="R115" s="522" t="s">
        <v>178</v>
      </c>
    </row>
    <row r="116" spans="2:21" x14ac:dyDescent="0.25">
      <c r="M116" s="449"/>
      <c r="N116" s="523" t="s">
        <v>627</v>
      </c>
      <c r="O116" s="523" t="s">
        <v>648</v>
      </c>
      <c r="P116" s="517">
        <v>2019</v>
      </c>
      <c r="Q116" s="524"/>
      <c r="R116" s="523"/>
    </row>
    <row r="117" spans="2:21" x14ac:dyDescent="0.25">
      <c r="M117" s="449"/>
      <c r="N117" s="523" t="s">
        <v>627</v>
      </c>
      <c r="O117" s="517" t="s">
        <v>31</v>
      </c>
      <c r="P117" s="517">
        <v>2019</v>
      </c>
      <c r="Q117" s="516"/>
      <c r="R117" s="518">
        <f>1/P107</f>
        <v>0.75917622919674754</v>
      </c>
    </row>
    <row r="118" spans="2:21" x14ac:dyDescent="0.25">
      <c r="M118" s="449"/>
      <c r="N118" s="516"/>
      <c r="O118" s="516"/>
      <c r="P118" s="516"/>
      <c r="Q118" s="516"/>
      <c r="R118" s="516"/>
    </row>
    <row r="119" spans="2:21" x14ac:dyDescent="0.25">
      <c r="M119" s="449"/>
      <c r="N119" s="516"/>
      <c r="O119" s="516"/>
      <c r="P119" s="516"/>
      <c r="Q119" s="516"/>
      <c r="R119" s="516"/>
    </row>
    <row r="120" spans="2:21" x14ac:dyDescent="0.25">
      <c r="M120" s="449"/>
      <c r="N120" s="360" t="s">
        <v>0</v>
      </c>
      <c r="O120" s="361"/>
      <c r="P120" s="362"/>
      <c r="Q120" s="516"/>
      <c r="R120" s="516"/>
    </row>
    <row r="121" spans="2:21" x14ac:dyDescent="0.25">
      <c r="M121" s="449"/>
      <c r="N121" s="356" t="s">
        <v>11</v>
      </c>
      <c r="O121" s="356" t="s">
        <v>12</v>
      </c>
      <c r="P121" s="356" t="s">
        <v>13</v>
      </c>
      <c r="Q121" s="516"/>
      <c r="R121" s="516"/>
    </row>
    <row r="122" spans="2:21" x14ac:dyDescent="0.25">
      <c r="M122" s="449"/>
      <c r="N122" s="519" t="s">
        <v>627</v>
      </c>
      <c r="O122" s="519" t="s">
        <v>51</v>
      </c>
      <c r="P122" s="519" t="s">
        <v>548</v>
      </c>
      <c r="Q122" s="516"/>
      <c r="R122" s="516"/>
    </row>
    <row r="123" spans="2:21" x14ac:dyDescent="0.25">
      <c r="M123" s="449"/>
      <c r="N123" s="449"/>
      <c r="O123" s="449"/>
      <c r="P123" s="449"/>
      <c r="Q123" s="449"/>
      <c r="R123" s="449"/>
    </row>
    <row r="124" spans="2:21" x14ac:dyDescent="0.25">
      <c r="B124">
        <v>90</v>
      </c>
      <c r="C124" t="s">
        <v>705</v>
      </c>
      <c r="M124" s="449"/>
      <c r="N124" s="449"/>
      <c r="O124" s="449"/>
      <c r="P124" s="449"/>
      <c r="Q124" s="449"/>
      <c r="R124" s="449"/>
    </row>
    <row r="125" spans="2:21" x14ac:dyDescent="0.25">
      <c r="B125">
        <f>+B124*365*1000000</f>
        <v>32850000000</v>
      </c>
      <c r="C125" t="s">
        <v>436</v>
      </c>
      <c r="M125" s="449"/>
      <c r="N125" s="449"/>
      <c r="O125" s="449"/>
      <c r="P125" s="449"/>
      <c r="Q125" s="449"/>
      <c r="R125" s="449"/>
    </row>
    <row r="126" spans="2:21" x14ac:dyDescent="0.25">
      <c r="B126">
        <f>+B125/35.3147</f>
        <v>930207533.9731046</v>
      </c>
      <c r="C126" t="s">
        <v>425</v>
      </c>
    </row>
    <row r="127" spans="2:21" x14ac:dyDescent="0.25">
      <c r="B127">
        <f>+B126*'Bases de Cálculo'!B34</f>
        <v>83607053.153502643</v>
      </c>
      <c r="C127" t="s">
        <v>697</v>
      </c>
      <c r="D127">
        <f>+B127/1000000</f>
        <v>83.607053153502648</v>
      </c>
      <c r="E127" t="s">
        <v>101</v>
      </c>
      <c r="L127" s="389" t="s">
        <v>729</v>
      </c>
      <c r="M127" s="490"/>
      <c r="N127" s="490"/>
      <c r="O127" s="490"/>
      <c r="P127" s="490"/>
      <c r="Q127" s="490"/>
      <c r="R127" s="490"/>
      <c r="S127" s="490"/>
      <c r="T127" s="490"/>
      <c r="U127" s="390"/>
    </row>
    <row r="128" spans="2:21" x14ac:dyDescent="0.25">
      <c r="L128" s="175"/>
      <c r="M128" s="538"/>
      <c r="N128" s="538"/>
      <c r="O128" s="538"/>
      <c r="P128" s="538"/>
      <c r="Q128" s="538"/>
      <c r="R128" s="538"/>
      <c r="S128" s="538"/>
      <c r="T128" s="538"/>
      <c r="U128" s="186"/>
    </row>
    <row r="129" spans="2:21" x14ac:dyDescent="0.25">
      <c r="B129">
        <f>+B127/1000000</f>
        <v>83.607053153502648</v>
      </c>
      <c r="C129" t="s">
        <v>101</v>
      </c>
      <c r="L129" s="148"/>
      <c r="M129" s="370" t="s">
        <v>732</v>
      </c>
      <c r="N129" s="385" t="s">
        <v>734</v>
      </c>
      <c r="O129" s="385" t="s">
        <v>708</v>
      </c>
      <c r="P129" s="152"/>
      <c r="Q129" s="152" t="s">
        <v>735</v>
      </c>
      <c r="R129" s="452"/>
      <c r="S129" s="538"/>
      <c r="T129" s="538"/>
      <c r="U129" s="297"/>
    </row>
    <row r="130" spans="2:21" x14ac:dyDescent="0.25">
      <c r="L130" s="148"/>
      <c r="M130" s="334" t="s">
        <v>733</v>
      </c>
      <c r="N130" s="433">
        <v>58</v>
      </c>
      <c r="O130" s="461">
        <f>+N130*365*E7/1000</f>
        <v>21.37232897677039</v>
      </c>
      <c r="P130" t="s">
        <v>9</v>
      </c>
      <c r="Q130" s="494">
        <f>O130/(85*24*365*0.0036/1000)</f>
        <v>7.9730836007290984</v>
      </c>
      <c r="R130" s="476" t="s">
        <v>737</v>
      </c>
      <c r="S130" s="431"/>
      <c r="T130" s="431"/>
      <c r="U130" s="297"/>
    </row>
    <row r="131" spans="2:21" x14ac:dyDescent="0.25">
      <c r="L131" s="148"/>
      <c r="M131" s="456" t="s">
        <v>518</v>
      </c>
      <c r="N131" s="433">
        <v>33.799999999999997</v>
      </c>
      <c r="O131" s="461">
        <f>0.81*365*0.041868</f>
        <v>12.378274200000002</v>
      </c>
      <c r="P131" t="s">
        <v>9</v>
      </c>
      <c r="Q131" s="494">
        <f>+O131/(O33*0.0036)</f>
        <v>3.9306260817079615</v>
      </c>
      <c r="R131" s="431" t="s">
        <v>736</v>
      </c>
      <c r="S131" s="431"/>
      <c r="T131" s="431"/>
      <c r="U131" s="297"/>
    </row>
    <row r="132" spans="2:21" x14ac:dyDescent="0.25">
      <c r="L132" s="148"/>
      <c r="M132" s="431"/>
      <c r="O132" s="431"/>
      <c r="P132" s="431"/>
      <c r="Q132" s="494">
        <f>+Q131+Q130</f>
        <v>11.903709682437061</v>
      </c>
      <c r="R132" s="431"/>
      <c r="S132" s="431"/>
      <c r="T132" s="431"/>
      <c r="U132" s="297"/>
    </row>
    <row r="133" spans="2:21" x14ac:dyDescent="0.25">
      <c r="L133" s="148"/>
      <c r="M133" s="431"/>
      <c r="N133" s="456"/>
      <c r="O133" s="431"/>
      <c r="P133" s="431"/>
      <c r="Q133" s="431"/>
      <c r="R133" s="431"/>
      <c r="S133" s="431"/>
      <c r="T133" s="431"/>
      <c r="U133" s="297"/>
    </row>
    <row r="134" spans="2:21" x14ac:dyDescent="0.25">
      <c r="L134" s="148"/>
      <c r="M134" s="431"/>
      <c r="N134" s="456"/>
      <c r="O134" s="431"/>
      <c r="P134" s="431"/>
      <c r="Q134" s="431"/>
      <c r="R134" s="431"/>
      <c r="S134" s="431"/>
      <c r="T134" s="431"/>
      <c r="U134" s="297"/>
    </row>
    <row r="135" spans="2:21" x14ac:dyDescent="0.25">
      <c r="L135" s="148"/>
      <c r="M135" s="431"/>
      <c r="N135" s="456" t="s">
        <v>738</v>
      </c>
      <c r="O135" s="431">
        <v>150</v>
      </c>
      <c r="P135" s="431" t="s">
        <v>724</v>
      </c>
      <c r="Q135" s="431"/>
      <c r="R135" s="431"/>
      <c r="S135" s="431"/>
      <c r="T135" s="431"/>
      <c r="U135" s="297"/>
    </row>
    <row r="136" spans="2:21" x14ac:dyDescent="0.25">
      <c r="L136" s="148"/>
      <c r="M136" s="431"/>
      <c r="N136" s="456" t="s">
        <v>731</v>
      </c>
      <c r="O136" s="299">
        <f>1/(1+11.9)</f>
        <v>7.7519379844961239E-2</v>
      </c>
      <c r="P136" s="431"/>
      <c r="Q136" s="431"/>
      <c r="R136" s="431"/>
      <c r="S136" s="431"/>
      <c r="T136" s="431"/>
      <c r="U136" s="297"/>
    </row>
    <row r="137" spans="2:21" x14ac:dyDescent="0.25">
      <c r="L137" s="148"/>
      <c r="M137" s="431"/>
      <c r="N137" s="431"/>
      <c r="O137" s="431"/>
      <c r="P137" s="431"/>
      <c r="Q137" s="431"/>
      <c r="R137" s="431"/>
      <c r="S137" s="431"/>
      <c r="T137" s="431"/>
      <c r="U137" s="297"/>
    </row>
    <row r="138" spans="2:21" x14ac:dyDescent="0.25">
      <c r="L138" s="151"/>
      <c r="M138" s="152"/>
      <c r="N138" s="152"/>
      <c r="O138" s="152"/>
      <c r="P138" s="152"/>
      <c r="Q138" s="152"/>
      <c r="R138" s="152"/>
      <c r="S138" s="152"/>
      <c r="T138" s="152"/>
      <c r="U138" s="302"/>
    </row>
    <row r="141" spans="2:21" x14ac:dyDescent="0.25">
      <c r="N141" s="322" t="s">
        <v>0</v>
      </c>
      <c r="O141" s="1"/>
      <c r="P141" s="1"/>
      <c r="Q141" s="3"/>
      <c r="R141" s="1"/>
      <c r="S141" s="1"/>
    </row>
    <row r="142" spans="2:21" x14ac:dyDescent="0.25">
      <c r="N142" s="338" t="s">
        <v>11</v>
      </c>
      <c r="O142" s="338" t="s">
        <v>1</v>
      </c>
      <c r="P142" s="338" t="s">
        <v>647</v>
      </c>
      <c r="Q142" s="338" t="s">
        <v>557</v>
      </c>
      <c r="R142" s="513" t="s">
        <v>178</v>
      </c>
      <c r="S142" s="1"/>
    </row>
    <row r="143" spans="2:21" x14ac:dyDescent="0.25">
      <c r="N143" s="514" t="s">
        <v>629</v>
      </c>
      <c r="O143" s="514" t="s">
        <v>648</v>
      </c>
      <c r="P143" s="515">
        <v>2019</v>
      </c>
      <c r="Q143" s="539">
        <f>+O135*24*365*0.0036/1000</f>
        <v>4.7303999999999995</v>
      </c>
      <c r="R143" s="514"/>
      <c r="S143" s="1"/>
    </row>
    <row r="144" spans="2:21" x14ac:dyDescent="0.25">
      <c r="N144" s="525" t="s">
        <v>629</v>
      </c>
      <c r="O144" s="526" t="s">
        <v>31</v>
      </c>
      <c r="P144" s="527">
        <v>2019</v>
      </c>
      <c r="Q144" s="528"/>
      <c r="R144" s="529">
        <f>+O136</f>
        <v>7.7519379844961239E-2</v>
      </c>
      <c r="S144" s="1"/>
    </row>
    <row r="145" spans="14:19" x14ac:dyDescent="0.25">
      <c r="N145" s="514"/>
      <c r="O145" s="514"/>
      <c r="P145" s="16"/>
      <c r="Q145" s="1"/>
      <c r="R145" s="530"/>
      <c r="S145" s="1"/>
    </row>
    <row r="146" spans="14:19" x14ac:dyDescent="0.25">
      <c r="N146" s="16"/>
      <c r="O146" s="531"/>
      <c r="P146" s="532"/>
      <c r="Q146" s="533"/>
      <c r="R146" s="534"/>
      <c r="S146" s="1"/>
    </row>
    <row r="147" spans="14:19" x14ac:dyDescent="0.25">
      <c r="N147" s="354" t="s">
        <v>655</v>
      </c>
      <c r="O147" s="355"/>
      <c r="P147" s="2"/>
      <c r="Q147" s="1"/>
      <c r="R147" s="1"/>
      <c r="S147" s="1"/>
    </row>
    <row r="148" spans="14:19" x14ac:dyDescent="0.25">
      <c r="N148" s="338" t="s">
        <v>11</v>
      </c>
      <c r="O148" s="338" t="s">
        <v>12</v>
      </c>
      <c r="P148" s="338" t="s">
        <v>178</v>
      </c>
      <c r="Q148" s="1"/>
      <c r="R148" s="1"/>
      <c r="S148" s="1"/>
    </row>
    <row r="149" spans="14:19" x14ac:dyDescent="0.25">
      <c r="N149" s="1" t="s">
        <v>629</v>
      </c>
      <c r="O149" s="372" t="s">
        <v>519</v>
      </c>
      <c r="P149" s="535">
        <f>+Q131/Q132</f>
        <v>0.33020177630064979</v>
      </c>
      <c r="Q149" s="1"/>
      <c r="R149" s="536"/>
      <c r="S149" s="1"/>
    </row>
    <row r="150" spans="14:19" x14ac:dyDescent="0.25">
      <c r="N150" s="1"/>
      <c r="O150" s="1" t="s">
        <v>51</v>
      </c>
      <c r="P150" s="535">
        <f>+Q130/Q132</f>
        <v>0.66979822369935016</v>
      </c>
      <c r="Q150" s="1"/>
      <c r="R150" s="536"/>
      <c r="S150" s="1"/>
    </row>
    <row r="151" spans="14:19" x14ac:dyDescent="0.25">
      <c r="N151" s="1"/>
      <c r="O151" s="1"/>
      <c r="P151" s="535"/>
      <c r="Q151" s="1"/>
      <c r="R151" s="536"/>
      <c r="S151" s="1"/>
    </row>
    <row r="152" spans="14:19" x14ac:dyDescent="0.25">
      <c r="N152" s="1"/>
      <c r="O152" s="1"/>
      <c r="P152" s="1"/>
      <c r="Q152" s="1"/>
      <c r="R152" s="1"/>
      <c r="S152" s="1"/>
    </row>
    <row r="153" spans="14:19" x14ac:dyDescent="0.25">
      <c r="N153" s="1"/>
      <c r="O153" s="1"/>
      <c r="P153" s="1"/>
      <c r="Q153" s="1"/>
      <c r="R153" s="1"/>
      <c r="S153" s="1"/>
    </row>
    <row r="154" spans="14:19" x14ac:dyDescent="0.25">
      <c r="N154" s="322" t="s">
        <v>0</v>
      </c>
      <c r="O154" s="355"/>
      <c r="P154" s="2"/>
      <c r="Q154" s="1"/>
      <c r="R154" s="1"/>
      <c r="S154" s="1"/>
    </row>
    <row r="155" spans="14:19" x14ac:dyDescent="0.25">
      <c r="N155" s="338" t="s">
        <v>11</v>
      </c>
      <c r="O155" s="338" t="s">
        <v>13</v>
      </c>
      <c r="P155" s="338"/>
      <c r="Q155" s="1"/>
      <c r="R155" s="1"/>
      <c r="S155" s="1"/>
    </row>
    <row r="156" spans="14:19" x14ac:dyDescent="0.25">
      <c r="N156" s="1" t="s">
        <v>629</v>
      </c>
      <c r="O156" s="537" t="s">
        <v>730</v>
      </c>
      <c r="P156" s="1"/>
      <c r="Q156" s="1"/>
      <c r="R156" s="1"/>
      <c r="S156" s="1"/>
    </row>
    <row r="193" spans="15:16" x14ac:dyDescent="0.25">
      <c r="O193">
        <v>245</v>
      </c>
      <c r="P193" t="s">
        <v>698</v>
      </c>
    </row>
    <row r="194" spans="15:16" x14ac:dyDescent="0.25">
      <c r="O194">
        <f>+O193*365</f>
        <v>89425</v>
      </c>
      <c r="P194" t="s">
        <v>699</v>
      </c>
    </row>
    <row r="195" spans="15:16" x14ac:dyDescent="0.25">
      <c r="O195">
        <f>+O194/1000</f>
        <v>89.424999999999997</v>
      </c>
      <c r="P195" t="s">
        <v>682</v>
      </c>
    </row>
  </sheetData>
  <mergeCells count="10">
    <mergeCell ref="L47:U47"/>
    <mergeCell ref="L80:U80"/>
    <mergeCell ref="L103:U103"/>
    <mergeCell ref="L127:U127"/>
    <mergeCell ref="L28:U28"/>
    <mergeCell ref="L7:U7"/>
    <mergeCell ref="R10:S10"/>
    <mergeCell ref="O12:O13"/>
    <mergeCell ref="S12:S13"/>
    <mergeCell ref="N9:P9"/>
  </mergeCells>
  <pageMargins left="0.7" right="0.7" top="0.75" bottom="0.75" header="0.3" footer="0.3"/>
  <pageSetup paperSize="9" orientation="portrait" r:id="rId1"/>
  <ignoredErrors>
    <ignoredError sqref="N62" formulaRange="1"/>
    <ignoredError sqref="O62" formula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4F397-B4E6-48EA-A874-EF26128F81AD}">
  <dimension ref="A2:U87"/>
  <sheetViews>
    <sheetView showGridLines="0" topLeftCell="D55" zoomScale="130" zoomScaleNormal="130" workbookViewId="0">
      <selection activeCell="O67" sqref="O67"/>
    </sheetView>
  </sheetViews>
  <sheetFormatPr baseColWidth="10" defaultRowHeight="15" x14ac:dyDescent="0.25"/>
  <cols>
    <col min="1" max="1" width="6.7109375" customWidth="1"/>
    <col min="2" max="2" width="2.5703125" customWidth="1"/>
    <col min="3" max="3" width="15.28515625" customWidth="1"/>
    <col min="4" max="4" width="34.5703125" customWidth="1"/>
    <col min="7" max="7" width="9" customWidth="1"/>
    <col min="8" max="11" width="6.5703125" customWidth="1"/>
    <col min="12" max="12" width="28.140625" customWidth="1"/>
    <col min="13" max="13" width="29.85546875" customWidth="1"/>
    <col min="14" max="14" width="15.85546875" customWidth="1"/>
    <col min="15" max="15" width="11.28515625" customWidth="1"/>
    <col min="16" max="16" width="12.7109375" customWidth="1"/>
    <col min="17" max="17" width="22.5703125" customWidth="1"/>
    <col min="18" max="18" width="13.140625" bestFit="1" customWidth="1"/>
    <col min="19" max="19" width="13.140625" customWidth="1"/>
    <col min="20" max="20" width="19.5703125" customWidth="1"/>
  </cols>
  <sheetData>
    <row r="2" spans="3:20" x14ac:dyDescent="0.25">
      <c r="C2" t="s">
        <v>633</v>
      </c>
      <c r="D2">
        <v>142500</v>
      </c>
      <c r="E2" t="s">
        <v>659</v>
      </c>
      <c r="F2">
        <v>1.4250000000000001E-7</v>
      </c>
      <c r="G2" t="s">
        <v>660</v>
      </c>
    </row>
    <row r="4" spans="3:20" x14ac:dyDescent="0.25">
      <c r="E4" s="19" t="str">
        <f>'Bases de Cálculo'!F3</f>
        <v>PCI</v>
      </c>
      <c r="F4" s="19" t="str">
        <f>'Bases de Cálculo'!G3</f>
        <v>F.E. CO2eq</v>
      </c>
      <c r="G4" s="19"/>
      <c r="H4" s="19"/>
      <c r="I4" s="19"/>
      <c r="J4" s="19"/>
      <c r="K4" s="19"/>
    </row>
    <row r="5" spans="3:20" x14ac:dyDescent="0.25">
      <c r="E5" s="19" t="str">
        <f>'Bases de Cálculo'!F4</f>
        <v>PJ/bl*</v>
      </c>
      <c r="F5" s="19" t="str">
        <f>'Bases de Cálculo'!G4</f>
        <v>kt/PJ</v>
      </c>
      <c r="G5" s="19"/>
      <c r="H5" s="19"/>
      <c r="I5" s="19"/>
      <c r="J5" s="19"/>
      <c r="K5" s="19"/>
    </row>
    <row r="6" spans="3:20" x14ac:dyDescent="0.25">
      <c r="D6" t="str">
        <f>'Bases de Cálculo'!B5</f>
        <v>Energético</v>
      </c>
      <c r="E6" s="19" t="str">
        <f>'Bases de Cálculo'!F5</f>
        <v>TJ/kbl*</v>
      </c>
      <c r="F6" s="19" t="str">
        <f>'Bases de Cálculo'!G5</f>
        <v>t/TJ</v>
      </c>
      <c r="G6" s="19"/>
      <c r="H6" s="19"/>
      <c r="I6" s="19"/>
      <c r="J6" s="19"/>
      <c r="K6" s="19"/>
    </row>
    <row r="7" spans="3:20" x14ac:dyDescent="0.25">
      <c r="C7" s="19" t="str">
        <f>'Bases de Cálculo'!E6</f>
        <v>GAS</v>
      </c>
      <c r="D7" s="143" t="str">
        <f>'Bases de Cálculo'!B6</f>
        <v>Gas Natural</v>
      </c>
      <c r="E7" s="311">
        <f>'Bases de Cálculo'!F6</f>
        <v>1.0095573442026637</v>
      </c>
      <c r="F7" s="312">
        <f>'Bases de Cálculo'!G6</f>
        <v>55.539114956987063</v>
      </c>
      <c r="G7" s="122"/>
      <c r="H7" s="122"/>
      <c r="I7" s="122"/>
      <c r="J7" s="122"/>
      <c r="K7" s="122"/>
      <c r="L7" s="424" t="s">
        <v>617</v>
      </c>
      <c r="M7" s="425"/>
      <c r="N7" s="425"/>
      <c r="O7" s="425"/>
      <c r="P7" s="425"/>
      <c r="Q7" s="425"/>
      <c r="R7" s="425"/>
      <c r="S7" s="425"/>
      <c r="T7" s="426"/>
    </row>
    <row r="8" spans="3:20" x14ac:dyDescent="0.25">
      <c r="C8" s="19" t="str">
        <f>'Bases de Cálculo'!E7</f>
        <v>LOIL</v>
      </c>
      <c r="D8" s="143" t="str">
        <f>'Bases de Cálculo'!B7</f>
        <v>Petróleo liviano</v>
      </c>
      <c r="E8" s="311">
        <f>'Bases de Cálculo'!F7</f>
        <v>6.0871741676095334</v>
      </c>
      <c r="F8" s="312">
        <f>'Bases de Cálculo'!G7</f>
        <v>77.841777688967127</v>
      </c>
      <c r="G8" s="122"/>
      <c r="H8" s="122"/>
      <c r="I8" s="122"/>
      <c r="J8" s="122"/>
      <c r="K8" s="122"/>
      <c r="L8" s="148"/>
      <c r="T8" s="297"/>
    </row>
    <row r="9" spans="3:20" x14ac:dyDescent="0.25">
      <c r="C9" s="19" t="str">
        <f>'Bases de Cálculo'!E8</f>
        <v>MOIL</v>
      </c>
      <c r="D9" s="148" t="str">
        <f>'Bases de Cálculo'!B8</f>
        <v>Petróleo mediano</v>
      </c>
      <c r="E9" s="122">
        <f>+E8</f>
        <v>6.0871741676095334</v>
      </c>
      <c r="F9" s="313">
        <f>+F8</f>
        <v>77.841777688967127</v>
      </c>
      <c r="G9" s="122"/>
      <c r="H9" s="122"/>
      <c r="I9" s="122"/>
      <c r="J9" s="122"/>
      <c r="K9" s="122"/>
      <c r="L9" s="148"/>
      <c r="T9" s="297"/>
    </row>
    <row r="10" spans="3:20" x14ac:dyDescent="0.25">
      <c r="C10" s="19" t="str">
        <f>'Bases de Cálculo'!E9</f>
        <v>HOIL</v>
      </c>
      <c r="D10" s="151" t="str">
        <f>'Bases de Cálculo'!B9</f>
        <v>Petróleo pesado</v>
      </c>
      <c r="E10" s="314">
        <f>+E9</f>
        <v>6.0871741676095334</v>
      </c>
      <c r="F10" s="315">
        <f>+F9</f>
        <v>77.841777688967127</v>
      </c>
      <c r="G10" s="122"/>
      <c r="H10" s="122"/>
      <c r="I10" s="122"/>
      <c r="J10" s="122"/>
      <c r="K10" s="122"/>
      <c r="L10" s="148"/>
      <c r="M10" s="424" t="s">
        <v>618</v>
      </c>
      <c r="N10" s="426"/>
      <c r="O10" s="19"/>
      <c r="Q10" s="424" t="s">
        <v>618</v>
      </c>
      <c r="R10" s="426"/>
      <c r="S10" s="19"/>
      <c r="T10" s="297"/>
    </row>
    <row r="11" spans="3:20" x14ac:dyDescent="0.25">
      <c r="C11" s="19" t="str">
        <f>'Bases de Cálculo'!E10</f>
        <v>GSL</v>
      </c>
      <c r="D11" s="143" t="str">
        <f>'Bases de Cálculo'!B10</f>
        <v>Gasolina antes de blending</v>
      </c>
      <c r="E11" s="311">
        <f>'Bases de Cálculo'!F10</f>
        <v>5.3308987344700309</v>
      </c>
      <c r="F11" s="312">
        <f>'Bases de Cálculo'!G10</f>
        <v>69.193827140333724</v>
      </c>
      <c r="G11" s="122"/>
      <c r="H11" s="122"/>
      <c r="I11" s="122"/>
      <c r="J11" s="122"/>
      <c r="K11" s="122"/>
      <c r="L11" s="148"/>
      <c r="M11" s="316" t="s">
        <v>619</v>
      </c>
      <c r="N11" s="317">
        <v>0.3</v>
      </c>
      <c r="O11" s="290"/>
      <c r="Q11" s="318" t="s">
        <v>622</v>
      </c>
      <c r="R11" s="319">
        <v>0.3</v>
      </c>
      <c r="S11" s="290"/>
      <c r="T11" s="297"/>
    </row>
    <row r="12" spans="3:20" x14ac:dyDescent="0.25">
      <c r="C12" s="19" t="str">
        <f>'Bases de Cálculo'!E11</f>
        <v>DSL</v>
      </c>
      <c r="D12" s="148" t="str">
        <f>'Bases de Cálculo'!B11</f>
        <v>Diesel antes de blending</v>
      </c>
      <c r="E12" s="122">
        <f>'Bases de Cálculo'!F11</f>
        <v>5.6708498400612823</v>
      </c>
      <c r="F12" s="313">
        <f>'Bases de Cálculo'!G11</f>
        <v>75.166375708662926</v>
      </c>
      <c r="G12" s="122"/>
      <c r="H12" s="122"/>
      <c r="I12" s="122"/>
      <c r="J12" s="122"/>
      <c r="K12" s="122"/>
      <c r="L12" s="148"/>
      <c r="M12" s="318" t="s">
        <v>620</v>
      </c>
      <c r="N12" s="427">
        <v>0.7</v>
      </c>
      <c r="O12" s="321"/>
      <c r="Q12" s="318" t="s">
        <v>623</v>
      </c>
      <c r="R12" s="429">
        <v>0.7</v>
      </c>
      <c r="S12" s="290"/>
      <c r="T12" s="297"/>
    </row>
    <row r="13" spans="3:20" x14ac:dyDescent="0.25">
      <c r="C13" s="19" t="str">
        <f>'Bases de Cálculo'!E12</f>
        <v>KER</v>
      </c>
      <c r="D13" s="151" t="str">
        <f>'Bases de Cálculo'!B12</f>
        <v>Keroseno-Jet</v>
      </c>
      <c r="E13" s="314">
        <f>'Bases de Cálculo'!F12</f>
        <v>4.7117947967516214</v>
      </c>
      <c r="F13" s="315">
        <f>'Bases de Cálculo'!G12</f>
        <v>87.735056011523966</v>
      </c>
      <c r="G13" s="122"/>
      <c r="H13" s="122"/>
      <c r="I13" s="122"/>
      <c r="J13" s="122"/>
      <c r="K13" s="122"/>
      <c r="L13" s="148"/>
      <c r="M13" s="320" t="s">
        <v>621</v>
      </c>
      <c r="N13" s="428"/>
      <c r="O13" s="22"/>
      <c r="Q13" s="320" t="s">
        <v>624</v>
      </c>
      <c r="R13" s="430"/>
      <c r="S13" s="19"/>
      <c r="T13" s="297"/>
    </row>
    <row r="14" spans="3:20" x14ac:dyDescent="0.25">
      <c r="C14" s="19" t="str">
        <f>'Bases de Cálculo'!E13</f>
        <v>LPG</v>
      </c>
      <c r="D14" s="143" t="str">
        <f>'Bases de Cálculo'!B13</f>
        <v>Gas licuado de Petróleo</v>
      </c>
      <c r="E14" s="311">
        <f>'Bases de Cálculo'!F13</f>
        <v>4.0562660463586173</v>
      </c>
      <c r="F14" s="312">
        <f>'Bases de Cálculo'!G13</f>
        <v>47.28933824683137</v>
      </c>
      <c r="G14" s="122"/>
      <c r="H14" s="122"/>
      <c r="I14" s="122"/>
      <c r="J14" s="122"/>
      <c r="K14" s="122"/>
      <c r="L14" s="148"/>
      <c r="T14" s="297"/>
    </row>
    <row r="15" spans="3:20" x14ac:dyDescent="0.25">
      <c r="C15" s="19" t="str">
        <f>'Bases de Cálculo'!E14</f>
        <v>HFO</v>
      </c>
      <c r="D15" s="148" t="str">
        <f>'Bases de Cálculo'!B14</f>
        <v>Fuel Oil (Combustoleo</v>
      </c>
      <c r="E15" s="122">
        <f>'Bases de Cálculo'!F14</f>
        <v>5.4608206169323079</v>
      </c>
      <c r="F15" s="313">
        <f>'Bases de Cálculo'!G14</f>
        <v>78.281203343664757</v>
      </c>
      <c r="G15" s="122"/>
      <c r="H15" s="122"/>
      <c r="I15" s="122"/>
      <c r="J15" s="122"/>
      <c r="K15" s="122"/>
      <c r="L15" s="151"/>
      <c r="M15" s="152"/>
      <c r="N15" s="152"/>
      <c r="O15" s="152"/>
      <c r="P15" s="152"/>
      <c r="Q15" s="152"/>
      <c r="R15" s="152"/>
      <c r="S15" s="152"/>
      <c r="T15" s="302"/>
    </row>
    <row r="16" spans="3:20" x14ac:dyDescent="0.25">
      <c r="C16" s="19" t="s">
        <v>522</v>
      </c>
      <c r="D16" s="148" t="str">
        <f>'Bases de Cálculo'!B24</f>
        <v>Gasolina de aviación</v>
      </c>
      <c r="E16" s="122">
        <f>'Bases de Cálculo'!F24</f>
        <v>4.7615165047769556</v>
      </c>
      <c r="F16" s="313">
        <f>'Bases de Cálculo'!G24</f>
        <v>56.337812381502502</v>
      </c>
      <c r="G16" s="122"/>
      <c r="H16" s="122"/>
      <c r="I16" s="122"/>
      <c r="J16" s="122"/>
      <c r="K16" s="122"/>
    </row>
    <row r="17" spans="1:20" x14ac:dyDescent="0.25">
      <c r="C17" s="19" t="s">
        <v>519</v>
      </c>
      <c r="D17" s="151" t="str">
        <f>'Bases de Cálculo'!B25</f>
        <v>Refinery Gas</v>
      </c>
      <c r="E17" s="314">
        <f>'Bases de Cálculo'!F25</f>
        <v>4.1867999999999999</v>
      </c>
      <c r="F17" s="315">
        <f>'Bases de Cálculo'!G25</f>
        <v>40.784041574326501</v>
      </c>
      <c r="G17" s="122"/>
      <c r="H17" s="122"/>
      <c r="I17" s="122"/>
      <c r="J17" s="122"/>
      <c r="K17" s="122"/>
    </row>
    <row r="18" spans="1:20" x14ac:dyDescent="0.25">
      <c r="C18" s="142" t="s">
        <v>485</v>
      </c>
    </row>
    <row r="20" spans="1:20" x14ac:dyDescent="0.25">
      <c r="A20" s="14" t="s">
        <v>30</v>
      </c>
      <c r="B20" s="1"/>
      <c r="C20" s="1"/>
      <c r="D20" s="1"/>
      <c r="E20" s="1"/>
      <c r="F20" s="1"/>
      <c r="M20" s="322" t="s">
        <v>0</v>
      </c>
      <c r="N20" s="1"/>
      <c r="O20" s="1"/>
      <c r="P20" s="1"/>
      <c r="Q20" s="1"/>
    </row>
    <row r="21" spans="1:20" x14ac:dyDescent="0.25">
      <c r="A21" s="329" t="s">
        <v>32</v>
      </c>
      <c r="B21" s="12" t="s">
        <v>22</v>
      </c>
      <c r="C21" s="12" t="s">
        <v>11</v>
      </c>
      <c r="D21" s="12" t="s">
        <v>33</v>
      </c>
      <c r="E21" s="12" t="s">
        <v>34</v>
      </c>
      <c r="F21" s="330" t="s">
        <v>35</v>
      </c>
      <c r="M21" s="323" t="s">
        <v>11</v>
      </c>
      <c r="N21" s="324" t="s">
        <v>12</v>
      </c>
      <c r="O21" s="324" t="s">
        <v>13</v>
      </c>
      <c r="P21" s="324" t="s">
        <v>156</v>
      </c>
      <c r="Q21" s="325" t="s">
        <v>31</v>
      </c>
    </row>
    <row r="22" spans="1:20" x14ac:dyDescent="0.25">
      <c r="A22" s="1" t="s">
        <v>46</v>
      </c>
      <c r="B22" s="1"/>
      <c r="C22" s="1" t="s">
        <v>634</v>
      </c>
      <c r="D22" s="1" t="s">
        <v>635</v>
      </c>
      <c r="E22" s="1" t="s">
        <v>9</v>
      </c>
      <c r="F22" s="1" t="s">
        <v>42</v>
      </c>
      <c r="M22" s="326" t="str">
        <f>+C22</f>
        <v>MIX-OIL-REF1</v>
      </c>
      <c r="N22" s="22" t="str">
        <f>+C10</f>
        <v>HOIL</v>
      </c>
      <c r="O22" s="326" t="s">
        <v>636</v>
      </c>
      <c r="P22" s="327">
        <f>+N11</f>
        <v>0.3</v>
      </c>
      <c r="Q22" s="328">
        <v>1</v>
      </c>
    </row>
    <row r="23" spans="1:20" x14ac:dyDescent="0.25">
      <c r="A23" s="1"/>
      <c r="B23" s="1"/>
      <c r="M23" s="326"/>
      <c r="N23" s="326" t="str">
        <f>+C9</f>
        <v>MOIL</v>
      </c>
      <c r="O23" s="326"/>
      <c r="P23" s="327"/>
      <c r="Q23" s="326"/>
    </row>
    <row r="24" spans="1:20" x14ac:dyDescent="0.25">
      <c r="A24" s="1"/>
      <c r="B24" s="1"/>
      <c r="M24" s="22"/>
      <c r="N24" s="326" t="str">
        <f>+C8</f>
        <v>LOIL</v>
      </c>
      <c r="O24" s="22"/>
      <c r="P24" s="22"/>
      <c r="Q24" s="22"/>
    </row>
    <row r="25" spans="1:20" x14ac:dyDescent="0.25">
      <c r="A25" s="1"/>
      <c r="B25" s="1"/>
    </row>
    <row r="26" spans="1:20" x14ac:dyDescent="0.25">
      <c r="C26" s="1" t="s">
        <v>625</v>
      </c>
      <c r="D26" s="1" t="s">
        <v>626</v>
      </c>
      <c r="E26" s="1" t="s">
        <v>9</v>
      </c>
      <c r="F26" s="1" t="s">
        <v>42</v>
      </c>
    </row>
    <row r="27" spans="1:20" x14ac:dyDescent="0.25">
      <c r="C27" s="1" t="s">
        <v>627</v>
      </c>
      <c r="D27" s="1" t="s">
        <v>628</v>
      </c>
      <c r="E27" s="1" t="s">
        <v>9</v>
      </c>
      <c r="F27" s="1" t="s">
        <v>187</v>
      </c>
    </row>
    <row r="28" spans="1:20" x14ac:dyDescent="0.25">
      <c r="C28" s="1" t="s">
        <v>629</v>
      </c>
      <c r="D28" s="1" t="s">
        <v>630</v>
      </c>
      <c r="E28" s="1" t="s">
        <v>9</v>
      </c>
      <c r="F28" s="1" t="s">
        <v>187</v>
      </c>
      <c r="L28" s="424" t="s">
        <v>638</v>
      </c>
      <c r="M28" s="425"/>
      <c r="N28" s="425"/>
      <c r="O28" s="425"/>
      <c r="P28" s="425"/>
      <c r="Q28" s="425"/>
      <c r="R28" s="425"/>
      <c r="S28" s="425"/>
      <c r="T28" s="426"/>
    </row>
    <row r="29" spans="1:20" x14ac:dyDescent="0.25">
      <c r="L29" s="148"/>
      <c r="T29" s="297"/>
    </row>
    <row r="30" spans="1:20" x14ac:dyDescent="0.25">
      <c r="L30" s="148"/>
      <c r="T30" s="297"/>
    </row>
    <row r="31" spans="1:20" x14ac:dyDescent="0.25">
      <c r="L31" s="148"/>
      <c r="M31" s="370" t="s">
        <v>651</v>
      </c>
      <c r="N31" s="152"/>
      <c r="Q31" s="370" t="s">
        <v>651</v>
      </c>
      <c r="R31" s="152"/>
      <c r="T31" s="297"/>
    </row>
    <row r="32" spans="1:20" x14ac:dyDescent="0.25">
      <c r="L32" s="148"/>
      <c r="M32" s="357" t="s">
        <v>653</v>
      </c>
      <c r="N32">
        <v>244</v>
      </c>
      <c r="Q32" s="357" t="s">
        <v>658</v>
      </c>
      <c r="R32" s="122">
        <f>+N32*365*E8/1000</f>
        <v>542.12373136730503</v>
      </c>
      <c r="S32" s="122" t="s">
        <v>9</v>
      </c>
      <c r="T32" s="297"/>
    </row>
    <row r="33" spans="1:20" x14ac:dyDescent="0.25">
      <c r="L33" s="148"/>
      <c r="M33" s="357" t="s">
        <v>652</v>
      </c>
      <c r="N33">
        <v>667</v>
      </c>
      <c r="Q33" s="334" t="s">
        <v>71</v>
      </c>
      <c r="R33">
        <f>+N33*0.0036</f>
        <v>2.4011999999999998</v>
      </c>
      <c r="S33" t="s">
        <v>9</v>
      </c>
      <c r="T33" s="297"/>
    </row>
    <row r="34" spans="1:20" x14ac:dyDescent="0.25">
      <c r="A34" s="9" t="s">
        <v>20</v>
      </c>
      <c r="B34" s="9"/>
      <c r="C34" s="10"/>
      <c r="D34" s="10"/>
      <c r="E34" s="10"/>
      <c r="L34" s="148"/>
      <c r="M34" s="357" t="s">
        <v>654</v>
      </c>
      <c r="N34">
        <v>5.83</v>
      </c>
      <c r="Q34" s="334" t="s">
        <v>661</v>
      </c>
      <c r="R34" s="358">
        <f>+R33/R32</f>
        <v>4.4292471645612482E-3</v>
      </c>
      <c r="S34" s="358" t="s">
        <v>567</v>
      </c>
      <c r="T34" s="297"/>
    </row>
    <row r="35" spans="1:20" x14ac:dyDescent="0.25">
      <c r="A35" s="329" t="s">
        <v>21</v>
      </c>
      <c r="B35" s="12" t="s">
        <v>22</v>
      </c>
      <c r="C35" s="12" t="s">
        <v>2</v>
      </c>
      <c r="D35" s="12" t="s">
        <v>23</v>
      </c>
      <c r="E35" s="330" t="s">
        <v>24</v>
      </c>
      <c r="L35" s="148"/>
      <c r="M35" s="357" t="s">
        <v>666</v>
      </c>
      <c r="N35" s="72">
        <f>289/12131</f>
        <v>2.3823262715357348E-2</v>
      </c>
      <c r="Q35" s="334" t="s">
        <v>633</v>
      </c>
      <c r="R35" s="72">
        <f>+N34*1000*F2</f>
        <v>8.3077500000000007E-4</v>
      </c>
      <c r="S35" s="72" t="s">
        <v>9</v>
      </c>
      <c r="T35" s="297"/>
    </row>
    <row r="36" spans="1:20" x14ac:dyDescent="0.25">
      <c r="A36" s="331" t="s">
        <v>82</v>
      </c>
      <c r="B36" s="331"/>
      <c r="C36" s="1" t="s">
        <v>636</v>
      </c>
      <c r="D36" s="1" t="s">
        <v>637</v>
      </c>
      <c r="E36" s="1" t="s">
        <v>9</v>
      </c>
      <c r="L36" s="148"/>
      <c r="Q36" s="334" t="s">
        <v>662</v>
      </c>
      <c r="R36" s="359">
        <f>+R35/R32</f>
        <v>1.5324453661245926E-6</v>
      </c>
      <c r="S36" s="359" t="s">
        <v>567</v>
      </c>
      <c r="T36" s="297"/>
    </row>
    <row r="37" spans="1:20" x14ac:dyDescent="0.25">
      <c r="A37" s="1"/>
      <c r="B37" s="1"/>
      <c r="C37" s="1" t="s">
        <v>548</v>
      </c>
      <c r="D37" s="1" t="s">
        <v>633</v>
      </c>
      <c r="E37" s="1" t="s">
        <v>9</v>
      </c>
      <c r="L37" s="148"/>
      <c r="Q37" s="334" t="s">
        <v>663</v>
      </c>
      <c r="R37" s="72">
        <f>+N35</f>
        <v>2.3823262715357348E-2</v>
      </c>
      <c r="S37" s="72" t="s">
        <v>567</v>
      </c>
      <c r="T37" s="297"/>
    </row>
    <row r="38" spans="1:20" x14ac:dyDescent="0.25">
      <c r="A38" s="1"/>
      <c r="C38" s="1" t="s">
        <v>657</v>
      </c>
      <c r="D38" s="1" t="s">
        <v>632</v>
      </c>
      <c r="E38" s="1" t="s">
        <v>9</v>
      </c>
      <c r="L38" s="148"/>
      <c r="T38" s="297"/>
    </row>
    <row r="39" spans="1:20" x14ac:dyDescent="0.25">
      <c r="A39" s="1"/>
      <c r="C39" s="1" t="s">
        <v>656</v>
      </c>
      <c r="D39" s="1" t="s">
        <v>631</v>
      </c>
      <c r="E39" s="1" t="s">
        <v>9</v>
      </c>
      <c r="L39" s="148"/>
      <c r="M39" s="360" t="s">
        <v>655</v>
      </c>
      <c r="N39" s="361"/>
      <c r="O39" s="362"/>
      <c r="T39" s="297"/>
    </row>
    <row r="40" spans="1:20" x14ac:dyDescent="0.25">
      <c r="A40" s="1"/>
      <c r="B40" s="1"/>
      <c r="L40" s="148"/>
      <c r="M40" s="356" t="s">
        <v>11</v>
      </c>
      <c r="N40" s="356" t="s">
        <v>12</v>
      </c>
      <c r="O40" s="356" t="s">
        <v>178</v>
      </c>
      <c r="T40" s="297"/>
    </row>
    <row r="41" spans="1:20" x14ac:dyDescent="0.25">
      <c r="A41" s="1"/>
      <c r="B41" s="1"/>
      <c r="L41" s="148"/>
      <c r="M41" s="363" t="s">
        <v>650</v>
      </c>
      <c r="N41" s="364" t="str">
        <f>+O22</f>
        <v>OIL-REF1</v>
      </c>
      <c r="O41" s="368">
        <f>+R32/(R32+R33+R35+R37*R32)</f>
        <v>0.97252231339505224</v>
      </c>
      <c r="T41" s="297"/>
    </row>
    <row r="42" spans="1:20" x14ac:dyDescent="0.25">
      <c r="A42" s="1"/>
      <c r="B42" s="1"/>
      <c r="L42" s="148"/>
      <c r="M42" s="365"/>
      <c r="N42" s="366" t="str">
        <f>+C37</f>
        <v>H2</v>
      </c>
      <c r="O42" s="369">
        <f>+R35/(R32+R33+R35+R37*R32)</f>
        <v>1.4903373126150166E-6</v>
      </c>
      <c r="T42" s="297"/>
    </row>
    <row r="43" spans="1:20" x14ac:dyDescent="0.25">
      <c r="L43" s="148"/>
      <c r="M43" s="1"/>
      <c r="N43" s="367" t="str">
        <f>+C38</f>
        <v>DRUMGAS-REF1</v>
      </c>
      <c r="O43" s="369">
        <f>+R37*R32/(R32+R33+R35+R37*R32)</f>
        <v>2.3168654568557424E-2</v>
      </c>
      <c r="T43" s="297"/>
    </row>
    <row r="44" spans="1:20" x14ac:dyDescent="0.25">
      <c r="L44" s="148"/>
      <c r="M44" s="1"/>
      <c r="N44" s="1" t="str">
        <f>+C39</f>
        <v>ELC-REF1</v>
      </c>
      <c r="O44" s="369">
        <f>+R33/(R32+R33+R35+R37*R32)</f>
        <v>4.3075416990775812E-3</v>
      </c>
      <c r="T44" s="297"/>
    </row>
    <row r="45" spans="1:20" x14ac:dyDescent="0.25">
      <c r="L45" s="148"/>
      <c r="T45" s="297"/>
    </row>
    <row r="46" spans="1:20" x14ac:dyDescent="0.25">
      <c r="L46" s="148"/>
      <c r="T46" s="297"/>
    </row>
    <row r="47" spans="1:20" x14ac:dyDescent="0.25">
      <c r="L47" s="151"/>
      <c r="M47" s="152"/>
      <c r="N47" s="152"/>
      <c r="O47" s="152"/>
      <c r="P47" s="152"/>
      <c r="Q47" s="152"/>
      <c r="R47" s="152"/>
      <c r="S47" s="152"/>
      <c r="T47" s="302"/>
    </row>
    <row r="48" spans="1:20" x14ac:dyDescent="0.25">
      <c r="B48" s="1"/>
      <c r="C48" s="1"/>
      <c r="D48" s="1"/>
      <c r="L48" s="148"/>
      <c r="T48" s="297"/>
    </row>
    <row r="49" spans="2:20" x14ac:dyDescent="0.25">
      <c r="L49" s="148"/>
      <c r="P49">
        <f>2466+3084+716+3998+291+1575</f>
        <v>12130</v>
      </c>
      <c r="R49">
        <v>1</v>
      </c>
      <c r="S49" t="s">
        <v>672</v>
      </c>
      <c r="T49" s="297"/>
    </row>
    <row r="50" spans="2:20" x14ac:dyDescent="0.25">
      <c r="B50" s="1"/>
      <c r="C50" s="1"/>
      <c r="D50" s="1"/>
      <c r="L50" s="148"/>
      <c r="M50" s="371" t="s">
        <v>664</v>
      </c>
      <c r="N50" s="152"/>
      <c r="P50" t="s">
        <v>671</v>
      </c>
      <c r="Q50" s="370" t="s">
        <v>664</v>
      </c>
      <c r="R50" s="380">
        <f>+E8</f>
        <v>6.0871741676095334</v>
      </c>
      <c r="S50" s="379" t="s">
        <v>9</v>
      </c>
      <c r="T50" s="297"/>
    </row>
    <row r="51" spans="2:20" x14ac:dyDescent="0.25">
      <c r="B51" s="1"/>
      <c r="C51" s="1"/>
      <c r="D51" s="1"/>
      <c r="L51" s="148"/>
      <c r="M51" s="334" t="s">
        <v>85</v>
      </c>
      <c r="N51" s="265">
        <v>0.29599999999999999</v>
      </c>
      <c r="P51" s="299">
        <f>2466/P49</f>
        <v>0.20329760923330586</v>
      </c>
      <c r="Q51" s="334" t="s">
        <v>85</v>
      </c>
      <c r="R51" s="379">
        <f>+N51*R49*E11</f>
        <v>1.577946025403129</v>
      </c>
      <c r="S51" s="379" t="s">
        <v>9</v>
      </c>
      <c r="T51" s="381">
        <f>+R51/$R$58</f>
        <v>0.25167448642788576</v>
      </c>
    </row>
    <row r="52" spans="2:20" x14ac:dyDescent="0.25">
      <c r="L52" s="148"/>
      <c r="M52" s="334" t="s">
        <v>665</v>
      </c>
      <c r="N52" s="265">
        <v>0.307</v>
      </c>
      <c r="P52" s="299">
        <f>3084/P49</f>
        <v>0.25424567188788127</v>
      </c>
      <c r="Q52" s="334" t="s">
        <v>665</v>
      </c>
      <c r="R52" s="379">
        <f>+R49*N52*E12</f>
        <v>1.7409509008988135</v>
      </c>
      <c r="S52" s="379" t="s">
        <v>9</v>
      </c>
      <c r="T52" s="381">
        <f t="shared" ref="T52:T53" si="0">+R52/$R$58</f>
        <v>0.27767294750651306</v>
      </c>
    </row>
    <row r="53" spans="2:20" x14ac:dyDescent="0.25">
      <c r="L53" s="148"/>
      <c r="M53" s="334" t="s">
        <v>209</v>
      </c>
      <c r="N53" s="265">
        <v>0.10100000000000001</v>
      </c>
      <c r="P53" s="299">
        <f>716/P49</f>
        <v>5.9027205276174777E-2</v>
      </c>
      <c r="Q53" s="334" t="s">
        <v>209</v>
      </c>
      <c r="R53" s="379">
        <f>+N53*R49*E13</f>
        <v>0.47589127447191382</v>
      </c>
      <c r="S53" s="379" t="s">
        <v>9</v>
      </c>
      <c r="T53" s="381">
        <f t="shared" si="0"/>
        <v>7.5902274330094735E-2</v>
      </c>
    </row>
    <row r="54" spans="2:20" x14ac:dyDescent="0.25">
      <c r="M54" s="334" t="s">
        <v>670</v>
      </c>
      <c r="N54" s="265"/>
      <c r="P54" s="63"/>
      <c r="Q54" s="334" t="s">
        <v>670</v>
      </c>
      <c r="R54" s="334"/>
      <c r="S54" s="334"/>
    </row>
    <row r="55" spans="2:20" x14ac:dyDescent="0.25">
      <c r="M55" s="334" t="s">
        <v>88</v>
      </c>
      <c r="P55" s="63">
        <f>1575/P49</f>
        <v>0.12984336356141798</v>
      </c>
      <c r="Q55" s="334" t="s">
        <v>88</v>
      </c>
      <c r="R55" s="334"/>
      <c r="S55" s="334"/>
    </row>
    <row r="56" spans="2:20" x14ac:dyDescent="0.25">
      <c r="M56" s="334" t="s">
        <v>518</v>
      </c>
      <c r="P56" s="63">
        <f>291/P49</f>
        <v>2.3990107172300084E-2</v>
      </c>
      <c r="Q56" s="334" t="s">
        <v>518</v>
      </c>
      <c r="R56" s="334"/>
      <c r="S56" s="334"/>
    </row>
    <row r="57" spans="2:20" x14ac:dyDescent="0.25">
      <c r="M57" s="334" t="s">
        <v>668</v>
      </c>
      <c r="P57" s="289"/>
      <c r="Q57" s="334" t="s">
        <v>668</v>
      </c>
      <c r="R57" s="334"/>
      <c r="S57" s="334"/>
    </row>
    <row r="58" spans="2:20" x14ac:dyDescent="0.25">
      <c r="Q58" s="334" t="s">
        <v>580</v>
      </c>
      <c r="R58" s="72">
        <f>+R50*N77</f>
        <v>6.2697893926378194</v>
      </c>
      <c r="S58" s="72" t="s">
        <v>9</v>
      </c>
    </row>
    <row r="60" spans="2:20" x14ac:dyDescent="0.25">
      <c r="M60" s="354" t="s">
        <v>669</v>
      </c>
      <c r="N60" s="355"/>
      <c r="O60" s="2"/>
    </row>
    <row r="61" spans="2:20" x14ac:dyDescent="0.25">
      <c r="M61" s="338" t="s">
        <v>11</v>
      </c>
      <c r="N61" s="338" t="s">
        <v>13</v>
      </c>
      <c r="O61" s="338" t="s">
        <v>557</v>
      </c>
    </row>
    <row r="62" spans="2:20" x14ac:dyDescent="0.25">
      <c r="M62" s="372" t="s">
        <v>116</v>
      </c>
      <c r="N62" s="373" t="s">
        <v>45</v>
      </c>
      <c r="O62" s="374">
        <f>+N51</f>
        <v>0.29599999999999999</v>
      </c>
      <c r="R62" s="309"/>
      <c r="S62" s="309"/>
    </row>
    <row r="63" spans="2:20" x14ac:dyDescent="0.25">
      <c r="M63" s="1"/>
      <c r="N63" s="375" t="s">
        <v>47</v>
      </c>
      <c r="O63" s="376">
        <f>+N52</f>
        <v>0.307</v>
      </c>
      <c r="R63" s="309"/>
      <c r="S63" s="309"/>
    </row>
    <row r="64" spans="2:20" x14ac:dyDescent="0.25">
      <c r="M64" s="1"/>
      <c r="N64" s="377" t="s">
        <v>48</v>
      </c>
      <c r="O64" s="378">
        <f>+N53</f>
        <v>0.10100000000000001</v>
      </c>
      <c r="Q64">
        <v>41868000000</v>
      </c>
      <c r="R64" s="309" t="s">
        <v>674</v>
      </c>
      <c r="S64" s="309"/>
    </row>
    <row r="65" spans="5:21" x14ac:dyDescent="0.25">
      <c r="M65" s="1"/>
      <c r="N65" s="1" t="s">
        <v>49</v>
      </c>
      <c r="O65" s="265">
        <f>100%-O62-O63-O64</f>
        <v>0.29599999999999993</v>
      </c>
      <c r="Q65">
        <f>+Q64*0.000000000000001</f>
        <v>4.1868000000000006E-5</v>
      </c>
      <c r="R65" s="309" t="s">
        <v>9</v>
      </c>
      <c r="S65" s="309"/>
    </row>
    <row r="66" spans="5:21" x14ac:dyDescent="0.25">
      <c r="M66" s="1"/>
      <c r="N66" s="1" t="s">
        <v>50</v>
      </c>
      <c r="O66" s="265">
        <f>100%-O62-O63-O64</f>
        <v>0.29599999999999993</v>
      </c>
      <c r="Q66">
        <f>+Q65*1000</f>
        <v>4.1868000000000009E-2</v>
      </c>
      <c r="R66" s="309" t="s">
        <v>675</v>
      </c>
      <c r="S66" s="309"/>
    </row>
    <row r="67" spans="5:21" x14ac:dyDescent="0.25">
      <c r="M67" s="1"/>
      <c r="N67" s="1" t="s">
        <v>519</v>
      </c>
      <c r="O67" s="63">
        <f>100%-O62-O63-O64</f>
        <v>0.29599999999999993</v>
      </c>
      <c r="Q67">
        <f>12131*Q66</f>
        <v>507.90070800000012</v>
      </c>
      <c r="R67" s="309"/>
      <c r="S67" s="309"/>
    </row>
    <row r="68" spans="5:21" x14ac:dyDescent="0.25">
      <c r="N68" s="1" t="s">
        <v>522</v>
      </c>
      <c r="O68" s="265">
        <f>100%-O62-O63-O64</f>
        <v>0.29599999999999993</v>
      </c>
      <c r="Q68">
        <f>+Q66*5.83</f>
        <v>0.24409044000000005</v>
      </c>
    </row>
    <row r="69" spans="5:21" x14ac:dyDescent="0.25">
      <c r="Q69">
        <f>+Q66*(643+43+154)</f>
        <v>35.169120000000007</v>
      </c>
      <c r="R69" s="309" t="s">
        <v>9</v>
      </c>
      <c r="T69">
        <f>+Q69*0.35</f>
        <v>12.309192000000001</v>
      </c>
      <c r="U69" t="s">
        <v>9</v>
      </c>
    </row>
    <row r="71" spans="5:21" x14ac:dyDescent="0.25">
      <c r="M71" s="334" t="s">
        <v>639</v>
      </c>
      <c r="N71">
        <v>250</v>
      </c>
      <c r="Q71" t="s">
        <v>640</v>
      </c>
      <c r="R71" s="332">
        <f>+N71*365*E10/1000</f>
        <v>555.45464279436999</v>
      </c>
      <c r="S71" s="332"/>
    </row>
    <row r="72" spans="5:21" x14ac:dyDescent="0.25">
      <c r="M72" s="334" t="s">
        <v>641</v>
      </c>
      <c r="N72">
        <v>218.6</v>
      </c>
      <c r="Q72" t="s">
        <v>642</v>
      </c>
      <c r="R72" s="122">
        <f>+N72*365*E10/1000</f>
        <v>485.68953965939704</v>
      </c>
      <c r="S72" s="122"/>
    </row>
    <row r="73" spans="5:21" x14ac:dyDescent="0.25">
      <c r="M73" s="335" t="s">
        <v>643</v>
      </c>
      <c r="N73" s="333">
        <f>+N72/N71</f>
        <v>0.87439999999999996</v>
      </c>
    </row>
    <row r="74" spans="5:21" x14ac:dyDescent="0.25">
      <c r="M74" s="336" t="s">
        <v>644</v>
      </c>
      <c r="N74" s="337">
        <v>1</v>
      </c>
    </row>
    <row r="75" spans="5:21" x14ac:dyDescent="0.25">
      <c r="E75">
        <v>643</v>
      </c>
      <c r="G75">
        <f>664*0.0036</f>
        <v>2.3904000000000001</v>
      </c>
      <c r="H75" t="s">
        <v>9</v>
      </c>
      <c r="Q75">
        <v>1641</v>
      </c>
      <c r="R75" t="s">
        <v>268</v>
      </c>
    </row>
    <row r="76" spans="5:21" x14ac:dyDescent="0.25">
      <c r="E76">
        <v>43</v>
      </c>
      <c r="Q76" s="122">
        <f>+Q75*1.01/1000</f>
        <v>1.65741</v>
      </c>
      <c r="R76" t="s">
        <v>9</v>
      </c>
    </row>
    <row r="77" spans="5:21" x14ac:dyDescent="0.25">
      <c r="E77">
        <v>154</v>
      </c>
      <c r="M77" s="334" t="s">
        <v>645</v>
      </c>
      <c r="N77" s="63">
        <v>1.03</v>
      </c>
      <c r="Q77">
        <f>+Q76/Q66</f>
        <v>39.5865577529378</v>
      </c>
      <c r="R77" t="s">
        <v>676</v>
      </c>
    </row>
    <row r="78" spans="5:21" x14ac:dyDescent="0.25">
      <c r="E78">
        <f>+SUM(E75:E77)</f>
        <v>840</v>
      </c>
      <c r="F78" t="s">
        <v>101</v>
      </c>
    </row>
    <row r="79" spans="5:21" x14ac:dyDescent="0.25">
      <c r="E79" s="75">
        <f>+E78*0.041868</f>
        <v>35.169119999999999</v>
      </c>
      <c r="F79" t="s">
        <v>9</v>
      </c>
      <c r="M79" s="334" t="s">
        <v>646</v>
      </c>
    </row>
    <row r="81" spans="5:17" x14ac:dyDescent="0.25">
      <c r="E81">
        <f>12+1+20</f>
        <v>33</v>
      </c>
      <c r="F81" t="s">
        <v>700</v>
      </c>
    </row>
    <row r="82" spans="5:17" x14ac:dyDescent="0.25">
      <c r="M82" s="322" t="s">
        <v>0</v>
      </c>
      <c r="N82" s="339"/>
      <c r="O82" s="339"/>
      <c r="P82" s="342"/>
      <c r="Q82" s="339"/>
    </row>
    <row r="83" spans="5:17" x14ac:dyDescent="0.25">
      <c r="M83" s="343" t="s">
        <v>11</v>
      </c>
      <c r="N83" s="344" t="s">
        <v>1</v>
      </c>
      <c r="O83" s="344" t="s">
        <v>647</v>
      </c>
      <c r="P83" s="344" t="s">
        <v>557</v>
      </c>
      <c r="Q83" s="345" t="s">
        <v>178</v>
      </c>
    </row>
    <row r="84" spans="5:17" x14ac:dyDescent="0.25">
      <c r="M84" s="346" t="s">
        <v>650</v>
      </c>
      <c r="N84" s="340" t="s">
        <v>648</v>
      </c>
      <c r="O84" s="347">
        <v>2019</v>
      </c>
      <c r="P84" s="341"/>
      <c r="Q84" s="353">
        <f>+R72</f>
        <v>485.68953965939704</v>
      </c>
    </row>
    <row r="85" spans="5:17" x14ac:dyDescent="0.25">
      <c r="M85" s="19" t="str">
        <f>+M84</f>
        <v>REF1</v>
      </c>
      <c r="N85" s="19" t="str">
        <f>+N84</f>
        <v>ACT_BND</v>
      </c>
      <c r="O85" s="19">
        <v>2020</v>
      </c>
      <c r="P85" s="352">
        <f>+R71*N74</f>
        <v>555.45464279436999</v>
      </c>
      <c r="Q85" s="16"/>
    </row>
    <row r="86" spans="5:17" x14ac:dyDescent="0.25">
      <c r="M86" s="346" t="s">
        <v>650</v>
      </c>
      <c r="N86" s="346" t="s">
        <v>31</v>
      </c>
      <c r="O86" s="341">
        <v>2019</v>
      </c>
      <c r="P86" s="341"/>
      <c r="Q86" s="16"/>
    </row>
    <row r="87" spans="5:17" x14ac:dyDescent="0.25">
      <c r="M87" s="341" t="s">
        <v>650</v>
      </c>
      <c r="N87" s="348" t="s">
        <v>649</v>
      </c>
      <c r="O87" s="349">
        <v>2019</v>
      </c>
      <c r="P87" s="350"/>
      <c r="Q87" s="351">
        <f>+N79</f>
        <v>0</v>
      </c>
    </row>
  </sheetData>
  <mergeCells count="6">
    <mergeCell ref="L7:T7"/>
    <mergeCell ref="L28:T28"/>
    <mergeCell ref="N12:N13"/>
    <mergeCell ref="M10:N10"/>
    <mergeCell ref="Q10:R10"/>
    <mergeCell ref="R12:R13"/>
  </mergeCells>
  <pageMargins left="0.7" right="0.7" top="0.75" bottom="0.75" header="0.3" footer="0.3"/>
  <pageSetup paperSize="9" orientation="portrait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69C3FB-2EDD-4FE0-B565-0029E9F71F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COMM</vt:lpstr>
      <vt:lpstr>PROCESS</vt:lpstr>
      <vt:lpstr>Bases de Cálculo</vt:lpstr>
      <vt:lpstr>1. EXP_IMP</vt:lpstr>
      <vt:lpstr>2. DEM</vt:lpstr>
      <vt:lpstr>3. Scope3</vt:lpstr>
      <vt:lpstr>4. Refinery's Data</vt:lpstr>
      <vt:lpstr>Ref_Cart</vt:lpstr>
      <vt:lpstr>4. Refinery_Bar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2015-06-05T18:19:34Z</dcterms:created>
  <dcterms:modified xsi:type="dcterms:W3CDTF">2022-11-09T20:33:28Z</dcterms:modified>
</cp:coreProperties>
</file>