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7.xml" ContentType="application/vnd.openxmlformats-officedocument.drawing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8.xml" ContentType="application/vnd.openxmlformats-officedocument.drawing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00FE01E6-4023-4F38-9681-CD149CED5026}" xr6:coauthVersionLast="47" xr6:coauthVersionMax="47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4.1 Ref_Cart" sheetId="8" r:id="rId9"/>
    <sheet name="4.2 Ref_Barranca" sheetId="9" r:id="rId10"/>
    <sheet name="5. ANH" sheetId="10" r:id="rId11"/>
    <sheet name="5. GlobalData" sheetId="11" r:id="rId12"/>
    <sheet name="5. Data" sheetId="12" r:id="rId13"/>
    <sheet name="5. Oilfields" sheetId="13" r:id="rId14"/>
    <sheet name="General_SEC_SGC" sheetId="14" r:id="rId15"/>
    <sheet name="6. a Reservas" sheetId="15" r:id="rId16"/>
  </sheets>
  <definedNames>
    <definedName name="_xlnm._FilterDatabase" localSheetId="3" hidden="1">'1. EXP_IMP'!$I$222:$Q$222</definedName>
    <definedName name="_xlnm._FilterDatabase" localSheetId="10" hidden="1">'5. ANH'!$C$12:$W$12</definedName>
    <definedName name="_xlnm._FilterDatabase" localSheetId="12" hidden="1">'5. Data'!$J$98:$AA$98</definedName>
    <definedName name="_xlnm._FilterDatabase" localSheetId="11" hidden="1">'5. GlobalData'!$C$38:$K$38</definedName>
    <definedName name="solver_adj" localSheetId="7" hidden="1">'REF1'!$H$44:$H$45</definedName>
    <definedName name="solver_cvg" localSheetId="7" hidden="1">0.0001</definedName>
    <definedName name="solver_drv" localSheetId="7" hidden="1">2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'REF1'!$H$46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1</definedName>
    <definedName name="solver_nwt" localSheetId="7" hidden="1">1</definedName>
    <definedName name="solver_opt" localSheetId="7" hidden="1">'REF1'!$J$46</definedName>
    <definedName name="solver_pre" localSheetId="7" hidden="1">0.000001</definedName>
    <definedName name="solver_rbv" localSheetId="7" hidden="1">2</definedName>
    <definedName name="solver_rel1" localSheetId="7" hidden="1">2</definedName>
    <definedName name="solver_rhs1" localSheetId="7" hidden="1">100</definedName>
    <definedName name="solver_rlx" localSheetId="7" hidden="1">2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3</definedName>
    <definedName name="solver_val" localSheetId="7" hidden="1">32677</definedName>
    <definedName name="solver_ver" localSheetId="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9" i="8" l="1"/>
  <c r="P90" i="8"/>
  <c r="Q98" i="8"/>
  <c r="Q97" i="8"/>
  <c r="F216" i="16"/>
  <c r="F215" i="16"/>
  <c r="G217" i="16"/>
  <c r="G218" i="16"/>
  <c r="E205" i="16"/>
  <c r="E204" i="16"/>
  <c r="E203" i="16"/>
  <c r="E202" i="16"/>
  <c r="E201" i="16"/>
  <c r="E200" i="16"/>
  <c r="H104" i="16"/>
  <c r="H105" i="16"/>
  <c r="H106" i="16"/>
  <c r="H107" i="16"/>
  <c r="H108" i="16"/>
  <c r="H103" i="16"/>
  <c r="H109" i="16" s="1"/>
  <c r="R118" i="8"/>
  <c r="E193" i="16"/>
  <c r="C187" i="16"/>
  <c r="C193" i="16" s="1"/>
  <c r="H175" i="16"/>
  <c r="J175" i="16"/>
  <c r="K175" i="16"/>
  <c r="G177" i="16"/>
  <c r="H177" i="16"/>
  <c r="I177" i="16"/>
  <c r="J177" i="16"/>
  <c r="K177" i="16"/>
  <c r="D179" i="16"/>
  <c r="D178" i="16"/>
  <c r="D193" i="16" s="1"/>
  <c r="C154" i="16"/>
  <c r="C153" i="16"/>
  <c r="D180" i="16" s="1"/>
  <c r="A154" i="16"/>
  <c r="A153" i="16"/>
  <c r="D177" i="16"/>
  <c r="D176" i="16"/>
  <c r="F164" i="16"/>
  <c r="F163" i="16"/>
  <c r="F162" i="16"/>
  <c r="C162" i="16"/>
  <c r="C168" i="16" s="1"/>
  <c r="C152" i="16"/>
  <c r="I175" i="16" s="1"/>
  <c r="A152" i="16"/>
  <c r="C151" i="16"/>
  <c r="A151" i="16"/>
  <c r="E68" i="16"/>
  <c r="C188" i="16" l="1"/>
  <c r="E102" i="16" l="1"/>
  <c r="E64" i="16"/>
  <c r="E103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6" i="16"/>
  <c r="J20" i="10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P67" i="12"/>
  <c r="J5" i="16"/>
  <c r="K5" i="16"/>
  <c r="N5" i="16"/>
  <c r="O5" i="16"/>
  <c r="J6" i="16"/>
  <c r="K6" i="16"/>
  <c r="L6" i="16" s="1"/>
  <c r="N6" i="16"/>
  <c r="J7" i="16"/>
  <c r="K7" i="16"/>
  <c r="L7" i="16" s="1"/>
  <c r="N7" i="16"/>
  <c r="J8" i="16"/>
  <c r="K8" i="16"/>
  <c r="L8" i="16" s="1"/>
  <c r="N8" i="16"/>
  <c r="J9" i="16"/>
  <c r="K9" i="16"/>
  <c r="L9" i="16" s="1"/>
  <c r="N9" i="16"/>
  <c r="J10" i="16"/>
  <c r="K10" i="16"/>
  <c r="L10" i="16" s="1"/>
  <c r="M10" i="16" s="1"/>
  <c r="J11" i="16"/>
  <c r="K11" i="16"/>
  <c r="L11" i="16" s="1"/>
  <c r="N11" i="16"/>
  <c r="J12" i="16"/>
  <c r="K12" i="16"/>
  <c r="L12" i="16" s="1"/>
  <c r="N12" i="16"/>
  <c r="J13" i="16"/>
  <c r="K13" i="16"/>
  <c r="L13" i="16" s="1"/>
  <c r="M13" i="16" s="1"/>
  <c r="N13" i="16"/>
  <c r="J14" i="16"/>
  <c r="K14" i="16"/>
  <c r="L14" i="16" s="1"/>
  <c r="N14" i="16"/>
  <c r="J15" i="16"/>
  <c r="K15" i="16"/>
  <c r="L15" i="16" s="1"/>
  <c r="N15" i="16"/>
  <c r="J16" i="16"/>
  <c r="K16" i="16"/>
  <c r="L16" i="16" s="1"/>
  <c r="N16" i="16"/>
  <c r="J17" i="16"/>
  <c r="K17" i="16"/>
  <c r="L17" i="16" s="1"/>
  <c r="M17" i="16" s="1"/>
  <c r="N17" i="16"/>
  <c r="J18" i="16"/>
  <c r="K18" i="16"/>
  <c r="L18" i="16" s="1"/>
  <c r="N18" i="16"/>
  <c r="J19" i="16"/>
  <c r="K19" i="16"/>
  <c r="L19" i="16" s="1"/>
  <c r="N19" i="16"/>
  <c r="J20" i="16"/>
  <c r="K20" i="16"/>
  <c r="L20" i="16" s="1"/>
  <c r="N20" i="16"/>
  <c r="J21" i="16"/>
  <c r="K21" i="16"/>
  <c r="L21" i="16" s="1"/>
  <c r="M21" i="16" s="1"/>
  <c r="N21" i="16"/>
  <c r="J22" i="16"/>
  <c r="K22" i="16"/>
  <c r="L22" i="16" s="1"/>
  <c r="N22" i="16"/>
  <c r="D17" i="16"/>
  <c r="C17" i="16"/>
  <c r="F73" i="16" s="1"/>
  <c r="B17" i="16"/>
  <c r="D16" i="16"/>
  <c r="C16" i="16"/>
  <c r="E16" i="16" s="1"/>
  <c r="B16" i="16"/>
  <c r="D15" i="16"/>
  <c r="C15" i="16"/>
  <c r="B15" i="16"/>
  <c r="A15" i="16"/>
  <c r="D14" i="16"/>
  <c r="C14" i="16"/>
  <c r="B14" i="16"/>
  <c r="A14" i="16"/>
  <c r="D13" i="16"/>
  <c r="C13" i="16"/>
  <c r="B13" i="16"/>
  <c r="A13" i="16"/>
  <c r="D12" i="16"/>
  <c r="C12" i="16"/>
  <c r="B12" i="16"/>
  <c r="A12" i="16"/>
  <c r="D11" i="16"/>
  <c r="C11" i="16"/>
  <c r="B11" i="16"/>
  <c r="A11" i="16"/>
  <c r="B10" i="16"/>
  <c r="A10" i="16"/>
  <c r="B9" i="16"/>
  <c r="A9" i="16"/>
  <c r="D8" i="16"/>
  <c r="D9" i="16" s="1"/>
  <c r="D10" i="16" s="1"/>
  <c r="C8" i="16"/>
  <c r="E61" i="16" s="1"/>
  <c r="E85" i="16" s="1"/>
  <c r="B8" i="16"/>
  <c r="A8" i="16"/>
  <c r="D7" i="16"/>
  <c r="C7" i="16"/>
  <c r="B7" i="16"/>
  <c r="A7" i="16"/>
  <c r="D6" i="16"/>
  <c r="C6" i="16"/>
  <c r="B6" i="16"/>
  <c r="D5" i="16"/>
  <c r="D4" i="16"/>
  <c r="C4" i="16"/>
  <c r="Q56" i="8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5" i="13"/>
  <c r="DQ34" i="13"/>
  <c r="DP34" i="13"/>
  <c r="DN35" i="13"/>
  <c r="DN34" i="13"/>
  <c r="DL34" i="13"/>
  <c r="DN32" i="13"/>
  <c r="DN33" i="13"/>
  <c r="E11" i="16" l="1"/>
  <c r="F103" i="16"/>
  <c r="E12" i="16"/>
  <c r="F104" i="16"/>
  <c r="E113" i="16" s="1"/>
  <c r="E13" i="16"/>
  <c r="F105" i="16"/>
  <c r="E114" i="16" s="1"/>
  <c r="E14" i="16"/>
  <c r="F76" i="16" s="1"/>
  <c r="F107" i="16"/>
  <c r="E116" i="16" s="1"/>
  <c r="E15" i="16"/>
  <c r="F106" i="16"/>
  <c r="E115" i="16" s="1"/>
  <c r="E86" i="16"/>
  <c r="F108" i="16"/>
  <c r="E117" i="16" s="1"/>
  <c r="E7" i="16"/>
  <c r="F74" i="16"/>
  <c r="E87" i="16" s="1"/>
  <c r="E17" i="16"/>
  <c r="I46" i="16"/>
  <c r="G46" i="16" s="1"/>
  <c r="C9" i="16"/>
  <c r="E62" i="16" s="1"/>
  <c r="E8" i="16"/>
  <c r="E51" i="16"/>
  <c r="E52" i="16" s="1"/>
  <c r="E53" i="16" s="1"/>
  <c r="E38" i="16"/>
  <c r="M22" i="16"/>
  <c r="P22" i="16" s="1"/>
  <c r="M14" i="16"/>
  <c r="P14" i="16" s="1"/>
  <c r="M7" i="16"/>
  <c r="M19" i="16"/>
  <c r="P19" i="16" s="1"/>
  <c r="M15" i="16"/>
  <c r="M11" i="16"/>
  <c r="M6" i="16"/>
  <c r="P6" i="16" s="1"/>
  <c r="M18" i="16"/>
  <c r="P18" i="16" s="1"/>
  <c r="M20" i="16"/>
  <c r="M16" i="16"/>
  <c r="M12" i="16"/>
  <c r="P12" i="16" s="1"/>
  <c r="M9" i="16"/>
  <c r="U11" i="16"/>
  <c r="U10" i="16"/>
  <c r="M8" i="16"/>
  <c r="P8" i="16" s="1"/>
  <c r="P9" i="16"/>
  <c r="P21" i="16"/>
  <c r="P17" i="16"/>
  <c r="P13" i="16"/>
  <c r="P10" i="16"/>
  <c r="P15" i="16"/>
  <c r="P11" i="16"/>
  <c r="P7" i="16"/>
  <c r="U9" i="16"/>
  <c r="P20" i="16"/>
  <c r="P16" i="16"/>
  <c r="G184" i="12"/>
  <c r="G185" i="12" s="1"/>
  <c r="G186" i="12" s="1"/>
  <c r="E73" i="5"/>
  <c r="AR49" i="13"/>
  <c r="AR48" i="13"/>
  <c r="DC26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E179" i="16" l="1"/>
  <c r="E112" i="16"/>
  <c r="F102" i="16"/>
  <c r="E119" i="16" s="1"/>
  <c r="E89" i="16"/>
  <c r="J47" i="16"/>
  <c r="C10" i="16"/>
  <c r="E10" i="16" s="1"/>
  <c r="E9" i="16"/>
  <c r="V9" i="16"/>
  <c r="W9" i="16" s="1"/>
  <c r="X9" i="16" s="1"/>
  <c r="G35" i="16" s="1"/>
  <c r="V10" i="16"/>
  <c r="W10" i="16" s="1"/>
  <c r="X10" i="16" s="1"/>
  <c r="G36" i="16" s="1"/>
  <c r="V11" i="16"/>
  <c r="W11" i="16" s="1"/>
  <c r="X11" i="16" s="1"/>
  <c r="G37" i="16" s="1"/>
  <c r="C11" i="13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G15" i="13" s="1"/>
  <c r="DC31" i="13"/>
  <c r="BE31" i="13"/>
  <c r="BD31" i="13"/>
  <c r="BB31" i="13"/>
  <c r="AV31" i="13"/>
  <c r="AU31" i="13"/>
  <c r="AU33" i="13" s="1"/>
  <c r="AU35" i="13" s="1"/>
  <c r="AS31" i="13"/>
  <c r="DC30" i="13"/>
  <c r="DG13" i="13" s="1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G10" i="13" s="1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U23" i="9" s="1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P73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P55" i="9"/>
  <c r="P72" i="9" s="1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P111" i="8"/>
  <c r="X108" i="8"/>
  <c r="X110" i="8" s="1"/>
  <c r="X111" i="8" s="1"/>
  <c r="X112" i="8" s="1"/>
  <c r="X113" i="8" s="1"/>
  <c r="O108" i="8"/>
  <c r="P108" i="8" s="1"/>
  <c r="R100" i="8"/>
  <c r="O98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E90" i="16" l="1"/>
  <c r="E180" i="16"/>
  <c r="E178" i="16"/>
  <c r="E176" i="16"/>
  <c r="E177" i="16"/>
  <c r="I36" i="16"/>
  <c r="J36" i="16" s="1"/>
  <c r="G44" i="16"/>
  <c r="I44" i="16" s="1"/>
  <c r="J44" i="16" s="1"/>
  <c r="I35" i="16"/>
  <c r="J35" i="16" s="1"/>
  <c r="G43" i="16"/>
  <c r="I43" i="16" s="1"/>
  <c r="J43" i="16" s="1"/>
  <c r="I37" i="16"/>
  <c r="J37" i="16" s="1"/>
  <c r="G45" i="16"/>
  <c r="I45" i="16" s="1"/>
  <c r="J45" i="16" s="1"/>
  <c r="AQ60" i="13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N10" i="16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63" i="8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J38" i="16" l="1"/>
  <c r="J46" i="16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A99" i="12" l="1"/>
  <c r="R156" i="12" s="1"/>
  <c r="BW10" i="13" s="1"/>
  <c r="BW9" i="13" s="1"/>
  <c r="BC9" i="13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T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AY104" i="12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BN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AX104" i="12"/>
  <c r="BL104" i="12"/>
  <c r="Z111" i="12"/>
  <c r="Y111" i="12"/>
  <c r="X111" i="12"/>
  <c r="W111" i="12"/>
  <c r="AC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S101" i="12" l="1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BK117" i="12" s="1"/>
  <c r="BK118" i="12" s="1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17" i="12" s="1"/>
  <c r="BV118" i="12" s="1"/>
  <c r="BV101" i="12"/>
  <c r="BJ100" i="12"/>
  <c r="BT101" i="12"/>
  <c r="BO100" i="12"/>
  <c r="BO117" i="12" s="1"/>
  <c r="BO118" i="12" s="1"/>
  <c r="BJ104" i="12"/>
  <c r="AW104" i="12"/>
  <c r="BN100" i="12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L101" i="12"/>
  <c r="BL117" i="12" s="1"/>
  <c r="BL118" i="12" s="1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I117" i="12" s="1"/>
  <c r="BI118" i="12" s="1"/>
  <c r="BR104" i="12"/>
  <c r="BL103" i="12"/>
  <c r="BJ99" i="12"/>
  <c r="J109" i="3"/>
  <c r="E101" i="3"/>
  <c r="P44" i="9"/>
  <c r="BX117" i="12" l="1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R99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<sst xmlns="http://schemas.openxmlformats.org/spreadsheetml/2006/main" count="5390" uniqueCount="1733">
  <si>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</si>
  <si>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</si>
  <si>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</si>
  <si>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</si>
  <si>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</si>
  <si>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</si>
  <si>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</si>
  <si>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</si>
  <si>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</si>
  <si>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</si>
  <si>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</si>
  <si>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</si>
  <si>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</si>
  <si>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</si>
  <si>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</si>
  <si>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</si>
  <si>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</si>
  <si>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</si>
  <si>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</si>
  <si>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</si>
  <si>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</si>
  <si>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</si>
  <si>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</si>
  <si>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</si>
  <si>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</si>
  <si>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</si>
  <si>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</si>
  <si>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</si>
  <si>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</si>
  <si>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</si>
  <si>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</si>
  <si>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</si>
  <si>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</si>
  <si>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</si>
  <si>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</si>
  <si>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</si>
  <si>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</si>
  <si>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</si>
  <si>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</si>
  <si>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</si>
  <si>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</si>
  <si>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</si>
  <si>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</si>
  <si>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</si>
  <si>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</si>
  <si>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</si>
  <si>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</si>
  <si>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</si>
  <si>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</si>
  <si>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</si>
  <si>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</si>
  <si>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</si>
  <si>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</si>
  <si>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</si>
  <si>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</si>
  <si>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</si>
  <si>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</si>
  <si>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</si>
  <si>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</si>
  <si>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</si>
  <si>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</si>
  <si>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</si>
  <si>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</si>
  <si>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</si>
  <si>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</si>
  <si>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</si>
  <si>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</si>
  <si>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</si>
  <si>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</si>
  <si>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</si>
  <si>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</si>
  <si>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</si>
  <si>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</si>
  <si>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</si>
  <si>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</si>
  <si>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</si>
  <si>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</si>
  <si>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</si>
  <si>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</si>
  <si>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</si>
  <si>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</si>
  <si>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</si>
  <si>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</si>
  <si>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</si>
  <si>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</si>
  <si>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</si>
  <si>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</si>
  <si>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</si>
  <si>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</si>
  <si>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</si>
  <si>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</si>
  <si>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</si>
  <si>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</si>
  <si>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</si>
  <si>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</si>
  <si>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</si>
  <si>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</si>
  <si>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</si>
  <si>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</si>
  <si>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</si>
  <si>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</si>
  <si>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</si>
  <si>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</si>
  <si>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</si>
  <si>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</si>
  <si>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</si>
  <si>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</si>
  <si>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</si>
  <si>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</si>
  <si>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</si>
  <si>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</si>
  <si>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</si>
  <si>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</si>
  <si>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</si>
  <si>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</si>
  <si>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</si>
  <si>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</si>
  <si>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</si>
  <si>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</si>
  <si>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</si>
  <si>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</si>
  <si>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</si>
  <si>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</si>
  <si>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</si>
  <si>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</si>
  <si>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</si>
  <si>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</si>
  <si>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</si>
  <si>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</si>
  <si>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</si>
  <si>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</si>
  <si>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</si>
  <si>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</si>
  <si>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</si>
  <si>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</si>
  <si>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</si>
  <si>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</si>
  <si>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</si>
  <si>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</si>
  <si>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</si>
  <si>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</si>
  <si>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</si>
  <si>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</si>
  <si>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</si>
  <si>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</si>
  <si>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</si>
  <si>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</si>
  <si>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</si>
  <si>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</si>
  <si>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</si>
  <si>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</si>
  <si>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</si>
  <si>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</si>
  <si>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</si>
  <si>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</si>
  <si>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</si>
  <si>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</si>
  <si>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</si>
  <si>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</si>
  <si>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</si>
  <si>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</si>
  <si>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</si>
  <si>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</si>
  <si>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</si>
  <si>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</si>
  <si>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</si>
  <si>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</si>
  <si>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</si>
  <si>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</si>
  <si>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</si>
  <si>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</si>
  <si>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</si>
  <si>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</si>
  <si>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</si>
  <si>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</si>
  <si>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</si>
  <si>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</si>
  <si>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</si>
  <si>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</si>
  <si>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</si>
  <si>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</si>
  <si>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</si>
  <si>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</si>
  <si>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</si>
  <si>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</si>
  <si>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</si>
  <si>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</si>
  <si>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</si>
  <si>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</si>
  <si>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</si>
  <si>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</si>
  <si>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</si>
  <si>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</si>
  <si>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</si>
  <si>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</si>
  <si>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</si>
  <si>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</si>
  <si>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</si>
  <si>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</si>
  <si>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</si>
  <si>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</si>
  <si>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</si>
  <si>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</si>
  <si>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</si>
  <si>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</si>
  <si>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</si>
  <si>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</si>
  <si>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</si>
  <si>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</si>
  <si>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</si>
  <si>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</si>
  <si>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</si>
  <si>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</si>
  <si>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</si>
  <si>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</si>
  <si>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</si>
  <si>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</si>
  <si>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</si>
  <si>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</si>
  <si>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</si>
  <si>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</si>
  <si>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</si>
  <si>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</si>
  <si>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</si>
  <si>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</si>
  <si>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</si>
  <si>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</si>
  <si>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</si>
  <si>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</si>
  <si>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</si>
  <si>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</si>
  <si>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</si>
  <si>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</si>
  <si>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</si>
  <si>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</si>
  <si>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</si>
  <si>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</si>
  <si>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</si>
  <si>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</si>
  <si>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</si>
  <si>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</si>
  <si>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</si>
  <si>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</si>
  <si>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</si>
  <si>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</si>
  <si>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</si>
  <si>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</si>
  <si>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</si>
  <si>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</si>
  <si>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</si>
  <si>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</si>
  <si>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</si>
  <si>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</si>
  <si>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</si>
  <si>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</si>
  <si>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</si>
  <si>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</si>
  <si>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</si>
  <si>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</si>
  <si>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</si>
  <si>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</si>
  <si>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</si>
  <si>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</si>
  <si>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</si>
  <si>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</si>
  <si>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</si>
  <si>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</si>
  <si>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</si>
  <si>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</si>
  <si>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</si>
  <si>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</si>
  <si>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</si>
  <si>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</si>
  <si>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</si>
  <si>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</si>
  <si>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</si>
  <si>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</si>
  <si>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</si>
  <si>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</si>
  <si>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</si>
  <si>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</si>
  <si>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</si>
  <si>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</si>
  <si>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</si>
  <si>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</si>
  <si>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</si>
  <si>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</si>
  <si>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</si>
  <si>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</si>
  <si>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</si>
  <si>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</si>
  <si>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</si>
  <si>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</si>
  <si>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</si>
  <si>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</si>
  <si>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</si>
  <si>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</si>
  <si>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</si>
  <si>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</si>
  <si>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</si>
  <si>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</si>
  <si>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</si>
  <si>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</si>
  <si>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</si>
  <si>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</si>
  <si>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</si>
  <si>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</si>
  <si>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</si>
  <si>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</si>
  <si>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</si>
  <si>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</si>
  <si>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</si>
  <si>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</si>
  <si>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</si>
  <si>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</si>
  <si>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</si>
  <si>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</si>
  <si>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</si>
  <si>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</si>
  <si>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</si>
  <si>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</si>
  <si>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</si>
  <si>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</si>
  <si>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</si>
  <si>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</si>
  <si>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</si>
  <si>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</si>
  <si>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</si>
  <si>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</si>
  <si>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</si>
  <si>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</si>
  <si>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</si>
  <si>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</si>
  <si>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</si>
  <si>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</si>
  <si>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</si>
  <si>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</si>
  <si>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</si>
  <si>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</si>
  <si>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</si>
  <si>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</si>
  <si>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</si>
  <si>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</si>
  <si>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</si>
  <si>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</si>
  <si>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</si>
  <si>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</si>
  <si>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</si>
  <si>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</si>
  <si>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</si>
  <si>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</si>
  <si>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</si>
  <si>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</si>
  <si>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</si>
  <si>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</si>
  <si>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</si>
  <si>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</si>
  <si>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</si>
  <si>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</si>
  <si>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</si>
  <si>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</si>
  <si>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</si>
  <si>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</si>
  <si>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</si>
  <si>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</si>
  <si>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</si>
  <si>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</si>
  <si>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</si>
  <si>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</si>
  <si>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</si>
  <si>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</si>
  <si>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</si>
  <si>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</si>
  <si>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</si>
  <si>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</si>
  <si>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</si>
  <si>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</si>
  <si>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</si>
  <si>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</si>
  <si>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</si>
  <si>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</si>
  <si>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</si>
  <si>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</si>
  <si>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</si>
  <si>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</si>
  <si>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</si>
  <si>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</si>
  <si>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</si>
  <si>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</si>
  <si>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</si>
  <si>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</si>
  <si>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</si>
  <si>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</si>
  <si>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</si>
  <si>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</si>
  <si>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</si>
  <si>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</si>
  <si>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</si>
  <si>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</si>
  <si>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</si>
  <si>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</si>
  <si>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</si>
  <si>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</si>
  <si>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</si>
  <si>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</si>
  <si>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</si>
  <si>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</si>
  <si>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</si>
  <si>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</si>
  <si>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</si>
  <si>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</si>
  <si>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</si>
  <si>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</si>
  <si>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</si>
  <si>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</si>
  <si>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</si>
  <si>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</si>
  <si>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</si>
  <si>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</si>
  <si>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</si>
  <si>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</si>
  <si>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</si>
  <si>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</si>
  <si>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</si>
  <si>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</si>
  <si>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</si>
  <si>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</si>
  <si>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</si>
  <si>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</si>
  <si>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</si>
  <si>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</si>
  <si>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</si>
  <si>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</si>
  <si>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</si>
  <si>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</si>
  <si>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</si>
  <si>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</si>
  <si>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</si>
  <si>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</si>
  <si>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</si>
  <si>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</si>
  <si>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</si>
  <si>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</si>
  <si>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</si>
  <si>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</si>
  <si>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</si>
  <si>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</si>
  <si>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</si>
  <si>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</si>
  <si>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</si>
  <si>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</si>
  <si>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</si>
  <si>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</si>
  <si>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</si>
  <si>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</si>
  <si>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</si>
  <si>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</si>
  <si>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</si>
  <si>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</si>
  <si>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</si>
  <si>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</si>
  <si>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</si>
  <si>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</si>
  <si>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</si>
  <si>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</si>
  <si>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</si>
  <si>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</si>
  <si>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</si>
  <si>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</si>
  <si>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</si>
  <si>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</si>
  <si>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</si>
  <si>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</si>
  <si>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</si>
  <si>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</si>
  <si>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</si>
  <si>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</si>
  <si>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</si>
  <si>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</si>
  <si>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</si>
  <si>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</si>
  <si>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</si>
  <si>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</si>
  <si>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</si>
  <si>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</si>
  <si>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</si>
  <si>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</si>
  <si>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</si>
  <si>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</si>
  <si>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</si>
  <si>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</si>
  <si>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</si>
  <si>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</si>
  <si>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</si>
  <si>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</si>
  <si>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</si>
  <si>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</si>
  <si>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</si>
  <si>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</si>
  <si>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</si>
  <si>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</si>
  <si>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</si>
  <si>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</si>
  <si>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</si>
  <si>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</si>
  <si>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</si>
  <si>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</si>
  <si>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</si>
  <si>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</si>
  <si>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</si>
  <si>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</si>
  <si>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</si>
  <si>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</si>
  <si>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</si>
  <si>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</si>
  <si>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</si>
  <si>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</si>
  <si>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</si>
  <si>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</si>
  <si>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</si>
  <si>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</si>
  <si>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</si>
  <si>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</si>
  <si>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</si>
  <si>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</si>
  <si>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</si>
  <si>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</si>
  <si>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</si>
  <si>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</si>
  <si>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</si>
  <si>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</si>
  <si>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</si>
  <si>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</si>
  <si>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</si>
  <si>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</si>
  <si>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</si>
  <si>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</si>
  <si>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</si>
  <si>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</si>
  <si>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</si>
  <si>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</si>
  <si>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</si>
  <si>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</si>
  <si>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</si>
  <si>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</si>
  <si>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</si>
  <si>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</si>
  <si>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</si>
  <si>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</si>
  <si>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</si>
  <si>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</si>
  <si>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</si>
  <si>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</si>
  <si>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</si>
  <si>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</si>
  <si>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</si>
  <si>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</si>
  <si>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</si>
  <si>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</si>
  <si>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</si>
  <si>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</si>
  <si>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</si>
  <si>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</si>
  <si>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</si>
  <si>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</si>
  <si>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</si>
  <si>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</si>
  <si>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</si>
  <si>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</si>
  <si>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</si>
  <si>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</si>
  <si>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</si>
  <si>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</si>
  <si>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</si>
  <si>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</si>
  <si>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</si>
  <si>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</si>
  <si>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</si>
  <si>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</si>
  <si>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</si>
  <si>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</si>
  <si>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</si>
  <si>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</si>
  <si>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</si>
  <si>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</si>
  <si>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</si>
  <si>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</si>
  <si>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</si>
  <si>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</si>
  <si>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</si>
  <si>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</si>
  <si>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</si>
  <si>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</si>
  <si>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</si>
  <si>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</si>
  <si>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</si>
  <si>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</si>
  <si>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</si>
  <si>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</si>
  <si>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</si>
  <si>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</si>
  <si>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</si>
  <si>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</si>
  <si>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</si>
  <si>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</si>
  <si>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</si>
  <si>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</si>
  <si>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</si>
  <si>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</si>
  <si>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</si>
  <si>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</si>
  <si>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</si>
  <si>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</si>
  <si>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</si>
  <si>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</si>
  <si>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</si>
  <si>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</si>
  <si>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</si>
  <si>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</si>
  <si>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</si>
  <si>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</si>
  <si>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</si>
  <si>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</si>
  <si>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</si>
  <si>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</si>
  <si>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</si>
  <si>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</si>
  <si>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</si>
  <si>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</si>
  <si>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</si>
  <si>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</si>
  <si>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</si>
  <si>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</si>
  <si>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</si>
  <si>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</si>
  <si>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</si>
  <si>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</si>
  <si>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</si>
  <si>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</si>
  <si>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</si>
  <si>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</si>
  <si>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</si>
  <si>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</si>
  <si>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</si>
  <si>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</si>
  <si>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</si>
  <si>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</si>
  <si>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</si>
  <si>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</si>
  <si>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</si>
  <si>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</si>
  <si>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</si>
  <si>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</si>
  <si>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</si>
  <si>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</si>
  <si>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</si>
  <si>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</si>
  <si>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</si>
  <si>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</si>
  <si>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</si>
  <si>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</si>
  <si>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</si>
  <si>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</si>
  <si>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</si>
  <si>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</si>
  <si>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</si>
  <si>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</si>
  <si>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</si>
  <si>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</si>
  <si>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</si>
  <si>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</si>
  <si>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</si>
  <si>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</si>
  <si>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</si>
  <si>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</si>
  <si>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</si>
  <si>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</si>
  <si>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</si>
  <si>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</si>
  <si>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</si>
  <si>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</si>
  <si>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</si>
  <si>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</si>
  <si>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</si>
  <si>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</si>
  <si>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</si>
  <si>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</si>
  <si>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</si>
  <si>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</si>
  <si>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</si>
  <si>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</si>
  <si>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</si>
  <si>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</si>
  <si>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</si>
  <si>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</si>
  <si>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</si>
  <si>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</si>
  <si>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</si>
  <si>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</si>
  <si>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</si>
  <si>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</si>
  <si>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</si>
  <si>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</si>
  <si>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</si>
  <si>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</si>
  <si>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</si>
  <si>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</si>
  <si>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</si>
  <si>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</si>
  <si>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</si>
  <si>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</si>
  <si>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</si>
  <si>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</si>
  <si>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</si>
  <si>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</si>
  <si>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</si>
  <si>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</si>
  <si>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</si>
  <si>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</si>
  <si>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</si>
  <si>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</si>
  <si>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</si>
  <si>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</si>
  <si>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</si>
  <si>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</si>
  <si>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</si>
  <si>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</si>
  <si>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</si>
  <si>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</si>
  <si>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</si>
  <si>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</si>
  <si>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</si>
  <si>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</si>
  <si>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</si>
  <si>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</si>
  <si>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</si>
  <si>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</si>
  <si>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</si>
  <si>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</si>
  <si>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</si>
  <si>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</si>
  <si>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</si>
  <si>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</si>
  <si>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</si>
  <si>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</si>
  <si>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</si>
  <si>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</si>
  <si>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</si>
  <si>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</si>
  <si>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</si>
  <si>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</si>
  <si>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</si>
  <si>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</si>
  <si>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</si>
  <si>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</si>
  <si>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</si>
  <si>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</si>
  <si>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</si>
  <si>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</si>
  <si>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</si>
  <si>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</si>
  <si>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</si>
  <si>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</si>
  <si>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</si>
  <si>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</si>
  <si>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</si>
  <si>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</si>
  <si>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</si>
  <si>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</si>
  <si>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</si>
  <si>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</si>
  <si>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</si>
  <si>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</si>
  <si>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</si>
  <si>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</si>
  <si>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</si>
  <si>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</si>
  <si>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</si>
  <si>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</si>
  <si>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</si>
  <si>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</si>
  <si>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</si>
  <si>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</si>
  <si>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</si>
  <si>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</si>
  <si>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</si>
  <si>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</si>
  <si>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</si>
  <si>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</si>
  <si>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</si>
  <si>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</si>
  <si>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</si>
  <si>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</si>
  <si>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</si>
  <si>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</si>
  <si>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</si>
  <si>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</si>
  <si>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</si>
  <si>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</si>
  <si>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</si>
  <si>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</si>
  <si>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</si>
  <si>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</si>
  <si>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</si>
  <si>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</si>
  <si>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</si>
  <si>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</si>
  <si>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</si>
  <si>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</si>
  <si>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</si>
  <si>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</si>
  <si>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</si>
  <si>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</si>
  <si>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</si>
  <si>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</si>
  <si>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</si>
  <si>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</si>
  <si>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</si>
  <si>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</si>
  <si>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</si>
  <si>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</si>
  <si>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</si>
  <si>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</si>
  <si>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</si>
  <si>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</si>
  <si>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</si>
  <si>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</si>
  <si>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</si>
  <si>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</si>
  <si>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</si>
  <si>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</si>
  <si>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</si>
  <si>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</si>
  <si>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</si>
  <si>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</si>
  <si>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</si>
  <si>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</si>
  <si>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</si>
  <si>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</si>
  <si>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</si>
  <si>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</si>
  <si>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</si>
  <si>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</si>
  <si>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</si>
  <si>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</si>
  <si>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</si>
  <si>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</si>
  <si>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</si>
  <si>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</si>
  <si>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</si>
  <si>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</si>
  <si>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</si>
  <si>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</si>
  <si>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</si>
  <si>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</si>
  <si>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</si>
  <si>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</si>
  <si>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</si>
  <si>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</si>
  <si>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</si>
  <si>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</si>
  <si>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</si>
  <si>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</si>
  <si>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</si>
  <si>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</si>
  <si>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</si>
  <si>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</si>
  <si>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</si>
  <si>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</si>
  <si>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</si>
  <si>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</si>
  <si>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</si>
  <si>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</si>
  <si>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</si>
  <si>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</si>
  <si>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</si>
  <si>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</si>
  <si>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</si>
  <si>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</si>
  <si>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</si>
  <si>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</si>
  <si>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</si>
  <si>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</si>
  <si>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</si>
  <si>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</si>
  <si>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</si>
  <si>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</si>
  <si>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</si>
  <si>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</si>
  <si>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</si>
  <si>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</si>
  <si>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</si>
  <si>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</si>
  <si>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</si>
  <si>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</si>
  <si>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</si>
  <si>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</si>
  <si>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</si>
  <si>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</si>
  <si>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</si>
  <si>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</si>
  <si>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</si>
  <si>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</si>
  <si>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</si>
  <si>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</si>
  <si>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</si>
  <si>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</si>
  <si>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</si>
  <si>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</si>
  <si>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</si>
  <si>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</si>
  <si>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</si>
  <si>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</si>
  <si>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</si>
  <si>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</si>
  <si>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</si>
  <si>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</si>
  <si>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</si>
  <si>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</si>
  <si>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</si>
  <si>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</si>
  <si>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</si>
  <si>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</si>
  <si>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</si>
  <si>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</si>
  <si>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</si>
  <si>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</si>
  <si>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</si>
  <si>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</si>
  <si>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</si>
  <si>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</si>
  <si>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</si>
  <si>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</si>
  <si>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</si>
  <si>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</si>
  <si>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</si>
  <si>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</si>
  <si>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</si>
  <si>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</si>
  <si>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</si>
  <si>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</si>
  <si>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</si>
  <si>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</si>
  <si>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</si>
  <si>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</si>
  <si>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</si>
  <si>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</si>
  <si>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</si>
  <si>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</si>
  <si>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</si>
  <si>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</si>
  <si>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</si>
  <si>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</si>
  <si>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</si>
  <si>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</si>
  <si>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</si>
  <si>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</si>
  <si>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</si>
  <si>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</si>
  <si>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</si>
  <si>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</si>
  <si>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</si>
  <si>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</si>
  <si>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</si>
  <si>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</si>
  <si>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</si>
  <si>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</si>
  <si>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</si>
  <si>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</si>
  <si>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</si>
  <si>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</si>
  <si>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</si>
  <si>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</si>
  <si>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</si>
  <si>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</si>
  <si>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</si>
  <si>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</si>
  <si>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</si>
  <si>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</si>
  <si>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</si>
  <si>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</si>
  <si>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</si>
  <si>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</si>
  <si>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</si>
  <si>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</si>
  <si>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</si>
  <si>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</si>
  <si>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</si>
  <si>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</si>
  <si>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</si>
  <si>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</si>
  <si>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</si>
  <si>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</si>
  <si>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</si>
  <si>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</si>
  <si>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</si>
  <si>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</si>
  <si>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</si>
  <si>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</si>
  <si>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</si>
  <si>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</si>
  <si>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</si>
  <si>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</si>
  <si>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</si>
  <si>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</si>
  <si>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</si>
  <si>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</si>
  <si>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</si>
  <si>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</si>
  <si>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</si>
  <si>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</si>
  <si>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</si>
  <si>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</si>
  <si>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</si>
  <si>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</si>
  <si>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</si>
  <si>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</si>
  <si>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</si>
  <si>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</si>
  <si>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</si>
  <si>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</si>
  <si>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</si>
  <si>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</si>
  <si>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</si>
  <si>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</si>
  <si>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</si>
  <si>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</si>
  <si>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</si>
  <si>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</si>
  <si>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</si>
  <si>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</si>
  <si>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</si>
  <si>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</si>
  <si>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</si>
  <si>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</si>
  <si>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</si>
  <si>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</si>
  <si>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</si>
  <si>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</si>
  <si>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</si>
  <si>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</si>
  <si>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</si>
  <si>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</si>
  <si>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</si>
  <si>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</si>
  <si>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</si>
  <si>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</si>
  <si>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</si>
  <si>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</si>
  <si>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</si>
  <si>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</si>
  <si>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~FI_T: INPUT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</si>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</sst>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</numFmts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</fills>
  <borders count="7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54" fillId="0" borderId="0" applyFont="0" applyFill="0" applyBorder="0" applyAlignment="0" applyProtection="0"/>
    <xf numFmtId="9" fontId="55" fillId="0" borderId="0" applyFont="0" applyFill="0" applyBorder="0" applyAlignment="0" applyProtection="0"/>
  </cellStyleXfs>
  <cellXfs count="953">
    <xf numFmtId="0" fontId="0" fillId="0" borderId="0" xfId="0"/>
    <xf numFmtId="0" fontId="7" fillId="2" borderId="1" xfId="0" applyFont="1" applyFill="1" applyBorder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horizontal="center" wrapText="1"/>
    </xf>
    <xf numFmtId="0" fontId="7" fillId="0" borderId="0" xfId="0" applyFont="1" applyAlignment="1">
      <alignment wrapText="1"/>
    </xf>
    <xf numFmtId="164" fontId="10" fillId="2" borderId="1" xfId="0" applyNumberFormat="1" applyFont="1" applyFill="1" applyBorder="1"/>
    <xf numFmtId="164" fontId="11" fillId="2" borderId="1" xfId="0" applyNumberFormat="1" applyFont="1" applyFill="1" applyBorder="1"/>
    <xf numFmtId="164" fontId="12" fillId="3" borderId="5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3" fillId="4" borderId="7" xfId="0" applyNumberFormat="1" applyFont="1" applyFill="1" applyBorder="1" applyAlignment="1">
      <alignment horizontal="left" wrapText="1"/>
    </xf>
    <xf numFmtId="165" fontId="7" fillId="0" borderId="0" xfId="0" applyNumberFormat="1" applyFont="1"/>
    <xf numFmtId="0" fontId="14" fillId="0" borderId="0" xfId="0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0" fillId="0" borderId="0" xfId="0" applyNumberFormat="1" applyFo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left"/>
    </xf>
    <xf numFmtId="165" fontId="7" fillId="2" borderId="1" xfId="0" applyNumberFormat="1" applyFont="1" applyFill="1" applyBorder="1"/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right"/>
    </xf>
    <xf numFmtId="0" fontId="17" fillId="0" borderId="0" xfId="0" applyFont="1"/>
    <xf numFmtId="0" fontId="8" fillId="0" borderId="10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8" fillId="0" borderId="8" xfId="0" applyFont="1" applyBorder="1"/>
    <xf numFmtId="0" fontId="18" fillId="0" borderId="13" xfId="0" applyFont="1" applyBorder="1" applyAlignment="1">
      <alignment horizontal="left"/>
    </xf>
    <xf numFmtId="0" fontId="18" fillId="0" borderId="9" xfId="0" applyFont="1" applyBorder="1"/>
    <xf numFmtId="0" fontId="7" fillId="0" borderId="10" xfId="0" applyFont="1" applyBorder="1"/>
    <xf numFmtId="0" fontId="15" fillId="0" borderId="13" xfId="0" applyFont="1" applyBorder="1" applyAlignment="1">
      <alignment horizontal="left"/>
    </xf>
    <xf numFmtId="0" fontId="15" fillId="0" borderId="9" xfId="0" applyFont="1" applyBorder="1" applyAlignment="1">
      <alignment horizontal="left" vertical="center"/>
    </xf>
    <xf numFmtId="0" fontId="7" fillId="0" borderId="13" xfId="0" applyFont="1" applyBorder="1" applyAlignment="1">
      <alignment horizontal="center"/>
    </xf>
    <xf numFmtId="2" fontId="7" fillId="0" borderId="10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7" fillId="0" borderId="14" xfId="0" applyFont="1" applyBorder="1"/>
    <xf numFmtId="0" fontId="15" fillId="0" borderId="15" xfId="0" applyFont="1" applyBorder="1" applyAlignment="1">
      <alignment horizontal="left"/>
    </xf>
    <xf numFmtId="0" fontId="15" fillId="0" borderId="16" xfId="0" applyFont="1" applyBorder="1" applyAlignment="1">
      <alignment horizontal="left" vertical="center"/>
    </xf>
    <xf numFmtId="0" fontId="7" fillId="0" borderId="15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7" fillId="0" borderId="11" xfId="0" applyFont="1" applyBorder="1"/>
    <xf numFmtId="0" fontId="15" fillId="0" borderId="0" xfId="0" applyFont="1" applyAlignment="1">
      <alignment horizontal="left"/>
    </xf>
    <xf numFmtId="2" fontId="7" fillId="0" borderId="11" xfId="0" applyNumberFormat="1" applyFont="1" applyBorder="1" applyAlignment="1">
      <alignment vertical="center"/>
    </xf>
    <xf numFmtId="2" fontId="7" fillId="0" borderId="12" xfId="0" applyNumberFormat="1" applyFont="1" applyBorder="1" applyAlignment="1">
      <alignment vertical="center"/>
    </xf>
    <xf numFmtId="0" fontId="7" fillId="0" borderId="17" xfId="0" applyFont="1" applyBorder="1"/>
    <xf numFmtId="0" fontId="15" fillId="0" borderId="18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2" fontId="7" fillId="0" borderId="17" xfId="0" applyNumberFormat="1" applyFont="1" applyBorder="1" applyAlignment="1">
      <alignment vertical="center"/>
    </xf>
    <xf numFmtId="2" fontId="7" fillId="0" borderId="19" xfId="0" applyNumberFormat="1" applyFont="1" applyBorder="1" applyAlignment="1">
      <alignment vertical="center"/>
    </xf>
    <xf numFmtId="0" fontId="16" fillId="0" borderId="12" xfId="0" applyFont="1" applyBorder="1" applyAlignment="1">
      <alignment horizontal="left" vertical="center"/>
    </xf>
    <xf numFmtId="2" fontId="7" fillId="0" borderId="11" xfId="0" applyNumberFormat="1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left" vertical="center"/>
    </xf>
    <xf numFmtId="0" fontId="15" fillId="0" borderId="19" xfId="0" applyFont="1" applyBorder="1" applyAlignment="1">
      <alignment horizontal="left" vertical="center"/>
    </xf>
    <xf numFmtId="2" fontId="7" fillId="0" borderId="17" xfId="0" applyNumberFormat="1" applyFont="1" applyBorder="1" applyAlignment="1">
      <alignment horizontal="center" vertical="center"/>
    </xf>
    <xf numFmtId="2" fontId="7" fillId="0" borderId="19" xfId="0" applyNumberFormat="1" applyFont="1" applyBorder="1" applyAlignment="1">
      <alignment horizontal="center" vertical="center"/>
    </xf>
    <xf numFmtId="166" fontId="16" fillId="0" borderId="0" xfId="0" applyNumberFormat="1" applyFont="1"/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left" vertical="center"/>
    </xf>
    <xf numFmtId="0" fontId="8" fillId="2" borderId="20" xfId="0" applyFont="1" applyFill="1" applyBorder="1" applyAlignment="1">
      <alignment horizontal="center"/>
    </xf>
    <xf numFmtId="2" fontId="7" fillId="0" borderId="21" xfId="0" applyNumberFormat="1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16" fillId="0" borderId="18" xfId="0" applyFont="1" applyBorder="1" applyAlignment="1">
      <alignment horizontal="left"/>
    </xf>
    <xf numFmtId="0" fontId="8" fillId="2" borderId="22" xfId="0" applyFont="1" applyFill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2" fontId="7" fillId="0" borderId="17" xfId="0" applyNumberFormat="1" applyFont="1" applyBorder="1" applyAlignment="1">
      <alignment horizontal="center"/>
    </xf>
    <xf numFmtId="1" fontId="16" fillId="0" borderId="0" xfId="0" applyNumberFormat="1" applyFont="1"/>
    <xf numFmtId="0" fontId="19" fillId="0" borderId="0" xfId="0" applyFont="1"/>
    <xf numFmtId="0" fontId="19" fillId="5" borderId="1" xfId="0" applyFont="1" applyFill="1" applyBorder="1" applyAlignment="1">
      <alignment horizontal="left"/>
    </xf>
    <xf numFmtId="9" fontId="19" fillId="5" borderId="1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10" fontId="19" fillId="0" borderId="0" xfId="0" applyNumberFormat="1" applyFont="1" applyAlignment="1">
      <alignment horizontal="left"/>
    </xf>
    <xf numFmtId="0" fontId="15" fillId="0" borderId="14" xfId="0" applyFont="1" applyBorder="1"/>
    <xf numFmtId="0" fontId="15" fillId="0" borderId="15" xfId="0" applyFont="1" applyBorder="1"/>
    <xf numFmtId="167" fontId="15" fillId="0" borderId="14" xfId="0" applyNumberFormat="1" applyFont="1" applyBorder="1"/>
    <xf numFmtId="167" fontId="15" fillId="0" borderId="16" xfId="0" applyNumberFormat="1" applyFont="1" applyBorder="1"/>
    <xf numFmtId="0" fontId="15" fillId="0" borderId="17" xfId="0" applyFont="1" applyBorder="1"/>
    <xf numFmtId="0" fontId="15" fillId="0" borderId="18" xfId="0" applyFont="1" applyBorder="1"/>
    <xf numFmtId="0" fontId="15" fillId="0" borderId="19" xfId="0" applyFont="1" applyBorder="1"/>
    <xf numFmtId="168" fontId="16" fillId="0" borderId="0" xfId="0" applyNumberFormat="1" applyFont="1"/>
    <xf numFmtId="2" fontId="7" fillId="0" borderId="24" xfId="0" applyNumberFormat="1" applyFont="1" applyBorder="1" applyAlignment="1">
      <alignment horizontal="center"/>
    </xf>
    <xf numFmtId="169" fontId="16" fillId="0" borderId="0" xfId="0" applyNumberFormat="1" applyFont="1"/>
    <xf numFmtId="167" fontId="16" fillId="0" borderId="0" xfId="0" applyNumberFormat="1" applyFont="1"/>
    <xf numFmtId="170" fontId="15" fillId="0" borderId="0" xfId="0" applyNumberFormat="1" applyFont="1"/>
    <xf numFmtId="1" fontId="15" fillId="0" borderId="0" xfId="0" applyNumberFormat="1" applyFont="1"/>
    <xf numFmtId="2" fontId="16" fillId="0" borderId="0" xfId="0" applyNumberFormat="1" applyFont="1"/>
    <xf numFmtId="0" fontId="18" fillId="0" borderId="24" xfId="0" applyFont="1" applyBorder="1"/>
    <xf numFmtId="0" fontId="18" fillId="0" borderId="16" xfId="0" applyFont="1" applyBorder="1"/>
    <xf numFmtId="0" fontId="15" fillId="0" borderId="24" xfId="0" applyFont="1" applyBorder="1"/>
    <xf numFmtId="0" fontId="16" fillId="0" borderId="15" xfId="0" applyFont="1" applyBorder="1"/>
    <xf numFmtId="0" fontId="16" fillId="0" borderId="16" xfId="0" applyFont="1" applyBorder="1" applyAlignment="1">
      <alignment horizontal="right"/>
    </xf>
    <xf numFmtId="0" fontId="8" fillId="0" borderId="2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15" fillId="0" borderId="21" xfId="0" applyFont="1" applyBorder="1"/>
    <xf numFmtId="0" fontId="16" fillId="0" borderId="0" xfId="0" applyFont="1" applyAlignment="1">
      <alignment horizontal="center"/>
    </xf>
    <xf numFmtId="0" fontId="16" fillId="0" borderId="12" xfId="0" applyFont="1" applyBorder="1" applyAlignment="1">
      <alignment horizontal="right"/>
    </xf>
    <xf numFmtId="0" fontId="8" fillId="0" borderId="0" xfId="0" applyFont="1"/>
    <xf numFmtId="0" fontId="16" fillId="0" borderId="0" xfId="0" applyFont="1" applyAlignment="1">
      <alignment horizontal="center" vertical="center"/>
    </xf>
    <xf numFmtId="0" fontId="20" fillId="0" borderId="12" xfId="0" applyFont="1" applyBorder="1" applyAlignment="1">
      <alignment horizontal="center"/>
    </xf>
    <xf numFmtId="0" fontId="7" fillId="0" borderId="8" xfId="0" applyFont="1" applyBorder="1"/>
    <xf numFmtId="0" fontId="7" fillId="0" borderId="13" xfId="0" applyFont="1" applyBorder="1"/>
    <xf numFmtId="2" fontId="7" fillId="0" borderId="8" xfId="0" applyNumberFormat="1" applyFont="1" applyBorder="1" applyAlignment="1">
      <alignment horizontal="center"/>
    </xf>
    <xf numFmtId="171" fontId="7" fillId="0" borderId="9" xfId="0" applyNumberFormat="1" applyFont="1" applyBorder="1" applyAlignment="1">
      <alignment horizontal="center"/>
    </xf>
    <xf numFmtId="2" fontId="15" fillId="0" borderId="8" xfId="0" applyNumberFormat="1" applyFont="1" applyBorder="1" applyAlignment="1">
      <alignment horizontal="center" vertical="center"/>
    </xf>
    <xf numFmtId="0" fontId="15" fillId="0" borderId="13" xfId="0" applyFont="1" applyBorder="1" applyAlignment="1">
      <alignment horizontal="center"/>
    </xf>
    <xf numFmtId="0" fontId="15" fillId="0" borderId="13" xfId="0" applyFont="1" applyBorder="1"/>
    <xf numFmtId="0" fontId="16" fillId="0" borderId="9" xfId="0" applyFont="1" applyBorder="1" applyAlignment="1">
      <alignment horizontal="center" vertical="center"/>
    </xf>
    <xf numFmtId="170" fontId="16" fillId="0" borderId="12" xfId="0" applyNumberFormat="1" applyFont="1" applyBorder="1" applyAlignment="1">
      <alignment horizontal="right"/>
    </xf>
    <xf numFmtId="0" fontId="7" fillId="0" borderId="24" xfId="0" applyFont="1" applyBorder="1"/>
    <xf numFmtId="0" fontId="7" fillId="0" borderId="15" xfId="0" applyFont="1" applyBorder="1"/>
    <xf numFmtId="2" fontId="15" fillId="0" borderId="24" xfId="0" applyNumberFormat="1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7" fillId="0" borderId="21" xfId="0" applyFont="1" applyBorder="1"/>
    <xf numFmtId="0" fontId="7" fillId="0" borderId="23" xfId="0" applyFont="1" applyBorder="1"/>
    <xf numFmtId="0" fontId="7" fillId="0" borderId="18" xfId="0" applyFont="1" applyBorder="1"/>
    <xf numFmtId="171" fontId="7" fillId="0" borderId="16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71" fontId="7" fillId="0" borderId="12" xfId="0" applyNumberFormat="1" applyFont="1" applyBorder="1" applyAlignment="1">
      <alignment horizontal="center"/>
    </xf>
    <xf numFmtId="2" fontId="15" fillId="0" borderId="21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16" fillId="0" borderId="12" xfId="0" applyFont="1" applyBorder="1" applyAlignment="1">
      <alignment horizontal="center" vertical="center"/>
    </xf>
    <xf numFmtId="170" fontId="7" fillId="0" borderId="21" xfId="0" applyNumberFormat="1" applyFont="1" applyBorder="1" applyAlignment="1">
      <alignment horizontal="center"/>
    </xf>
    <xf numFmtId="171" fontId="7" fillId="0" borderId="19" xfId="0" applyNumberFormat="1" applyFont="1" applyBorder="1" applyAlignment="1">
      <alignment horizontal="center"/>
    </xf>
    <xf numFmtId="2" fontId="15" fillId="0" borderId="23" xfId="0" applyNumberFormat="1" applyFont="1" applyBorder="1" applyAlignment="1">
      <alignment horizontal="center" vertical="center"/>
    </xf>
    <xf numFmtId="0" fontId="15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/>
    </xf>
    <xf numFmtId="2" fontId="7" fillId="0" borderId="12" xfId="0" applyNumberFormat="1" applyFont="1" applyBorder="1" applyAlignment="1">
      <alignment horizontal="right"/>
    </xf>
    <xf numFmtId="170" fontId="15" fillId="0" borderId="24" xfId="0" applyNumberFormat="1" applyFont="1" applyBorder="1" applyAlignment="1">
      <alignment horizontal="center" vertical="center"/>
    </xf>
    <xf numFmtId="2" fontId="7" fillId="0" borderId="19" xfId="0" applyNumberFormat="1" applyFont="1" applyBorder="1" applyAlignment="1">
      <alignment horizontal="right"/>
    </xf>
    <xf numFmtId="0" fontId="15" fillId="0" borderId="23" xfId="0" applyFont="1" applyBorder="1"/>
    <xf numFmtId="0" fontId="16" fillId="0" borderId="19" xfId="0" applyFont="1" applyBorder="1"/>
    <xf numFmtId="0" fontId="16" fillId="0" borderId="18" xfId="0" applyFont="1" applyBorder="1"/>
    <xf numFmtId="0" fontId="16" fillId="0" borderId="19" xfId="0" applyFont="1" applyBorder="1" applyAlignment="1">
      <alignment horizontal="right"/>
    </xf>
    <xf numFmtId="9" fontId="19" fillId="0" borderId="0" xfId="0" applyNumberFormat="1" applyFont="1" applyAlignment="1">
      <alignment horizontal="left"/>
    </xf>
    <xf numFmtId="172" fontId="15" fillId="0" borderId="0" xfId="0" applyNumberFormat="1" applyFont="1"/>
    <xf numFmtId="171" fontId="15" fillId="0" borderId="0" xfId="0" applyNumberFormat="1" applyFont="1"/>
    <xf numFmtId="0" fontId="21" fillId="0" borderId="0" xfId="0" applyFont="1"/>
    <xf numFmtId="0" fontId="18" fillId="0" borderId="0" xfId="0" applyFont="1"/>
    <xf numFmtId="0" fontId="22" fillId="0" borderId="25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173" fontId="15" fillId="0" borderId="0" xfId="0" applyNumberFormat="1" applyFont="1"/>
    <xf numFmtId="11" fontId="15" fillId="0" borderId="0" xfId="0" applyNumberFormat="1" applyFont="1"/>
    <xf numFmtId="0" fontId="22" fillId="0" borderId="27" xfId="0" applyFont="1" applyBorder="1" applyAlignment="1">
      <alignment vertical="center" wrapText="1"/>
    </xf>
    <xf numFmtId="0" fontId="22" fillId="0" borderId="28" xfId="0" applyFont="1" applyBorder="1" applyAlignment="1">
      <alignment vertical="center" wrapText="1"/>
    </xf>
    <xf numFmtId="0" fontId="23" fillId="6" borderId="32" xfId="0" applyFont="1" applyFill="1" applyBorder="1" applyAlignment="1">
      <alignment vertical="center"/>
    </xf>
    <xf numFmtId="0" fontId="24" fillId="7" borderId="32" xfId="0" applyFont="1" applyFill="1" applyBorder="1" applyAlignment="1">
      <alignment vertical="center"/>
    </xf>
    <xf numFmtId="0" fontId="24" fillId="7" borderId="32" xfId="0" applyFont="1" applyFill="1" applyBorder="1" applyAlignment="1">
      <alignment horizontal="center" vertical="center"/>
    </xf>
    <xf numFmtId="0" fontId="24" fillId="7" borderId="33" xfId="0" applyFont="1" applyFill="1" applyBorder="1"/>
    <xf numFmtId="0" fontId="24" fillId="7" borderId="34" xfId="0" applyFont="1" applyFill="1" applyBorder="1"/>
    <xf numFmtId="0" fontId="24" fillId="7" borderId="32" xfId="0" applyFont="1" applyFill="1" applyBorder="1" applyAlignment="1">
      <alignment horizontal="center"/>
    </xf>
    <xf numFmtId="0" fontId="24" fillId="7" borderId="32" xfId="0" applyFont="1" applyFill="1" applyBorder="1" applyAlignment="1">
      <alignment horizontal="center" vertical="center" wrapText="1"/>
    </xf>
    <xf numFmtId="0" fontId="19" fillId="0" borderId="32" xfId="0" applyFont="1" applyBorder="1" applyAlignment="1">
      <alignment horizontal="left" vertical="top"/>
    </xf>
    <xf numFmtId="0" fontId="19" fillId="0" borderId="32" xfId="0" applyFont="1" applyBorder="1" applyAlignment="1">
      <alignment vertical="center" wrapText="1"/>
    </xf>
    <xf numFmtId="0" fontId="19" fillId="0" borderId="32" xfId="0" applyFont="1" applyBorder="1"/>
    <xf numFmtId="171" fontId="19" fillId="0" borderId="32" xfId="0" applyNumberFormat="1" applyFont="1" applyBorder="1"/>
    <xf numFmtId="174" fontId="19" fillId="0" borderId="32" xfId="0" applyNumberFormat="1" applyFont="1" applyBorder="1"/>
    <xf numFmtId="0" fontId="19" fillId="8" borderId="32" xfId="0" applyFont="1" applyFill="1" applyBorder="1" applyAlignment="1">
      <alignment horizontal="left" vertical="top"/>
    </xf>
    <xf numFmtId="0" fontId="19" fillId="8" borderId="32" xfId="0" applyFont="1" applyFill="1" applyBorder="1" applyAlignment="1">
      <alignment vertical="center" wrapText="1"/>
    </xf>
    <xf numFmtId="0" fontId="19" fillId="8" borderId="32" xfId="0" applyFont="1" applyFill="1" applyBorder="1"/>
    <xf numFmtId="171" fontId="19" fillId="8" borderId="32" xfId="0" applyNumberFormat="1" applyFont="1" applyFill="1" applyBorder="1"/>
    <xf numFmtId="174" fontId="19" fillId="8" borderId="32" xfId="0" applyNumberFormat="1" applyFont="1" applyFill="1" applyBorder="1"/>
    <xf numFmtId="0" fontId="25" fillId="0" borderId="32" xfId="0" applyFont="1" applyBorder="1" applyAlignment="1">
      <alignment horizontal="left" vertical="top"/>
    </xf>
    <xf numFmtId="0" fontId="26" fillId="0" borderId="32" xfId="0" applyFont="1" applyBorder="1" applyAlignment="1">
      <alignment vertical="center" wrapText="1"/>
    </xf>
    <xf numFmtId="0" fontId="26" fillId="0" borderId="32" xfId="0" applyFont="1" applyBorder="1"/>
    <xf numFmtId="171" fontId="26" fillId="0" borderId="32" xfId="0" applyNumberFormat="1" applyFont="1" applyBorder="1"/>
    <xf numFmtId="174" fontId="26" fillId="0" borderId="32" xfId="0" applyNumberFormat="1" applyFont="1" applyBorder="1"/>
    <xf numFmtId="171" fontId="25" fillId="0" borderId="32" xfId="0" applyNumberFormat="1" applyFont="1" applyBorder="1"/>
    <xf numFmtId="0" fontId="25" fillId="8" borderId="32" xfId="0" applyFont="1" applyFill="1" applyBorder="1" applyAlignment="1">
      <alignment horizontal="right" vertical="top"/>
    </xf>
    <xf numFmtId="0" fontId="19" fillId="8" borderId="32" xfId="0" applyFont="1" applyFill="1" applyBorder="1" applyAlignment="1">
      <alignment horizontal="left" vertical="center" wrapText="1"/>
    </xf>
    <xf numFmtId="0" fontId="25" fillId="0" borderId="32" xfId="0" applyFont="1" applyBorder="1" applyAlignment="1">
      <alignment horizontal="right" vertical="top"/>
    </xf>
    <xf numFmtId="0" fontId="19" fillId="0" borderId="32" xfId="0" applyFont="1" applyBorder="1" applyAlignment="1">
      <alignment horizontal="left" vertical="center" wrapText="1"/>
    </xf>
    <xf numFmtId="0" fontId="24" fillId="6" borderId="32" xfId="0" applyFont="1" applyFill="1" applyBorder="1" applyAlignment="1">
      <alignment vertical="center"/>
    </xf>
    <xf numFmtId="166" fontId="19" fillId="0" borderId="32" xfId="0" applyNumberFormat="1" applyFont="1" applyBorder="1"/>
    <xf numFmtId="175" fontId="19" fillId="0" borderId="32" xfId="0" applyNumberFormat="1" applyFont="1" applyBorder="1"/>
    <xf numFmtId="166" fontId="19" fillId="8" borderId="32" xfId="0" applyNumberFormat="1" applyFont="1" applyFill="1" applyBorder="1"/>
    <xf numFmtId="175" fontId="19" fillId="8" borderId="32" xfId="0" applyNumberFormat="1" applyFont="1" applyFill="1" applyBorder="1"/>
    <xf numFmtId="172" fontId="19" fillId="8" borderId="32" xfId="0" applyNumberFormat="1" applyFont="1" applyFill="1" applyBorder="1"/>
    <xf numFmtId="166" fontId="19" fillId="0" borderId="0" xfId="0" applyNumberFormat="1" applyFont="1"/>
    <xf numFmtId="175" fontId="19" fillId="0" borderId="0" xfId="0" applyNumberFormat="1" applyFont="1"/>
    <xf numFmtId="0" fontId="23" fillId="6" borderId="1" xfId="0" applyFont="1" applyFill="1" applyBorder="1" applyAlignment="1">
      <alignment horizontal="center" vertical="center"/>
    </xf>
    <xf numFmtId="0" fontId="24" fillId="7" borderId="33" xfId="0" applyFont="1" applyFill="1" applyBorder="1" applyAlignment="1">
      <alignment horizontal="center" vertical="center" wrapText="1"/>
    </xf>
    <xf numFmtId="0" fontId="24" fillId="7" borderId="34" xfId="0" applyFont="1" applyFill="1" applyBorder="1" applyAlignment="1">
      <alignment horizontal="center" vertical="center" wrapText="1"/>
    </xf>
    <xf numFmtId="166" fontId="19" fillId="2" borderId="33" xfId="0" applyNumberFormat="1" applyFont="1" applyFill="1" applyBorder="1"/>
    <xf numFmtId="166" fontId="19" fillId="2" borderId="34" xfId="0" applyNumberFormat="1" applyFont="1" applyFill="1" applyBorder="1"/>
    <xf numFmtId="175" fontId="19" fillId="2" borderId="32" xfId="0" applyNumberFormat="1" applyFont="1" applyFill="1" applyBorder="1"/>
    <xf numFmtId="166" fontId="19" fillId="2" borderId="32" xfId="0" applyNumberFormat="1" applyFont="1" applyFill="1" applyBorder="1"/>
    <xf numFmtId="166" fontId="19" fillId="8" borderId="33" xfId="0" applyNumberFormat="1" applyFont="1" applyFill="1" applyBorder="1"/>
    <xf numFmtId="166" fontId="19" fillId="8" borderId="34" xfId="0" applyNumberFormat="1" applyFont="1" applyFill="1" applyBorder="1"/>
    <xf numFmtId="166" fontId="27" fillId="2" borderId="33" xfId="0" applyNumberFormat="1" applyFont="1" applyFill="1" applyBorder="1"/>
    <xf numFmtId="166" fontId="27" fillId="2" borderId="34" xfId="0" applyNumberFormat="1" applyFont="1" applyFill="1" applyBorder="1"/>
    <xf numFmtId="175" fontId="27" fillId="2" borderId="32" xfId="0" applyNumberFormat="1" applyFont="1" applyFill="1" applyBorder="1"/>
    <xf numFmtId="166" fontId="27" fillId="2" borderId="32" xfId="0" applyNumberFormat="1" applyFont="1" applyFill="1" applyBorder="1"/>
    <xf numFmtId="166" fontId="24" fillId="7" borderId="32" xfId="0" applyNumberFormat="1" applyFont="1" applyFill="1" applyBorder="1" applyAlignment="1">
      <alignment horizontal="center" vertical="center" wrapText="1"/>
    </xf>
    <xf numFmtId="166" fontId="27" fillId="8" borderId="33" xfId="0" applyNumberFormat="1" applyFont="1" applyFill="1" applyBorder="1"/>
    <xf numFmtId="166" fontId="27" fillId="8" borderId="34" xfId="0" applyNumberFormat="1" applyFont="1" applyFill="1" applyBorder="1"/>
    <xf numFmtId="175" fontId="27" fillId="8" borderId="32" xfId="0" applyNumberFormat="1" applyFont="1" applyFill="1" applyBorder="1"/>
    <xf numFmtId="166" fontId="27" fillId="8" borderId="32" xfId="0" applyNumberFormat="1" applyFont="1" applyFill="1" applyBorder="1"/>
    <xf numFmtId="0" fontId="28" fillId="0" borderId="0" xfId="0" applyFont="1"/>
    <xf numFmtId="0" fontId="28" fillId="0" borderId="0" xfId="0" applyFont="1" applyAlignment="1">
      <alignment wrapText="1"/>
    </xf>
    <xf numFmtId="1" fontId="29" fillId="0" borderId="0" xfId="0" applyNumberFormat="1" applyFont="1" applyAlignment="1">
      <alignment horizontal="center" vertical="center"/>
    </xf>
    <xf numFmtId="169" fontId="7" fillId="0" borderId="0" xfId="0" applyNumberFormat="1" applyFont="1"/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/>
    <xf numFmtId="0" fontId="12" fillId="3" borderId="5" xfId="0" applyFont="1" applyFill="1" applyBorder="1" applyAlignment="1">
      <alignment horizontal="left"/>
    </xf>
    <xf numFmtId="0" fontId="12" fillId="3" borderId="6" xfId="0" applyFont="1" applyFill="1" applyBorder="1" applyAlignment="1">
      <alignment horizontal="left"/>
    </xf>
    <xf numFmtId="0" fontId="12" fillId="3" borderId="5" xfId="0" applyFont="1" applyFill="1" applyBorder="1" applyAlignment="1">
      <alignment horizontal="center" wrapText="1"/>
    </xf>
    <xf numFmtId="0" fontId="13" fillId="4" borderId="7" xfId="0" applyFont="1" applyFill="1" applyBorder="1" applyAlignment="1">
      <alignment horizontal="left" wrapText="1"/>
    </xf>
    <xf numFmtId="0" fontId="13" fillId="4" borderId="7" xfId="0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center" wrapText="1"/>
    </xf>
    <xf numFmtId="0" fontId="7" fillId="0" borderId="0" xfId="0" applyFont="1" applyAlignment="1">
      <alignment horizontal="center" vertical="center"/>
    </xf>
    <xf numFmtId="170" fontId="7" fillId="0" borderId="0" xfId="0" applyNumberFormat="1" applyFont="1"/>
    <xf numFmtId="0" fontId="7" fillId="5" borderId="1" xfId="0" applyFont="1" applyFill="1" applyBorder="1"/>
    <xf numFmtId="0" fontId="7" fillId="9" borderId="1" xfId="0" applyFont="1" applyFill="1" applyBorder="1"/>
    <xf numFmtId="9" fontId="7" fillId="9" borderId="1" xfId="0" applyNumberFormat="1" applyFont="1" applyFill="1" applyBorder="1"/>
    <xf numFmtId="0" fontId="30" fillId="10" borderId="1" xfId="0" applyFont="1" applyFill="1" applyBorder="1" applyAlignment="1">
      <alignment horizontal="center" vertical="center"/>
    </xf>
    <xf numFmtId="2" fontId="7" fillId="10" borderId="1" xfId="0" applyNumberFormat="1" applyFont="1" applyFill="1" applyBorder="1"/>
    <xf numFmtId="0" fontId="30" fillId="0" borderId="0" xfId="0" applyFont="1" applyAlignment="1">
      <alignment horizontal="center" vertical="center"/>
    </xf>
    <xf numFmtId="2" fontId="7" fillId="0" borderId="0" xfId="0" applyNumberFormat="1" applyFont="1"/>
    <xf numFmtId="170" fontId="7" fillId="9" borderId="1" xfId="0" applyNumberFormat="1" applyFont="1" applyFill="1" applyBorder="1"/>
    <xf numFmtId="169" fontId="7" fillId="9" borderId="1" xfId="0" applyNumberFormat="1" applyFont="1" applyFill="1" applyBorder="1"/>
    <xf numFmtId="167" fontId="7" fillId="9" borderId="1" xfId="0" applyNumberFormat="1" applyFont="1" applyFill="1" applyBorder="1"/>
    <xf numFmtId="169" fontId="7" fillId="10" borderId="1" xfId="0" applyNumberFormat="1" applyFont="1" applyFill="1" applyBorder="1"/>
    <xf numFmtId="0" fontId="30" fillId="0" borderId="0" xfId="0" applyFont="1" applyAlignment="1">
      <alignment horizontal="center"/>
    </xf>
    <xf numFmtId="9" fontId="7" fillId="0" borderId="0" xfId="0" applyNumberFormat="1" applyFont="1"/>
    <xf numFmtId="0" fontId="7" fillId="11" borderId="41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1" fontId="7" fillId="0" borderId="0" xfId="0" applyNumberFormat="1" applyFont="1"/>
    <xf numFmtId="176" fontId="7" fillId="11" borderId="41" xfId="0" applyNumberFormat="1" applyFont="1" applyFill="1" applyBorder="1" applyAlignment="1">
      <alignment horizontal="center" vertical="center"/>
    </xf>
    <xf numFmtId="0" fontId="15" fillId="2" borderId="1" xfId="0" applyFont="1" applyFill="1" applyBorder="1"/>
    <xf numFmtId="0" fontId="31" fillId="2" borderId="1" xfId="0" applyFont="1" applyFill="1" applyBorder="1"/>
    <xf numFmtId="0" fontId="31" fillId="0" borderId="0" xfId="0" applyFont="1"/>
    <xf numFmtId="164" fontId="31" fillId="0" borderId="0" xfId="0" applyNumberFormat="1" applyFont="1"/>
    <xf numFmtId="0" fontId="18" fillId="3" borderId="5" xfId="0" applyFont="1" applyFill="1" applyBorder="1" applyAlignment="1">
      <alignment vertical="center"/>
    </xf>
    <xf numFmtId="0" fontId="18" fillId="3" borderId="6" xfId="0" applyFont="1" applyFill="1" applyBorder="1" applyAlignment="1">
      <alignment horizontal="left"/>
    </xf>
    <xf numFmtId="0" fontId="18" fillId="3" borderId="6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164" fontId="18" fillId="3" borderId="6" xfId="0" applyNumberFormat="1" applyFont="1" applyFill="1" applyBorder="1" applyAlignment="1">
      <alignment horizontal="left"/>
    </xf>
    <xf numFmtId="0" fontId="15" fillId="4" borderId="5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vertical="center"/>
    </xf>
    <xf numFmtId="0" fontId="15" fillId="2" borderId="1" xfId="0" applyFont="1" applyFill="1" applyBorder="1" applyAlignment="1">
      <alignment horizontal="left"/>
    </xf>
    <xf numFmtId="0" fontId="15" fillId="4" borderId="6" xfId="0" applyFont="1" applyFill="1" applyBorder="1" applyAlignment="1">
      <alignment horizontal="left" wrapText="1"/>
    </xf>
    <xf numFmtId="0" fontId="15" fillId="2" borderId="1" xfId="0" applyFont="1" applyFill="1" applyBorder="1" applyAlignment="1">
      <alignment horizontal="center" wrapText="1"/>
    </xf>
    <xf numFmtId="169" fontId="15" fillId="0" borderId="0" xfId="0" applyNumberFormat="1" applyFont="1"/>
    <xf numFmtId="0" fontId="15" fillId="0" borderId="0" xfId="0" applyFont="1" applyAlignment="1">
      <alignment horizontal="center" vertical="center"/>
    </xf>
    <xf numFmtId="169" fontId="15" fillId="2" borderId="1" xfId="0" applyNumberFormat="1" applyFont="1" applyFill="1" applyBorder="1"/>
    <xf numFmtId="0" fontId="11" fillId="2" borderId="1" xfId="0" applyFont="1" applyFill="1" applyBorder="1" applyAlignment="1">
      <alignment vertical="center" wrapText="1"/>
    </xf>
    <xf numFmtId="169" fontId="11" fillId="2" borderId="1" xfId="0" applyNumberFormat="1" applyFont="1" applyFill="1" applyBorder="1" applyAlignment="1">
      <alignment wrapText="1"/>
    </xf>
    <xf numFmtId="164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wrapText="1"/>
    </xf>
    <xf numFmtId="164" fontId="15" fillId="2" borderId="1" xfId="0" applyNumberFormat="1" applyFont="1" applyFill="1" applyBorder="1" applyAlignment="1">
      <alignment horizontal="left" wrapText="1"/>
    </xf>
    <xf numFmtId="164" fontId="15" fillId="0" borderId="0" xfId="0" applyNumberFormat="1" applyFont="1"/>
    <xf numFmtId="9" fontId="15" fillId="0" borderId="0" xfId="0" applyNumberFormat="1" applyFont="1" applyAlignment="1">
      <alignment horizontal="center" vertical="center"/>
    </xf>
    <xf numFmtId="9" fontId="15" fillId="0" borderId="0" xfId="0" applyNumberFormat="1" applyFont="1"/>
    <xf numFmtId="0" fontId="7" fillId="11" borderId="1" xfId="0" applyFont="1" applyFill="1" applyBorder="1"/>
    <xf numFmtId="0" fontId="8" fillId="11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 vertical="center"/>
    </xf>
    <xf numFmtId="9" fontId="7" fillId="11" borderId="1" xfId="0" applyNumberFormat="1" applyFont="1" applyFill="1" applyBorder="1"/>
    <xf numFmtId="10" fontId="7" fillId="0" borderId="0" xfId="0" applyNumberFormat="1" applyFont="1"/>
    <xf numFmtId="177" fontId="7" fillId="0" borderId="0" xfId="0" applyNumberFormat="1" applyFont="1"/>
    <xf numFmtId="0" fontId="10" fillId="0" borderId="0" xfId="0" applyFont="1"/>
    <xf numFmtId="0" fontId="11" fillId="0" borderId="0" xfId="0" applyFont="1"/>
    <xf numFmtId="0" fontId="12" fillId="3" borderId="6" xfId="0" applyFont="1" applyFill="1" applyBorder="1" applyAlignment="1">
      <alignment vertical="center"/>
    </xf>
    <xf numFmtId="0" fontId="12" fillId="3" borderId="6" xfId="0" applyFont="1" applyFill="1" applyBorder="1" applyAlignment="1">
      <alignment horizontal="center" vertical="center"/>
    </xf>
    <xf numFmtId="169" fontId="11" fillId="2" borderId="1" xfId="0" applyNumberFormat="1" applyFont="1" applyFill="1" applyBorder="1" applyAlignment="1">
      <alignment horizontal="center"/>
    </xf>
    <xf numFmtId="169" fontId="7" fillId="2" borderId="1" xfId="0" applyNumberFormat="1" applyFont="1" applyFill="1" applyBorder="1" applyAlignment="1">
      <alignment horizontal="center"/>
    </xf>
    <xf numFmtId="169" fontId="7" fillId="0" borderId="0" xfId="0" applyNumberFormat="1" applyFont="1" applyAlignment="1">
      <alignment horizontal="center"/>
    </xf>
    <xf numFmtId="169" fontId="14" fillId="0" borderId="0" xfId="0" applyNumberFormat="1" applyFont="1"/>
    <xf numFmtId="0" fontId="18" fillId="0" borderId="11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32" fillId="2" borderId="1" xfId="0" applyFont="1" applyFill="1" applyBorder="1"/>
    <xf numFmtId="0" fontId="32" fillId="0" borderId="0" xfId="0" applyFont="1"/>
    <xf numFmtId="178" fontId="7" fillId="0" borderId="0" xfId="0" applyNumberFormat="1" applyFont="1"/>
    <xf numFmtId="0" fontId="7" fillId="12" borderId="1" xfId="0" applyFont="1" applyFill="1" applyBorder="1"/>
    <xf numFmtId="0" fontId="33" fillId="0" borderId="0" xfId="0" applyFont="1"/>
    <xf numFmtId="0" fontId="10" fillId="0" borderId="0" xfId="0" applyFont="1" applyAlignment="1">
      <alignment horizontal="left"/>
    </xf>
    <xf numFmtId="0" fontId="12" fillId="3" borderId="7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34" fillId="0" borderId="0" xfId="0" applyFont="1"/>
    <xf numFmtId="0" fontId="35" fillId="0" borderId="0" xfId="0" applyFont="1"/>
    <xf numFmtId="0" fontId="28" fillId="0" borderId="0" xfId="0" applyFont="1" applyAlignment="1">
      <alignment horizontal="center" vertical="center"/>
    </xf>
    <xf numFmtId="166" fontId="28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66" fontId="7" fillId="0" borderId="0" xfId="0" applyNumberFormat="1" applyFont="1"/>
    <xf numFmtId="166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/>
    </xf>
    <xf numFmtId="174" fontId="7" fillId="0" borderId="0" xfId="0" applyNumberFormat="1" applyFont="1"/>
    <xf numFmtId="0" fontId="19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center"/>
    </xf>
    <xf numFmtId="171" fontId="7" fillId="0" borderId="0" xfId="0" applyNumberFormat="1" applyFont="1"/>
    <xf numFmtId="0" fontId="19" fillId="10" borderId="43" xfId="0" applyFont="1" applyFill="1" applyBorder="1"/>
    <xf numFmtId="0" fontId="8" fillId="10" borderId="5" xfId="0" applyFont="1" applyFill="1" applyBorder="1"/>
    <xf numFmtId="0" fontId="7" fillId="10" borderId="5" xfId="0" applyFont="1" applyFill="1" applyBorder="1"/>
    <xf numFmtId="0" fontId="7" fillId="10" borderId="44" xfId="0" applyFont="1" applyFill="1" applyBorder="1"/>
    <xf numFmtId="0" fontId="19" fillId="0" borderId="21" xfId="0" applyFont="1" applyBorder="1"/>
    <xf numFmtId="0" fontId="7" fillId="0" borderId="12" xfId="0" applyFont="1" applyBorder="1"/>
    <xf numFmtId="0" fontId="7" fillId="10" borderId="1" xfId="0" applyFont="1" applyFill="1" applyBorder="1"/>
    <xf numFmtId="9" fontId="7" fillId="10" borderId="1" xfId="0" applyNumberFormat="1" applyFont="1" applyFill="1" applyBorder="1"/>
    <xf numFmtId="0" fontId="19" fillId="10" borderId="45" xfId="0" applyFont="1" applyFill="1" applyBorder="1"/>
    <xf numFmtId="9" fontId="7" fillId="2" borderId="1" xfId="0" applyNumberFormat="1" applyFont="1" applyFill="1" applyBorder="1"/>
    <xf numFmtId="0" fontId="19" fillId="0" borderId="23" xfId="0" applyFont="1" applyBorder="1"/>
    <xf numFmtId="10" fontId="7" fillId="0" borderId="18" xfId="0" applyNumberFormat="1" applyFont="1" applyBorder="1"/>
    <xf numFmtId="0" fontId="7" fillId="0" borderId="19" xfId="0" applyFont="1" applyBorder="1"/>
    <xf numFmtId="10" fontId="7" fillId="0" borderId="0" xfId="0" applyNumberFormat="1" applyFont="1" applyAlignment="1">
      <alignment horizontal="center" vertical="center"/>
    </xf>
    <xf numFmtId="10" fontId="7" fillId="0" borderId="0" xfId="0" applyNumberFormat="1" applyFont="1" applyAlignment="1">
      <alignment horizontal="center"/>
    </xf>
    <xf numFmtId="2" fontId="7" fillId="0" borderId="15" xfId="0" applyNumberFormat="1" applyFont="1" applyBorder="1"/>
    <xf numFmtId="2" fontId="7" fillId="0" borderId="16" xfId="0" applyNumberFormat="1" applyFont="1" applyBorder="1"/>
    <xf numFmtId="2" fontId="7" fillId="0" borderId="12" xfId="0" applyNumberFormat="1" applyFont="1" applyBorder="1"/>
    <xf numFmtId="2" fontId="7" fillId="0" borderId="18" xfId="0" applyNumberFormat="1" applyFont="1" applyBorder="1"/>
    <xf numFmtId="2" fontId="7" fillId="0" borderId="19" xfId="0" applyNumberFormat="1" applyFont="1" applyBorder="1"/>
    <xf numFmtId="0" fontId="7" fillId="2" borderId="45" xfId="0" applyFont="1" applyFill="1" applyBorder="1" applyAlignment="1">
      <alignment horizontal="center" vertical="center"/>
    </xf>
    <xf numFmtId="0" fontId="7" fillId="2" borderId="46" xfId="0" applyFont="1" applyFill="1" applyBorder="1" applyAlignment="1">
      <alignment horizontal="center" vertical="center"/>
    </xf>
    <xf numFmtId="9" fontId="7" fillId="2" borderId="1" xfId="0" applyNumberFormat="1" applyFont="1" applyFill="1" applyBorder="1" applyAlignment="1">
      <alignment horizontal="center" vertical="center"/>
    </xf>
    <xf numFmtId="9" fontId="7" fillId="2" borderId="46" xfId="0" applyNumberFormat="1" applyFont="1" applyFill="1" applyBorder="1" applyAlignment="1">
      <alignment horizontal="center" vertical="center"/>
    </xf>
    <xf numFmtId="0" fontId="7" fillId="2" borderId="48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164" fontId="36" fillId="0" borderId="0" xfId="0" applyNumberFormat="1" applyFont="1"/>
    <xf numFmtId="0" fontId="7" fillId="0" borderId="0" xfId="0" applyFont="1"/>
    <xf numFmtId="0" fontId="36" fillId="0" borderId="0" xfId="0" applyFont="1"/>
    <xf numFmtId="0" fontId="7" fillId="0" borderId="0" xfId="0" applyFont="1" applyAlignment="1">
      <alignment horizontal="right"/>
    </xf>
    <xf numFmtId="164" fontId="8" fillId="3" borderId="51" xfId="0" applyNumberFormat="1" applyFont="1" applyFill="1" applyBorder="1" applyAlignment="1">
      <alignment horizontal="left"/>
    </xf>
    <xf numFmtId="164" fontId="8" fillId="3" borderId="6" xfId="0" applyNumberFormat="1" applyFont="1" applyFill="1" applyBorder="1" applyAlignment="1">
      <alignment horizontal="left"/>
    </xf>
    <xf numFmtId="164" fontId="8" fillId="3" borderId="52" xfId="0" applyNumberFormat="1" applyFont="1" applyFill="1" applyBorder="1" applyAlignment="1">
      <alignment horizontal="left"/>
    </xf>
    <xf numFmtId="0" fontId="12" fillId="10" borderId="51" xfId="0" applyFont="1" applyFill="1" applyBorder="1" applyAlignment="1">
      <alignment horizontal="center" vertical="center"/>
    </xf>
    <xf numFmtId="0" fontId="12" fillId="3" borderId="52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12" fillId="13" borderId="6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2" fontId="11" fillId="9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179" fontId="7" fillId="0" borderId="0" xfId="0" applyNumberFormat="1" applyFont="1"/>
    <xf numFmtId="0" fontId="7" fillId="2" borderId="1" xfId="0" applyFont="1" applyFill="1" applyBorder="1" applyAlignment="1">
      <alignment horizontal="left"/>
    </xf>
    <xf numFmtId="0" fontId="8" fillId="0" borderId="18" xfId="0" applyFont="1" applyBorder="1" applyAlignment="1">
      <alignment horizontal="center"/>
    </xf>
    <xf numFmtId="2" fontId="37" fillId="0" borderId="0" xfId="0" applyNumberFormat="1" applyFont="1"/>
    <xf numFmtId="0" fontId="37" fillId="0" borderId="0" xfId="0" applyFont="1"/>
    <xf numFmtId="164" fontId="36" fillId="2" borderId="1" xfId="0" applyNumberFormat="1" applyFont="1" applyFill="1" applyBorder="1"/>
    <xf numFmtId="164" fontId="7" fillId="2" borderId="1" xfId="0" applyNumberFormat="1" applyFont="1" applyFill="1" applyBorder="1"/>
    <xf numFmtId="164" fontId="7" fillId="2" borderId="1" xfId="0" applyNumberFormat="1" applyFont="1" applyFill="1" applyBorder="1" applyAlignment="1">
      <alignment horizontal="left" wrapText="1"/>
    </xf>
    <xf numFmtId="0" fontId="7" fillId="14" borderId="1" xfId="0" applyFont="1" applyFill="1" applyBorder="1" applyAlignment="1">
      <alignment horizontal="right"/>
    </xf>
    <xf numFmtId="170" fontId="7" fillId="14" borderId="1" xfId="0" applyNumberFormat="1" applyFont="1" applyFill="1" applyBorder="1"/>
    <xf numFmtId="0" fontId="7" fillId="14" borderId="1" xfId="0" applyFont="1" applyFill="1" applyBorder="1"/>
    <xf numFmtId="0" fontId="8" fillId="10" borderId="51" xfId="0" applyFont="1" applyFill="1" applyBorder="1" applyAlignment="1">
      <alignment horizontal="center" vertical="center"/>
    </xf>
    <xf numFmtId="0" fontId="8" fillId="10" borderId="6" xfId="0" applyFont="1" applyFill="1" applyBorder="1" applyAlignment="1">
      <alignment horizontal="center" vertical="center"/>
    </xf>
    <xf numFmtId="0" fontId="8" fillId="10" borderId="52" xfId="0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0" fontId="7" fillId="15" borderId="1" xfId="0" applyFont="1" applyFill="1" applyBorder="1"/>
    <xf numFmtId="0" fontId="7" fillId="16" borderId="1" xfId="0" applyFont="1" applyFill="1" applyBorder="1"/>
    <xf numFmtId="0" fontId="8" fillId="12" borderId="6" xfId="0" applyFont="1" applyFill="1" applyBorder="1" applyAlignment="1">
      <alignment horizontal="center" vertical="center"/>
    </xf>
    <xf numFmtId="10" fontId="38" fillId="0" borderId="0" xfId="0" applyNumberFormat="1" applyFont="1"/>
    <xf numFmtId="2" fontId="7" fillId="0" borderId="0" xfId="0" applyNumberFormat="1" applyFont="1" applyAlignment="1">
      <alignment horizontal="right"/>
    </xf>
    <xf numFmtId="9" fontId="7" fillId="0" borderId="12" xfId="0" applyNumberFormat="1" applyFont="1" applyBorder="1"/>
    <xf numFmtId="0" fontId="8" fillId="0" borderId="18" xfId="0" applyFont="1" applyBorder="1" applyAlignment="1">
      <alignment horizontal="right"/>
    </xf>
    <xf numFmtId="2" fontId="7" fillId="0" borderId="0" xfId="0" applyNumberFormat="1" applyFont="1" applyAlignment="1">
      <alignment horizontal="center"/>
    </xf>
    <xf numFmtId="9" fontId="7" fillId="0" borderId="0" xfId="0" applyNumberFormat="1" applyFont="1" applyAlignment="1">
      <alignment horizontal="right"/>
    </xf>
    <xf numFmtId="9" fontId="38" fillId="0" borderId="0" xfId="0" applyNumberFormat="1" applyFont="1" applyAlignment="1">
      <alignment horizontal="center"/>
    </xf>
    <xf numFmtId="9" fontId="38" fillId="0" borderId="0" xfId="0" applyNumberFormat="1" applyFont="1"/>
    <xf numFmtId="9" fontId="7" fillId="2" borderId="53" xfId="0" applyNumberFormat="1" applyFont="1" applyFill="1" applyBorder="1"/>
    <xf numFmtId="2" fontId="7" fillId="2" borderId="1" xfId="0" applyNumberFormat="1" applyFont="1" applyFill="1" applyBorder="1"/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0" fontId="39" fillId="0" borderId="0" xfId="0" applyNumberFormat="1" applyFont="1"/>
    <xf numFmtId="0" fontId="7" fillId="5" borderId="1" xfId="0" applyFont="1" applyFill="1" applyBorder="1" applyAlignment="1">
      <alignment horizontal="right"/>
    </xf>
    <xf numFmtId="9" fontId="7" fillId="5" borderId="1" xfId="0" applyNumberFormat="1" applyFont="1" applyFill="1" applyBorder="1"/>
    <xf numFmtId="9" fontId="7" fillId="14" borderId="1" xfId="0" applyNumberFormat="1" applyFont="1" applyFill="1" applyBorder="1"/>
    <xf numFmtId="0" fontId="30" fillId="0" borderId="0" xfId="0" applyFont="1" applyAlignment="1">
      <alignment horizontal="right"/>
    </xf>
    <xf numFmtId="0" fontId="30" fillId="0" borderId="0" xfId="0" applyFont="1"/>
    <xf numFmtId="171" fontId="7" fillId="2" borderId="1" xfId="0" applyNumberFormat="1" applyFont="1" applyFill="1" applyBorder="1"/>
    <xf numFmtId="0" fontId="36" fillId="0" borderId="0" xfId="0" applyFont="1" applyAlignment="1">
      <alignment horizontal="center" vertical="center"/>
    </xf>
    <xf numFmtId="0" fontId="8" fillId="10" borderId="52" xfId="0" applyFont="1" applyFill="1" applyBorder="1" applyAlignment="1">
      <alignment horizontal="center" vertical="center" wrapText="1"/>
    </xf>
    <xf numFmtId="174" fontId="7" fillId="2" borderId="1" xfId="0" applyNumberFormat="1" applyFont="1" applyFill="1" applyBorder="1"/>
    <xf numFmtId="164" fontId="7" fillId="2" borderId="1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/>
    <xf numFmtId="164" fontId="7" fillId="0" borderId="0" xfId="0" applyNumberFormat="1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2" fontId="7" fillId="2" borderId="1" xfId="0" applyNumberFormat="1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7" fillId="0" borderId="0" xfId="0" applyFont="1" applyAlignment="1">
      <alignment horizontal="right" vertical="center"/>
    </xf>
    <xf numFmtId="170" fontId="7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79" fontId="7" fillId="0" borderId="0" xfId="0" applyNumberFormat="1" applyFont="1" applyAlignment="1">
      <alignment horizontal="center"/>
    </xf>
    <xf numFmtId="0" fontId="36" fillId="2" borderId="1" xfId="0" applyFont="1" applyFill="1" applyBorder="1" applyAlignment="1">
      <alignment horizontal="left"/>
    </xf>
    <xf numFmtId="0" fontId="8" fillId="10" borderId="6" xfId="0" applyFont="1" applyFill="1" applyBorder="1" applyAlignment="1">
      <alignment horizontal="center" vertical="center" wrapText="1"/>
    </xf>
    <xf numFmtId="1" fontId="7" fillId="5" borderId="1" xfId="0" applyNumberFormat="1" applyFont="1" applyFill="1" applyBorder="1" applyAlignment="1">
      <alignment horizontal="center" vertical="center"/>
    </xf>
    <xf numFmtId="9" fontId="7" fillId="2" borderId="1" xfId="0" applyNumberFormat="1" applyFont="1" applyFill="1" applyBorder="1" applyAlignment="1">
      <alignment horizontal="center"/>
    </xf>
    <xf numFmtId="170" fontId="7" fillId="2" borderId="1" xfId="0" applyNumberFormat="1" applyFont="1" applyFill="1" applyBorder="1"/>
    <xf numFmtId="1" fontId="7" fillId="0" borderId="0" xfId="0" applyNumberFormat="1" applyFont="1" applyAlignment="1">
      <alignment horizontal="center"/>
    </xf>
    <xf numFmtId="2" fontId="7" fillId="14" borderId="1" xfId="0" applyNumberFormat="1" applyFont="1" applyFill="1" applyBorder="1"/>
    <xf numFmtId="170" fontId="7" fillId="2" borderId="1" xfId="0" applyNumberFormat="1" applyFont="1" applyFill="1" applyBorder="1" applyAlignment="1">
      <alignment horizontal="right"/>
    </xf>
    <xf numFmtId="0" fontId="12" fillId="10" borderId="6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2" fontId="11" fillId="5" borderId="1" xfId="0" applyNumberFormat="1" applyFont="1" applyFill="1" applyBorder="1" applyAlignment="1">
      <alignment horizontal="center" vertical="center"/>
    </xf>
    <xf numFmtId="169" fontId="7" fillId="2" borderId="1" xfId="0" applyNumberFormat="1" applyFont="1" applyFill="1" applyBorder="1"/>
    <xf numFmtId="0" fontId="11" fillId="2" borderId="5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/>
    <xf numFmtId="10" fontId="11" fillId="5" borderId="52" xfId="0" applyNumberFormat="1" applyFont="1" applyFill="1" applyBorder="1" applyAlignment="1">
      <alignment horizontal="center" vertical="center"/>
    </xf>
    <xf numFmtId="10" fontId="11" fillId="2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/>
    <xf numFmtId="2" fontId="11" fillId="2" borderId="1" xfId="0" applyNumberFormat="1" applyFont="1" applyFill="1" applyBorder="1" applyAlignment="1">
      <alignment horizontal="center" vertical="center"/>
    </xf>
    <xf numFmtId="167" fontId="7" fillId="2" borderId="1" xfId="0" applyNumberFormat="1" applyFont="1" applyFill="1" applyBorder="1"/>
    <xf numFmtId="164" fontId="7" fillId="2" borderId="1" xfId="0" applyNumberFormat="1" applyFont="1" applyFill="1" applyBorder="1" applyAlignment="1">
      <alignment horizontal="center"/>
    </xf>
    <xf numFmtId="1" fontId="7" fillId="2" borderId="1" xfId="0" applyNumberFormat="1" applyFont="1" applyFill="1" applyBorder="1"/>
    <xf numFmtId="164" fontId="11" fillId="14" borderId="1" xfId="0" applyNumberFormat="1" applyFont="1" applyFill="1" applyBorder="1" applyAlignment="1">
      <alignment horizontal="center"/>
    </xf>
    <xf numFmtId="181" fontId="7" fillId="0" borderId="0" xfId="0" applyNumberFormat="1" applyFont="1"/>
    <xf numFmtId="1" fontId="7" fillId="0" borderId="0" xfId="0" applyNumberFormat="1" applyFont="1" applyAlignment="1">
      <alignment horizontal="center" vertical="center"/>
    </xf>
    <xf numFmtId="9" fontId="7" fillId="0" borderId="11" xfId="0" applyNumberFormat="1" applyFont="1" applyBorder="1"/>
    <xf numFmtId="2" fontId="7" fillId="11" borderId="1" xfId="0" applyNumberFormat="1" applyFont="1" applyFill="1" applyBorder="1" applyAlignment="1">
      <alignment horizontal="center"/>
    </xf>
    <xf numFmtId="9" fontId="7" fillId="0" borderId="17" xfId="0" applyNumberFormat="1" applyFont="1" applyBorder="1" applyAlignment="1">
      <alignment horizontal="right"/>
    </xf>
    <xf numFmtId="0" fontId="8" fillId="2" borderId="1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/>
    </xf>
    <xf numFmtId="0" fontId="33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169" fontId="15" fillId="5" borderId="5" xfId="0" applyNumberFormat="1" applyFont="1" applyFill="1" applyBorder="1" applyAlignment="1">
      <alignment horizontal="center" vertical="center" wrapText="1"/>
    </xf>
    <xf numFmtId="169" fontId="15" fillId="2" borderId="5" xfId="0" applyNumberFormat="1" applyFont="1" applyFill="1" applyBorder="1" applyAlignment="1">
      <alignment horizontal="center" vertical="center" wrapText="1"/>
    </xf>
    <xf numFmtId="1" fontId="15" fillId="5" borderId="5" xfId="0" applyNumberFormat="1" applyFont="1" applyFill="1" applyBorder="1" applyAlignment="1">
      <alignment horizontal="center" vertical="center" wrapText="1"/>
    </xf>
    <xf numFmtId="0" fontId="7" fillId="16" borderId="5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169" fontId="15" fillId="4" borderId="5" xfId="0" applyNumberFormat="1" applyFont="1" applyFill="1" applyBorder="1" applyAlignment="1">
      <alignment horizontal="center" vertical="center" wrapText="1"/>
    </xf>
    <xf numFmtId="1" fontId="15" fillId="4" borderId="5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/>
    <xf numFmtId="0" fontId="8" fillId="0" borderId="0" xfId="0" applyFont="1" applyAlignment="1">
      <alignment horizontal="center" vertical="center"/>
    </xf>
    <xf numFmtId="0" fontId="15" fillId="16" borderId="5" xfId="0" applyFont="1" applyFill="1" applyBorder="1" applyAlignment="1">
      <alignment horizontal="center" vertical="center"/>
    </xf>
    <xf numFmtId="166" fontId="7" fillId="16" borderId="1" xfId="0" applyNumberFormat="1" applyFont="1" applyFill="1" applyBorder="1"/>
    <xf numFmtId="9" fontId="7" fillId="16" borderId="1" xfId="0" applyNumberFormat="1" applyFont="1" applyFill="1" applyBorder="1"/>
    <xf numFmtId="169" fontId="7" fillId="2" borderId="1" xfId="0" applyNumberFormat="1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17" fillId="9" borderId="1" xfId="0" applyFont="1" applyFill="1" applyBorder="1" applyAlignment="1">
      <alignment vertical="center"/>
    </xf>
    <xf numFmtId="0" fontId="7" fillId="9" borderId="53" xfId="0" applyFont="1" applyFill="1" applyBorder="1"/>
    <xf numFmtId="0" fontId="17" fillId="5" borderId="10" xfId="0" applyFont="1" applyFill="1" applyBorder="1" applyAlignment="1">
      <alignment vertical="center"/>
    </xf>
    <xf numFmtId="0" fontId="7" fillId="5" borderId="10" xfId="0" applyFont="1" applyFill="1" applyBorder="1"/>
    <xf numFmtId="0" fontId="33" fillId="2" borderId="1" xfId="0" applyFont="1" applyFill="1" applyBorder="1" applyAlignment="1">
      <alignment horizontal="center" vertical="center"/>
    </xf>
    <xf numFmtId="0" fontId="8" fillId="5" borderId="43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5" xfId="0" applyFont="1" applyFill="1" applyBorder="1"/>
    <xf numFmtId="0" fontId="8" fillId="5" borderId="44" xfId="0" applyFont="1" applyFill="1" applyBorder="1"/>
    <xf numFmtId="0" fontId="8" fillId="9" borderId="43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/>
    <xf numFmtId="0" fontId="8" fillId="9" borderId="1" xfId="0" applyFont="1" applyFill="1" applyBorder="1" applyAlignment="1">
      <alignment horizontal="center" vertical="center"/>
    </xf>
    <xf numFmtId="0" fontId="42" fillId="0" borderId="0" xfId="0" applyFont="1"/>
    <xf numFmtId="0" fontId="8" fillId="5" borderId="10" xfId="0" applyFont="1" applyFill="1" applyBorder="1" applyAlignment="1">
      <alignment horizontal="center" vertical="center"/>
    </xf>
    <xf numFmtId="0" fontId="8" fillId="5" borderId="10" xfId="0" applyFont="1" applyFill="1" applyBorder="1"/>
    <xf numFmtId="1" fontId="7" fillId="5" borderId="1" xfId="0" applyNumberFormat="1" applyFont="1" applyFill="1" applyBorder="1"/>
    <xf numFmtId="169" fontId="7" fillId="9" borderId="1" xfId="0" applyNumberFormat="1" applyFont="1" applyFill="1" applyBorder="1" applyAlignment="1">
      <alignment horizontal="center" vertical="center"/>
    </xf>
    <xf numFmtId="169" fontId="42" fillId="5" borderId="1" xfId="0" applyNumberFormat="1" applyFont="1" applyFill="1" applyBorder="1" applyAlignment="1">
      <alignment horizontal="center" vertical="center"/>
    </xf>
    <xf numFmtId="169" fontId="7" fillId="5" borderId="1" xfId="0" applyNumberFormat="1" applyFont="1" applyFill="1" applyBorder="1" applyAlignment="1">
      <alignment horizontal="center" vertical="center"/>
    </xf>
    <xf numFmtId="0" fontId="43" fillId="2" borderId="20" xfId="0" applyFont="1" applyFill="1" applyBorder="1" applyAlignment="1">
      <alignment horizontal="center" vertical="center" wrapText="1"/>
    </xf>
    <xf numFmtId="166" fontId="7" fillId="0" borderId="24" xfId="0" applyNumberFormat="1" applyFont="1" applyBorder="1"/>
    <xf numFmtId="166" fontId="7" fillId="0" borderId="15" xfId="0" applyNumberFormat="1" applyFont="1" applyBorder="1"/>
    <xf numFmtId="166" fontId="7" fillId="0" borderId="16" xfId="0" applyNumberFormat="1" applyFont="1" applyBorder="1"/>
    <xf numFmtId="0" fontId="43" fillId="0" borderId="11" xfId="0" applyFont="1" applyBorder="1" applyAlignment="1">
      <alignment horizontal="center"/>
    </xf>
    <xf numFmtId="166" fontId="7" fillId="0" borderId="21" xfId="0" applyNumberFormat="1" applyFont="1" applyBorder="1"/>
    <xf numFmtId="166" fontId="7" fillId="0" borderId="12" xfId="0" applyNumberFormat="1" applyFont="1" applyBorder="1"/>
    <xf numFmtId="0" fontId="7" fillId="0" borderId="11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166" fontId="7" fillId="0" borderId="23" xfId="0" applyNumberFormat="1" applyFont="1" applyBorder="1"/>
    <xf numFmtId="166" fontId="7" fillId="0" borderId="18" xfId="0" applyNumberFormat="1" applyFont="1" applyBorder="1"/>
    <xf numFmtId="166" fontId="7" fillId="0" borderId="19" xfId="0" applyNumberFormat="1" applyFont="1" applyBorder="1"/>
    <xf numFmtId="0" fontId="43" fillId="0" borderId="0" xfId="0" applyFont="1" applyAlignment="1">
      <alignment horizontal="center"/>
    </xf>
    <xf numFmtId="182" fontId="7" fillId="0" borderId="0" xfId="0" applyNumberFormat="1" applyFont="1"/>
    <xf numFmtId="0" fontId="15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7" fillId="17" borderId="1" xfId="0" applyFont="1" applyFill="1" applyBorder="1"/>
    <xf numFmtId="1" fontId="7" fillId="4" borderId="1" xfId="0" applyNumberFormat="1" applyFont="1" applyFill="1" applyBorder="1" applyAlignment="1">
      <alignment horizontal="center" vertical="center"/>
    </xf>
    <xf numFmtId="1" fontId="7" fillId="10" borderId="1" xfId="0" applyNumberFormat="1" applyFont="1" applyFill="1" applyBorder="1"/>
    <xf numFmtId="11" fontId="7" fillId="0" borderId="0" xfId="0" applyNumberFormat="1" applyFont="1"/>
    <xf numFmtId="0" fontId="7" fillId="18" borderId="1" xfId="0" applyFont="1" applyFill="1" applyBorder="1"/>
    <xf numFmtId="0" fontId="30" fillId="1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18" borderId="51" xfId="0" applyFont="1" applyFill="1" applyBorder="1"/>
    <xf numFmtId="0" fontId="8" fillId="18" borderId="6" xfId="0" applyFont="1" applyFill="1" applyBorder="1"/>
    <xf numFmtId="0" fontId="8" fillId="18" borderId="52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8" fillId="5" borderId="43" xfId="0" applyFont="1" applyFill="1" applyBorder="1"/>
    <xf numFmtId="0" fontId="30" fillId="16" borderId="1" xfId="0" applyFont="1" applyFill="1" applyBorder="1"/>
    <xf numFmtId="9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8" fillId="10" borderId="1" xfId="0" applyFont="1" applyFill="1" applyBorder="1"/>
    <xf numFmtId="0" fontId="8" fillId="18" borderId="59" xfId="0" applyFont="1" applyFill="1" applyBorder="1"/>
    <xf numFmtId="1" fontId="7" fillId="18" borderId="43" xfId="0" applyNumberFormat="1" applyFont="1" applyFill="1" applyBorder="1" applyAlignment="1">
      <alignment horizontal="center"/>
    </xf>
    <xf numFmtId="1" fontId="7" fillId="18" borderId="5" xfId="0" applyNumberFormat="1" applyFont="1" applyFill="1" applyBorder="1" applyAlignment="1">
      <alignment horizontal="center"/>
    </xf>
    <xf numFmtId="1" fontId="7" fillId="18" borderId="44" xfId="0" applyNumberFormat="1" applyFont="1" applyFill="1" applyBorder="1" applyAlignment="1">
      <alignment horizontal="center"/>
    </xf>
    <xf numFmtId="0" fontId="8" fillId="5" borderId="51" xfId="0" applyFont="1" applyFill="1" applyBorder="1" applyAlignment="1">
      <alignment horizontal="center" vertical="center"/>
    </xf>
    <xf numFmtId="1" fontId="7" fillId="5" borderId="1" xfId="0" applyNumberFormat="1" applyFont="1" applyFill="1" applyBorder="1" applyAlignment="1">
      <alignment horizontal="center"/>
    </xf>
    <xf numFmtId="1" fontId="7" fillId="18" borderId="45" xfId="0" applyNumberFormat="1" applyFont="1" applyFill="1" applyBorder="1" applyAlignment="1">
      <alignment horizontal="center"/>
    </xf>
    <xf numFmtId="1" fontId="7" fillId="18" borderId="1" xfId="0" applyNumberFormat="1" applyFont="1" applyFill="1" applyBorder="1" applyAlignment="1">
      <alignment horizontal="center"/>
    </xf>
    <xf numFmtId="1" fontId="7" fillId="18" borderId="46" xfId="0" applyNumberFormat="1" applyFont="1" applyFill="1" applyBorder="1" applyAlignment="1">
      <alignment horizontal="center"/>
    </xf>
    <xf numFmtId="0" fontId="8" fillId="2" borderId="1" xfId="0" applyFont="1" applyFill="1" applyBorder="1"/>
    <xf numFmtId="1" fontId="8" fillId="5" borderId="10" xfId="0" applyNumberFormat="1" applyFont="1" applyFill="1" applyBorder="1" applyAlignment="1">
      <alignment horizontal="center" vertical="center"/>
    </xf>
    <xf numFmtId="176" fontId="30" fillId="16" borderId="1" xfId="0" applyNumberFormat="1" applyFont="1" applyFill="1" applyBorder="1"/>
    <xf numFmtId="176" fontId="8" fillId="0" borderId="0" xfId="0" applyNumberFormat="1" applyFont="1" applyAlignment="1">
      <alignment horizontal="center" vertical="center"/>
    </xf>
    <xf numFmtId="167" fontId="30" fillId="16" borderId="1" xfId="0" applyNumberFormat="1" applyFont="1" applyFill="1" applyBorder="1"/>
    <xf numFmtId="167" fontId="8" fillId="0" borderId="0" xfId="0" applyNumberFormat="1" applyFont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8" fillId="18" borderId="22" xfId="0" applyFont="1" applyFill="1" applyBorder="1"/>
    <xf numFmtId="1" fontId="7" fillId="18" borderId="48" xfId="0" applyNumberFormat="1" applyFont="1" applyFill="1" applyBorder="1" applyAlignment="1">
      <alignment horizontal="center"/>
    </xf>
    <xf numFmtId="1" fontId="7" fillId="18" borderId="53" xfId="0" applyNumberFormat="1" applyFont="1" applyFill="1" applyBorder="1" applyAlignment="1">
      <alignment horizontal="center"/>
    </xf>
    <xf numFmtId="1" fontId="7" fillId="18" borderId="50" xfId="0" applyNumberFormat="1" applyFont="1" applyFill="1" applyBorder="1" applyAlignment="1">
      <alignment horizontal="center"/>
    </xf>
    <xf numFmtId="167" fontId="30" fillId="0" borderId="0" xfId="0" applyNumberFormat="1" applyFont="1"/>
    <xf numFmtId="0" fontId="8" fillId="5" borderId="59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/>
    <xf numFmtId="1" fontId="8" fillId="18" borderId="1" xfId="0" applyNumberFormat="1" applyFont="1" applyFill="1" applyBorder="1" applyAlignment="1">
      <alignment horizontal="center"/>
    </xf>
    <xf numFmtId="1" fontId="7" fillId="2" borderId="1" xfId="0" applyNumberFormat="1" applyFont="1" applyFill="1" applyBorder="1" applyAlignment="1">
      <alignment horizontal="center"/>
    </xf>
    <xf numFmtId="1" fontId="8" fillId="2" borderId="1" xfId="0" applyNumberFormat="1" applyFont="1" applyFill="1" applyBorder="1"/>
    <xf numFmtId="9" fontId="8" fillId="18" borderId="1" xfId="0" applyNumberFormat="1" applyFont="1" applyFill="1" applyBorder="1" applyAlignment="1">
      <alignment horizontal="center"/>
    </xf>
    <xf numFmtId="0" fontId="33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169" fontId="7" fillId="2" borderId="1" xfId="0" applyNumberFormat="1" applyFont="1" applyFill="1" applyBorder="1" applyAlignment="1">
      <alignment horizontal="center" vertical="center"/>
    </xf>
    <xf numFmtId="9" fontId="30" fillId="2" borderId="1" xfId="0" applyNumberFormat="1" applyFont="1" applyFill="1" applyBorder="1" applyAlignment="1">
      <alignment horizontal="center" vertical="center"/>
    </xf>
    <xf numFmtId="170" fontId="15" fillId="2" borderId="5" xfId="0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169" fontId="15" fillId="2" borderId="1" xfId="0" applyNumberFormat="1" applyFont="1" applyFill="1" applyBorder="1" applyAlignment="1">
      <alignment horizontal="center" vertical="center" wrapText="1"/>
    </xf>
    <xf numFmtId="1" fontId="15" fillId="2" borderId="1" xfId="0" applyNumberFormat="1" applyFont="1" applyFill="1" applyBorder="1" applyAlignment="1">
      <alignment horizontal="center" vertical="center" wrapText="1"/>
    </xf>
    <xf numFmtId="0" fontId="8" fillId="11" borderId="1" xfId="0" applyFont="1" applyFill="1" applyBorder="1"/>
    <xf numFmtId="0" fontId="7" fillId="1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17" fillId="2" borderId="1" xfId="0" applyFont="1" applyFill="1" applyBorder="1"/>
    <xf numFmtId="0" fontId="17" fillId="18" borderId="51" xfId="0" applyFont="1" applyFill="1" applyBorder="1"/>
    <xf numFmtId="0" fontId="17" fillId="18" borderId="6" xfId="0" applyFont="1" applyFill="1" applyBorder="1"/>
    <xf numFmtId="0" fontId="17" fillId="18" borderId="52" xfId="0" applyFont="1" applyFill="1" applyBorder="1"/>
    <xf numFmtId="0" fontId="33" fillId="14" borderId="1" xfId="0" applyFont="1" applyFill="1" applyBorder="1" applyAlignment="1">
      <alignment horizontal="center" vertical="center" wrapText="1"/>
    </xf>
    <xf numFmtId="0" fontId="33" fillId="16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8" fillId="18" borderId="45" xfId="0" applyFont="1" applyFill="1" applyBorder="1" applyAlignment="1">
      <alignment horizontal="center" vertical="center"/>
    </xf>
    <xf numFmtId="0" fontId="8" fillId="18" borderId="46" xfId="0" applyFont="1" applyFill="1" applyBorder="1" applyAlignment="1">
      <alignment horizontal="center" vertical="center"/>
    </xf>
    <xf numFmtId="1" fontId="15" fillId="2" borderId="5" xfId="0" applyNumberFormat="1" applyFont="1" applyFill="1" applyBorder="1" applyAlignment="1">
      <alignment horizontal="center" vertical="center" wrapText="1"/>
    </xf>
    <xf numFmtId="9" fontId="15" fillId="14" borderId="5" xfId="0" applyNumberFormat="1" applyFont="1" applyFill="1" applyBorder="1" applyAlignment="1">
      <alignment horizontal="center" vertical="center" wrapText="1"/>
    </xf>
    <xf numFmtId="169" fontId="15" fillId="14" borderId="5" xfId="0" applyNumberFormat="1" applyFont="1" applyFill="1" applyBorder="1" applyAlignment="1">
      <alignment horizontal="center" vertical="center" wrapText="1"/>
    </xf>
    <xf numFmtId="9" fontId="15" fillId="16" borderId="5" xfId="0" applyNumberFormat="1" applyFont="1" applyFill="1" applyBorder="1" applyAlignment="1">
      <alignment horizontal="center" vertical="center" wrapText="1"/>
    </xf>
    <xf numFmtId="9" fontId="15" fillId="11" borderId="5" xfId="0" applyNumberFormat="1" applyFont="1" applyFill="1" applyBorder="1" applyAlignment="1">
      <alignment horizontal="center" vertical="center" wrapText="1"/>
    </xf>
    <xf numFmtId="1" fontId="7" fillId="4" borderId="6" xfId="0" applyNumberFormat="1" applyFont="1" applyFill="1" applyBorder="1" applyAlignment="1">
      <alignment horizontal="center" vertical="center"/>
    </xf>
    <xf numFmtId="169" fontId="7" fillId="4" borderId="6" xfId="0" applyNumberFormat="1" applyFont="1" applyFill="1" applyBorder="1"/>
    <xf numFmtId="1" fontId="7" fillId="14" borderId="6" xfId="0" applyNumberFormat="1" applyFont="1" applyFill="1" applyBorder="1"/>
    <xf numFmtId="0" fontId="7" fillId="14" borderId="6" xfId="0" applyFont="1" applyFill="1" applyBorder="1" applyAlignment="1">
      <alignment horizontal="center" vertical="center"/>
    </xf>
    <xf numFmtId="169" fontId="7" fillId="14" borderId="6" xfId="0" applyNumberFormat="1" applyFont="1" applyFill="1" applyBorder="1" applyAlignment="1">
      <alignment horizontal="center"/>
    </xf>
    <xf numFmtId="9" fontId="7" fillId="18" borderId="45" xfId="0" applyNumberFormat="1" applyFont="1" applyFill="1" applyBorder="1" applyAlignment="1">
      <alignment horizontal="center"/>
    </xf>
    <xf numFmtId="9" fontId="7" fillId="18" borderId="1" xfId="0" applyNumberFormat="1" applyFont="1" applyFill="1" applyBorder="1" applyAlignment="1">
      <alignment horizontal="center"/>
    </xf>
    <xf numFmtId="9" fontId="7" fillId="18" borderId="46" xfId="0" applyNumberFormat="1" applyFont="1" applyFill="1" applyBorder="1" applyAlignment="1">
      <alignment horizontal="center"/>
    </xf>
    <xf numFmtId="2" fontId="7" fillId="18" borderId="45" xfId="0" applyNumberFormat="1" applyFont="1" applyFill="1" applyBorder="1" applyAlignment="1">
      <alignment horizontal="center"/>
    </xf>
    <xf numFmtId="2" fontId="7" fillId="18" borderId="1" xfId="0" applyNumberFormat="1" applyFont="1" applyFill="1" applyBorder="1" applyAlignment="1">
      <alignment horizontal="center"/>
    </xf>
    <xf numFmtId="2" fontId="7" fillId="18" borderId="46" xfId="0" applyNumberFormat="1" applyFont="1" applyFill="1" applyBorder="1" applyAlignment="1">
      <alignment horizontal="center"/>
    </xf>
    <xf numFmtId="2" fontId="7" fillId="17" borderId="1" xfId="0" applyNumberFormat="1" applyFont="1" applyFill="1" applyBorder="1" applyAlignment="1">
      <alignment horizontal="center"/>
    </xf>
    <xf numFmtId="2" fontId="7" fillId="2" borderId="1" xfId="0" applyNumberFormat="1" applyFont="1" applyFill="1" applyBorder="1" applyAlignment="1">
      <alignment horizontal="center"/>
    </xf>
    <xf numFmtId="2" fontId="7" fillId="2" borderId="46" xfId="0" applyNumberFormat="1" applyFont="1" applyFill="1" applyBorder="1" applyAlignment="1">
      <alignment horizontal="center"/>
    </xf>
    <xf numFmtId="169" fontId="15" fillId="2" borderId="5" xfId="0" applyNumberFormat="1" applyFont="1" applyFill="1" applyBorder="1" applyAlignment="1">
      <alignment horizontal="center" vertical="center"/>
    </xf>
    <xf numFmtId="1" fontId="15" fillId="2" borderId="5" xfId="0" applyNumberFormat="1" applyFont="1" applyFill="1" applyBorder="1" applyAlignment="1">
      <alignment horizontal="center" vertical="center"/>
    </xf>
    <xf numFmtId="9" fontId="15" fillId="14" borderId="5" xfId="0" applyNumberFormat="1" applyFont="1" applyFill="1" applyBorder="1" applyAlignment="1">
      <alignment horizontal="center" vertical="center"/>
    </xf>
    <xf numFmtId="169" fontId="15" fillId="14" borderId="5" xfId="0" applyNumberFormat="1" applyFont="1" applyFill="1" applyBorder="1" applyAlignment="1">
      <alignment horizontal="center" vertical="center"/>
    </xf>
    <xf numFmtId="169" fontId="15" fillId="5" borderId="5" xfId="0" applyNumberFormat="1" applyFont="1" applyFill="1" applyBorder="1" applyAlignment="1">
      <alignment horizontal="center" vertical="center"/>
    </xf>
    <xf numFmtId="9" fontId="15" fillId="16" borderId="5" xfId="0" applyNumberFormat="1" applyFont="1" applyFill="1" applyBorder="1" applyAlignment="1">
      <alignment horizontal="center" vertical="center"/>
    </xf>
    <xf numFmtId="9" fontId="15" fillId="11" borderId="5" xfId="0" applyNumberFormat="1" applyFont="1" applyFill="1" applyBorder="1" applyAlignment="1">
      <alignment horizontal="center" vertical="center"/>
    </xf>
    <xf numFmtId="169" fontId="7" fillId="14" borderId="6" xfId="0" applyNumberFormat="1" applyFont="1" applyFill="1" applyBorder="1" applyAlignment="1">
      <alignment horizontal="center" vertical="center"/>
    </xf>
    <xf numFmtId="2" fontId="15" fillId="2" borderId="5" xfId="0" applyNumberFormat="1" applyFont="1" applyFill="1" applyBorder="1" applyAlignment="1">
      <alignment horizontal="center" vertical="center"/>
    </xf>
    <xf numFmtId="170" fontId="15" fillId="5" borderId="5" xfId="0" applyNumberFormat="1" applyFont="1" applyFill="1" applyBorder="1" applyAlignment="1">
      <alignment horizontal="center" vertical="center"/>
    </xf>
    <xf numFmtId="174" fontId="15" fillId="2" borderId="1" xfId="0" applyNumberFormat="1" applyFont="1" applyFill="1" applyBorder="1" applyAlignment="1">
      <alignment horizontal="center"/>
    </xf>
    <xf numFmtId="175" fontId="15" fillId="2" borderId="1" xfId="0" applyNumberFormat="1" applyFont="1" applyFill="1" applyBorder="1" applyAlignment="1">
      <alignment horizontal="center"/>
    </xf>
    <xf numFmtId="9" fontId="7" fillId="18" borderId="48" xfId="0" applyNumberFormat="1" applyFont="1" applyFill="1" applyBorder="1" applyAlignment="1">
      <alignment horizontal="center"/>
    </xf>
    <xf numFmtId="9" fontId="7" fillId="18" borderId="53" xfId="0" applyNumberFormat="1" applyFont="1" applyFill="1" applyBorder="1" applyAlignment="1">
      <alignment horizontal="center"/>
    </xf>
    <xf numFmtId="9" fontId="7" fillId="18" borderId="50" xfId="0" applyNumberFormat="1" applyFont="1" applyFill="1" applyBorder="1" applyAlignment="1">
      <alignment horizontal="center"/>
    </xf>
    <xf numFmtId="2" fontId="7" fillId="18" borderId="48" xfId="0" applyNumberFormat="1" applyFont="1" applyFill="1" applyBorder="1" applyAlignment="1">
      <alignment horizontal="center"/>
    </xf>
    <xf numFmtId="2" fontId="7" fillId="18" borderId="53" xfId="0" applyNumberFormat="1" applyFont="1" applyFill="1" applyBorder="1" applyAlignment="1">
      <alignment horizontal="center"/>
    </xf>
    <xf numFmtId="2" fontId="7" fillId="18" borderId="50" xfId="0" applyNumberFormat="1" applyFont="1" applyFill="1" applyBorder="1" applyAlignment="1">
      <alignment horizontal="center"/>
    </xf>
    <xf numFmtId="169" fontId="7" fillId="4" borderId="6" xfId="0" applyNumberFormat="1" applyFont="1" applyFill="1" applyBorder="1" applyAlignment="1">
      <alignment horizontal="center"/>
    </xf>
    <xf numFmtId="2" fontId="7" fillId="18" borderId="43" xfId="0" applyNumberFormat="1" applyFont="1" applyFill="1" applyBorder="1" applyAlignment="1">
      <alignment horizontal="center"/>
    </xf>
    <xf numFmtId="2" fontId="7" fillId="18" borderId="5" xfId="0" applyNumberFormat="1" applyFont="1" applyFill="1" applyBorder="1" applyAlignment="1">
      <alignment horizontal="center"/>
    </xf>
    <xf numFmtId="2" fontId="7" fillId="17" borderId="5" xfId="0" applyNumberFormat="1" applyFont="1" applyFill="1" applyBorder="1" applyAlignment="1">
      <alignment horizontal="center"/>
    </xf>
    <xf numFmtId="2" fontId="7" fillId="18" borderId="44" xfId="0" applyNumberFormat="1" applyFont="1" applyFill="1" applyBorder="1" applyAlignment="1">
      <alignment horizontal="center"/>
    </xf>
    <xf numFmtId="169" fontId="7" fillId="14" borderId="6" xfId="0" applyNumberFormat="1" applyFont="1" applyFill="1" applyBorder="1"/>
    <xf numFmtId="2" fontId="7" fillId="2" borderId="53" xfId="0" applyNumberFormat="1" applyFont="1" applyFill="1" applyBorder="1" applyAlignment="1">
      <alignment horizontal="center"/>
    </xf>
    <xf numFmtId="2" fontId="7" fillId="2" borderId="50" xfId="0" applyNumberFormat="1" applyFont="1" applyFill="1" applyBorder="1" applyAlignment="1">
      <alignment horizontal="center"/>
    </xf>
    <xf numFmtId="169" fontId="15" fillId="14" borderId="1" xfId="0" applyNumberFormat="1" applyFont="1" applyFill="1" applyBorder="1" applyAlignment="1">
      <alignment horizontal="center" vertical="center" wrapText="1"/>
    </xf>
    <xf numFmtId="169" fontId="15" fillId="5" borderId="1" xfId="0" applyNumberFormat="1" applyFont="1" applyFill="1" applyBorder="1" applyAlignment="1">
      <alignment horizontal="center" vertical="center" wrapText="1"/>
    </xf>
    <xf numFmtId="9" fontId="15" fillId="16" borderId="1" xfId="0" applyNumberFormat="1" applyFont="1" applyFill="1" applyBorder="1" applyAlignment="1">
      <alignment horizontal="center" vertical="center" wrapText="1"/>
    </xf>
    <xf numFmtId="9" fontId="15" fillId="11" borderId="1" xfId="0" applyNumberFormat="1" applyFont="1" applyFill="1" applyBorder="1" applyAlignment="1">
      <alignment horizontal="center" vertical="center" wrapText="1"/>
    </xf>
    <xf numFmtId="9" fontId="8" fillId="2" borderId="1" xfId="0" applyNumberFormat="1" applyFont="1" applyFill="1" applyBorder="1" applyAlignment="1">
      <alignment horizontal="center"/>
    </xf>
    <xf numFmtId="169" fontId="7" fillId="14" borderId="1" xfId="0" applyNumberFormat="1" applyFont="1" applyFill="1" applyBorder="1" applyAlignment="1">
      <alignment horizontal="center"/>
    </xf>
    <xf numFmtId="2" fontId="44" fillId="0" borderId="0" xfId="0" applyNumberFormat="1" applyFont="1"/>
    <xf numFmtId="0" fontId="17" fillId="2" borderId="53" xfId="0" applyFont="1" applyFill="1" applyBorder="1" applyAlignment="1">
      <alignment horizontal="center" vertical="center" wrapText="1"/>
    </xf>
    <xf numFmtId="0" fontId="33" fillId="14" borderId="53" xfId="0" applyFont="1" applyFill="1" applyBorder="1" applyAlignment="1">
      <alignment horizontal="center" vertical="center" wrapText="1"/>
    </xf>
    <xf numFmtId="0" fontId="33" fillId="5" borderId="53" xfId="0" applyFont="1" applyFill="1" applyBorder="1" applyAlignment="1">
      <alignment horizontal="center" vertical="center" wrapText="1"/>
    </xf>
    <xf numFmtId="0" fontId="33" fillId="16" borderId="53" xfId="0" applyFont="1" applyFill="1" applyBorder="1" applyAlignment="1">
      <alignment horizontal="center" vertical="center" wrapText="1"/>
    </xf>
    <xf numFmtId="0" fontId="33" fillId="11" borderId="53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/>
    </xf>
    <xf numFmtId="0" fontId="43" fillId="2" borderId="6" xfId="0" applyFont="1" applyFill="1" applyBorder="1" applyAlignment="1">
      <alignment horizontal="center" vertical="center" wrapText="1"/>
    </xf>
    <xf numFmtId="1" fontId="43" fillId="0" borderId="13" xfId="0" applyNumberFormat="1" applyFont="1" applyBorder="1" applyAlignment="1">
      <alignment horizontal="center"/>
    </xf>
    <xf numFmtId="9" fontId="43" fillId="14" borderId="6" xfId="0" applyNumberFormat="1" applyFont="1" applyFill="1" applyBorder="1" applyAlignment="1">
      <alignment horizontal="center"/>
    </xf>
    <xf numFmtId="1" fontId="43" fillId="14" borderId="6" xfId="0" applyNumberFormat="1" applyFont="1" applyFill="1" applyBorder="1" applyAlignment="1">
      <alignment horizontal="center"/>
    </xf>
    <xf numFmtId="1" fontId="43" fillId="9" borderId="6" xfId="0" applyNumberFormat="1" applyFont="1" applyFill="1" applyBorder="1" applyAlignment="1">
      <alignment horizontal="center"/>
    </xf>
    <xf numFmtId="2" fontId="43" fillId="9" borderId="6" xfId="0" applyNumberFormat="1" applyFont="1" applyFill="1" applyBorder="1" applyAlignment="1">
      <alignment horizontal="center"/>
    </xf>
    <xf numFmtId="181" fontId="15" fillId="16" borderId="5" xfId="0" applyNumberFormat="1" applyFont="1" applyFill="1" applyBorder="1" applyAlignment="1">
      <alignment horizontal="center" vertical="center" wrapText="1"/>
    </xf>
    <xf numFmtId="1" fontId="43" fillId="4" borderId="6" xfId="0" applyNumberFormat="1" applyFont="1" applyFill="1" applyBorder="1" applyAlignment="1">
      <alignment horizontal="center"/>
    </xf>
    <xf numFmtId="169" fontId="43" fillId="4" borderId="6" xfId="0" applyNumberFormat="1" applyFont="1" applyFill="1" applyBorder="1" applyAlignment="1">
      <alignment horizontal="center"/>
    </xf>
    <xf numFmtId="1" fontId="7" fillId="14" borderId="6" xfId="0" applyNumberFormat="1" applyFont="1" applyFill="1" applyBorder="1" applyAlignment="1">
      <alignment horizontal="center" vertical="center"/>
    </xf>
    <xf numFmtId="1" fontId="43" fillId="0" borderId="0" xfId="0" applyNumberFormat="1" applyFont="1" applyAlignment="1">
      <alignment horizontal="center"/>
    </xf>
    <xf numFmtId="0" fontId="43" fillId="0" borderId="13" xfId="0" applyFont="1" applyBorder="1" applyAlignment="1">
      <alignment horizontal="center"/>
    </xf>
    <xf numFmtId="1" fontId="7" fillId="14" borderId="6" xfId="0" applyNumberFormat="1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9" fontId="15" fillId="16" borderId="6" xfId="0" applyNumberFormat="1" applyFont="1" applyFill="1" applyBorder="1" applyAlignment="1">
      <alignment horizontal="center" vertical="center" wrapText="1"/>
    </xf>
    <xf numFmtId="9" fontId="15" fillId="11" borderId="6" xfId="0" applyNumberFormat="1" applyFont="1" applyFill="1" applyBorder="1" applyAlignment="1">
      <alignment horizontal="center" vertical="center" wrapText="1"/>
    </xf>
    <xf numFmtId="1" fontId="7" fillId="0" borderId="14" xfId="0" applyNumberFormat="1" applyFont="1" applyBorder="1"/>
    <xf numFmtId="1" fontId="7" fillId="0" borderId="15" xfId="0" applyNumberFormat="1" applyFont="1" applyBorder="1"/>
    <xf numFmtId="1" fontId="7" fillId="0" borderId="24" xfId="0" applyNumberFormat="1" applyFont="1" applyBorder="1"/>
    <xf numFmtId="1" fontId="7" fillId="0" borderId="16" xfId="0" applyNumberFormat="1" applyFont="1" applyBorder="1"/>
    <xf numFmtId="1" fontId="7" fillId="0" borderId="18" xfId="0" applyNumberFormat="1" applyFont="1" applyBorder="1"/>
    <xf numFmtId="1" fontId="7" fillId="0" borderId="23" xfId="0" applyNumberFormat="1" applyFont="1" applyBorder="1"/>
    <xf numFmtId="1" fontId="7" fillId="0" borderId="19" xfId="0" applyNumberFormat="1" applyFont="1" applyBorder="1"/>
    <xf numFmtId="0" fontId="17" fillId="2" borderId="53" xfId="0" applyFont="1" applyFill="1" applyBorder="1" applyAlignment="1">
      <alignment horizontal="left" vertical="center"/>
    </xf>
    <xf numFmtId="0" fontId="33" fillId="2" borderId="53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1" fontId="43" fillId="2" borderId="1" xfId="0" applyNumberFormat="1" applyFont="1" applyFill="1" applyBorder="1" applyAlignment="1">
      <alignment horizontal="center"/>
    </xf>
    <xf numFmtId="176" fontId="11" fillId="2" borderId="1" xfId="0" applyNumberFormat="1" applyFont="1" applyFill="1" applyBorder="1" applyAlignment="1">
      <alignment horizontal="center"/>
    </xf>
    <xf numFmtId="0" fontId="18" fillId="0" borderId="0" xfId="0" applyFont="1" applyAlignment="1">
      <alignment horizontal="center" wrapText="1"/>
    </xf>
    <xf numFmtId="1" fontId="46" fillId="0" borderId="0" xfId="0" applyNumberFormat="1" applyFont="1"/>
    <xf numFmtId="0" fontId="46" fillId="0" borderId="0" xfId="0" applyFont="1"/>
    <xf numFmtId="0" fontId="7" fillId="5" borderId="5" xfId="0" applyFont="1" applyFill="1" applyBorder="1" applyAlignment="1">
      <alignment horizontal="center" vertical="center"/>
    </xf>
    <xf numFmtId="0" fontId="43" fillId="0" borderId="15" xfId="0" applyFont="1" applyBorder="1" applyAlignment="1">
      <alignment horizontal="center"/>
    </xf>
    <xf numFmtId="1" fontId="7" fillId="11" borderId="1" xfId="0" applyNumberFormat="1" applyFont="1" applyFill="1" applyBorder="1"/>
    <xf numFmtId="167" fontId="7" fillId="0" borderId="0" xfId="0" applyNumberFormat="1" applyFont="1"/>
    <xf numFmtId="0" fontId="8" fillId="0" borderId="0" xfId="0" applyFont="1" applyAlignment="1">
      <alignment horizontal="center" vertical="center" wrapText="1"/>
    </xf>
    <xf numFmtId="169" fontId="7" fillId="12" borderId="1" xfId="0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2" fontId="7" fillId="12" borderId="1" xfId="0" applyNumberFormat="1" applyFont="1" applyFill="1" applyBorder="1" applyAlignment="1">
      <alignment horizontal="center" vertical="center"/>
    </xf>
    <xf numFmtId="2" fontId="7" fillId="5" borderId="1" xfId="0" applyNumberFormat="1" applyFont="1" applyFill="1" applyBorder="1" applyAlignment="1">
      <alignment horizontal="center" vertical="center"/>
    </xf>
    <xf numFmtId="0" fontId="7" fillId="2" borderId="46" xfId="0" applyFont="1" applyFill="1" applyBorder="1"/>
    <xf numFmtId="0" fontId="7" fillId="2" borderId="45" xfId="0" applyFont="1" applyFill="1" applyBorder="1"/>
    <xf numFmtId="0" fontId="34" fillId="2" borderId="46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4" fillId="0" borderId="21" xfId="0" applyFont="1" applyBorder="1"/>
    <xf numFmtId="0" fontId="47" fillId="0" borderId="0" xfId="0" applyFont="1"/>
    <xf numFmtId="0" fontId="47" fillId="0" borderId="21" xfId="0" applyFont="1" applyBorder="1"/>
    <xf numFmtId="0" fontId="47" fillId="2" borderId="46" xfId="0" applyFont="1" applyFill="1" applyBorder="1"/>
    <xf numFmtId="0" fontId="47" fillId="0" borderId="0" xfId="0" applyFont="1" applyAlignment="1">
      <alignment horizontal="center"/>
    </xf>
    <xf numFmtId="0" fontId="47" fillId="2" borderId="1" xfId="0" applyFont="1" applyFill="1" applyBorder="1" applyAlignment="1">
      <alignment horizontal="center"/>
    </xf>
    <xf numFmtId="0" fontId="47" fillId="2" borderId="1" xfId="0" applyFont="1" applyFill="1" applyBorder="1"/>
    <xf numFmtId="0" fontId="47" fillId="2" borderId="1" xfId="0" applyFont="1" applyFill="1" applyBorder="1" applyAlignment="1">
      <alignment horizontal="left"/>
    </xf>
    <xf numFmtId="0" fontId="47" fillId="0" borderId="11" xfId="0" applyFont="1" applyBorder="1"/>
    <xf numFmtId="0" fontId="47" fillId="0" borderId="0" xfId="0" applyFont="1" applyAlignment="1">
      <alignment horizontal="left"/>
    </xf>
    <xf numFmtId="0" fontId="47" fillId="2" borderId="45" xfId="0" applyFont="1" applyFill="1" applyBorder="1"/>
    <xf numFmtId="0" fontId="47" fillId="0" borderId="12" xfId="0" applyFont="1" applyBorder="1"/>
    <xf numFmtId="0" fontId="8" fillId="3" borderId="6" xfId="0" applyFont="1" applyFill="1" applyBorder="1" applyAlignment="1">
      <alignment horizontal="left"/>
    </xf>
    <xf numFmtId="0" fontId="8" fillId="2" borderId="46" xfId="0" applyFont="1" applyFill="1" applyBorder="1" applyAlignment="1">
      <alignment horizontal="left"/>
    </xf>
    <xf numFmtId="0" fontId="8" fillId="10" borderId="51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/>
    </xf>
    <xf numFmtId="0" fontId="12" fillId="3" borderId="52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2" fillId="12" borderId="6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left"/>
    </xf>
    <xf numFmtId="0" fontId="12" fillId="12" borderId="6" xfId="0" applyFont="1" applyFill="1" applyBorder="1" applyAlignment="1">
      <alignment horizontal="center"/>
    </xf>
    <xf numFmtId="0" fontId="12" fillId="12" borderId="52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2" borderId="45" xfId="0" applyFont="1" applyFill="1" applyBorder="1" applyAlignment="1">
      <alignment horizontal="center" vertical="center"/>
    </xf>
    <xf numFmtId="0" fontId="12" fillId="19" borderId="6" xfId="0" applyFont="1" applyFill="1" applyBorder="1" applyAlignment="1">
      <alignment horizontal="center" vertical="center"/>
    </xf>
    <xf numFmtId="0" fontId="12" fillId="19" borderId="6" xfId="0" applyFont="1" applyFill="1" applyBorder="1" applyAlignment="1">
      <alignment horizontal="left"/>
    </xf>
    <xf numFmtId="0" fontId="12" fillId="19" borderId="51" xfId="0" applyFont="1" applyFill="1" applyBorder="1" applyAlignment="1">
      <alignment horizontal="center" vertical="center"/>
    </xf>
    <xf numFmtId="0" fontId="12" fillId="19" borderId="52" xfId="0" applyFont="1" applyFill="1" applyBorder="1" applyAlignment="1">
      <alignment horizontal="center" vertical="center"/>
    </xf>
    <xf numFmtId="0" fontId="12" fillId="12" borderId="5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2" fillId="2" borderId="46" xfId="0" applyFont="1" applyFill="1" applyBorder="1" applyAlignment="1">
      <alignment horizontal="center"/>
    </xf>
    <xf numFmtId="176" fontId="7" fillId="5" borderId="1" xfId="0" applyNumberFormat="1" applyFont="1" applyFill="1" applyBorder="1" applyAlignment="1">
      <alignment horizontal="center"/>
    </xf>
    <xf numFmtId="9" fontId="7" fillId="2" borderId="46" xfId="0" applyNumberFormat="1" applyFont="1" applyFill="1" applyBorder="1" applyAlignment="1">
      <alignment horizontal="center"/>
    </xf>
    <xf numFmtId="10" fontId="7" fillId="0" borderId="0" xfId="0" applyNumberFormat="1" applyFont="1" applyAlignment="1">
      <alignment horizontal="left"/>
    </xf>
    <xf numFmtId="10" fontId="7" fillId="2" borderId="1" xfId="0" applyNumberFormat="1" applyFont="1" applyFill="1" applyBorder="1"/>
    <xf numFmtId="10" fontId="7" fillId="2" borderId="46" xfId="0" applyNumberFormat="1" applyFont="1" applyFill="1" applyBorder="1"/>
    <xf numFmtId="183" fontId="7" fillId="2" borderId="1" xfId="0" applyNumberFormat="1" applyFont="1" applyFill="1" applyBorder="1"/>
    <xf numFmtId="165" fontId="7" fillId="2" borderId="46" xfId="0" applyNumberFormat="1" applyFont="1" applyFill="1" applyBorder="1"/>
    <xf numFmtId="165" fontId="7" fillId="2" borderId="1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center"/>
    </xf>
    <xf numFmtId="2" fontId="7" fillId="12" borderId="1" xfId="0" applyNumberFormat="1" applyFont="1" applyFill="1" applyBorder="1"/>
    <xf numFmtId="9" fontId="7" fillId="2" borderId="46" xfId="0" applyNumberFormat="1" applyFont="1" applyFill="1" applyBorder="1"/>
    <xf numFmtId="9" fontId="7" fillId="2" borderId="45" xfId="0" applyNumberFormat="1" applyFont="1" applyFill="1" applyBorder="1"/>
    <xf numFmtId="10" fontId="7" fillId="2" borderId="1" xfId="0" applyNumberFormat="1" applyFont="1" applyFill="1" applyBorder="1" applyAlignment="1">
      <alignment horizontal="center"/>
    </xf>
    <xf numFmtId="10" fontId="7" fillId="2" borderId="1" xfId="0" applyNumberFormat="1" applyFont="1" applyFill="1" applyBorder="1" applyAlignment="1">
      <alignment horizontal="center" vertical="center"/>
    </xf>
    <xf numFmtId="10" fontId="7" fillId="2" borderId="46" xfId="0" applyNumberFormat="1" applyFont="1" applyFill="1" applyBorder="1" applyAlignment="1">
      <alignment horizontal="center"/>
    </xf>
    <xf numFmtId="9" fontId="39" fillId="0" borderId="0" xfId="0" applyNumberFormat="1" applyFont="1"/>
    <xf numFmtId="9" fontId="30" fillId="2" borderId="45" xfId="0" applyNumberFormat="1" applyFont="1" applyFill="1" applyBorder="1"/>
    <xf numFmtId="9" fontId="30" fillId="2" borderId="1" xfId="0" applyNumberFormat="1" applyFont="1" applyFill="1" applyBorder="1"/>
    <xf numFmtId="0" fontId="8" fillId="10" borderId="52" xfId="0" applyFont="1" applyFill="1" applyBorder="1"/>
    <xf numFmtId="2" fontId="7" fillId="2" borderId="46" xfId="0" applyNumberFormat="1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left" vertical="center"/>
    </xf>
    <xf numFmtId="2" fontId="7" fillId="2" borderId="45" xfId="0" applyNumberFormat="1" applyFont="1" applyFill="1" applyBorder="1" applyAlignment="1">
      <alignment horizontal="center" vertical="center"/>
    </xf>
    <xf numFmtId="165" fontId="7" fillId="2" borderId="1" xfId="0" applyNumberFormat="1" applyFont="1" applyFill="1" applyBorder="1" applyAlignment="1">
      <alignment horizontal="left"/>
    </xf>
    <xf numFmtId="9" fontId="14" fillId="0" borderId="0" xfId="0" applyNumberFormat="1" applyFont="1"/>
    <xf numFmtId="9" fontId="7" fillId="2" borderId="1" xfId="0" applyNumberFormat="1" applyFont="1" applyFill="1" applyBorder="1" applyAlignment="1">
      <alignment horizontal="left"/>
    </xf>
    <xf numFmtId="9" fontId="7" fillId="0" borderId="0" xfId="0" applyNumberFormat="1" applyFont="1" applyAlignment="1">
      <alignment horizontal="left"/>
    </xf>
    <xf numFmtId="184" fontId="7" fillId="0" borderId="0" xfId="0" applyNumberFormat="1" applyFont="1" applyAlignment="1">
      <alignment horizontal="center"/>
    </xf>
    <xf numFmtId="0" fontId="12" fillId="13" borderId="6" xfId="0" applyFont="1" applyFill="1" applyBorder="1" applyAlignment="1">
      <alignment horizontal="right" vertical="center"/>
    </xf>
    <xf numFmtId="0" fontId="12" fillId="13" borderId="6" xfId="0" applyFont="1" applyFill="1" applyBorder="1" applyAlignment="1">
      <alignment horizontal="left" vertical="center"/>
    </xf>
    <xf numFmtId="2" fontId="7" fillId="0" borderId="0" xfId="0" applyNumberFormat="1" applyFont="1" applyAlignment="1">
      <alignment horizontal="right" vertical="center"/>
    </xf>
    <xf numFmtId="0" fontId="7" fillId="2" borderId="65" xfId="0" applyFont="1" applyFill="1" applyBorder="1"/>
    <xf numFmtId="0" fontId="7" fillId="2" borderId="66" xfId="0" applyFont="1" applyFill="1" applyBorder="1"/>
    <xf numFmtId="0" fontId="7" fillId="2" borderId="67" xfId="0" applyFont="1" applyFill="1" applyBorder="1"/>
    <xf numFmtId="0" fontId="7" fillId="2" borderId="68" xfId="0" applyFont="1" applyFill="1" applyBorder="1"/>
    <xf numFmtId="0" fontId="7" fillId="2" borderId="69" xfId="0" applyFont="1" applyFill="1" applyBorder="1"/>
    <xf numFmtId="0" fontId="8" fillId="2" borderId="52" xfId="0" applyFont="1" applyFill="1" applyBorder="1" applyAlignment="1">
      <alignment horizontal="center"/>
    </xf>
    <xf numFmtId="0" fontId="8" fillId="2" borderId="43" xfId="0" applyFont="1" applyFill="1" applyBorder="1" applyAlignment="1">
      <alignment horizontal="center"/>
    </xf>
    <xf numFmtId="0" fontId="8" fillId="2" borderId="44" xfId="0" applyFont="1" applyFill="1" applyBorder="1"/>
    <xf numFmtId="0" fontId="8" fillId="2" borderId="20" xfId="0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52" xfId="0" applyFont="1" applyFill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center" vertical="center" wrapText="1"/>
    </xf>
    <xf numFmtId="0" fontId="8" fillId="2" borderId="43" xfId="0" applyFont="1" applyFill="1" applyBorder="1"/>
    <xf numFmtId="0" fontId="30" fillId="2" borderId="43" xfId="0" applyFont="1" applyFill="1" applyBorder="1"/>
    <xf numFmtId="0" fontId="7" fillId="2" borderId="44" xfId="0" applyFont="1" applyFill="1" applyBorder="1"/>
    <xf numFmtId="0" fontId="7" fillId="2" borderId="20" xfId="0" applyFont="1" applyFill="1" applyBorder="1"/>
    <xf numFmtId="0" fontId="7" fillId="2" borderId="51" xfId="0" applyFont="1" applyFill="1" applyBorder="1"/>
    <xf numFmtId="0" fontId="7" fillId="9" borderId="51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2" xfId="0" applyFont="1" applyFill="1" applyBorder="1" applyAlignment="1">
      <alignment horizontal="center" vertical="center"/>
    </xf>
    <xf numFmtId="0" fontId="7" fillId="9" borderId="10" xfId="0" applyFont="1" applyFill="1" applyBorder="1" applyAlignment="1">
      <alignment horizontal="center" vertical="center"/>
    </xf>
    <xf numFmtId="0" fontId="7" fillId="2" borderId="45" xfId="0" applyFont="1" applyFill="1" applyBorder="1" applyAlignment="1">
      <alignment horizontal="left"/>
    </xf>
    <xf numFmtId="0" fontId="7" fillId="2" borderId="59" xfId="0" applyFont="1" applyFill="1" applyBorder="1"/>
    <xf numFmtId="0" fontId="7" fillId="2" borderId="59" xfId="0" applyFont="1" applyFill="1" applyBorder="1" applyAlignment="1">
      <alignment horizontal="left"/>
    </xf>
    <xf numFmtId="0" fontId="7" fillId="2" borderId="45" xfId="0" applyFont="1" applyFill="1" applyBorder="1" applyAlignment="1">
      <alignment horizontal="center"/>
    </xf>
    <xf numFmtId="0" fontId="7" fillId="2" borderId="59" xfId="0" applyFont="1" applyFill="1" applyBorder="1" applyAlignment="1">
      <alignment horizontal="center"/>
    </xf>
    <xf numFmtId="0" fontId="7" fillId="2" borderId="22" xfId="0" applyFont="1" applyFill="1" applyBorder="1" applyAlignment="1">
      <alignment horizontal="left"/>
    </xf>
    <xf numFmtId="0" fontId="7" fillId="2" borderId="51" xfId="0" applyFont="1" applyFill="1" applyBorder="1" applyAlignment="1">
      <alignment horizontal="left"/>
    </xf>
    <xf numFmtId="0" fontId="7" fillId="2" borderId="10" xfId="0" applyFont="1" applyFill="1" applyBorder="1"/>
    <xf numFmtId="169" fontId="7" fillId="2" borderId="50" xfId="0" applyNumberFormat="1" applyFont="1" applyFill="1" applyBorder="1"/>
    <xf numFmtId="0" fontId="7" fillId="2" borderId="22" xfId="0" applyFont="1" applyFill="1" applyBorder="1"/>
    <xf numFmtId="0" fontId="7" fillId="2" borderId="10" xfId="0" applyFont="1" applyFill="1" applyBorder="1" applyAlignment="1">
      <alignment horizontal="left"/>
    </xf>
    <xf numFmtId="0" fontId="7" fillId="9" borderId="51" xfId="0" applyFont="1" applyFill="1" applyBorder="1" applyAlignment="1">
      <alignment horizontal="center"/>
    </xf>
    <xf numFmtId="0" fontId="7" fillId="2" borderId="52" xfId="0" applyFont="1" applyFill="1" applyBorder="1" applyAlignment="1">
      <alignment horizontal="center"/>
    </xf>
    <xf numFmtId="0" fontId="7" fillId="2" borderId="22" xfId="0" applyFont="1" applyFill="1" applyBorder="1" applyAlignment="1">
      <alignment horizontal="center"/>
    </xf>
    <xf numFmtId="0" fontId="8" fillId="2" borderId="51" xfId="0" applyFont="1" applyFill="1" applyBorder="1" applyAlignment="1">
      <alignment horizontal="center"/>
    </xf>
    <xf numFmtId="0" fontId="8" fillId="2" borderId="52" xfId="0" applyFont="1" applyFill="1" applyBorder="1"/>
    <xf numFmtId="0" fontId="8" fillId="2" borderId="10" xfId="0" applyFont="1" applyFill="1" applyBorder="1"/>
    <xf numFmtId="0" fontId="8" fillId="2" borderId="45" xfId="0" applyFont="1" applyFill="1" applyBorder="1"/>
    <xf numFmtId="0" fontId="8" fillId="2" borderId="59" xfId="0" applyFont="1" applyFill="1" applyBorder="1"/>
    <xf numFmtId="0" fontId="8" fillId="2" borderId="10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7" fillId="2" borderId="59" xfId="0" applyFont="1" applyFill="1" applyBorder="1" applyAlignment="1">
      <alignment horizontal="center" vertical="center"/>
    </xf>
    <xf numFmtId="0" fontId="42" fillId="2" borderId="43" xfId="0" applyFont="1" applyFill="1" applyBorder="1"/>
    <xf numFmtId="0" fontId="7" fillId="2" borderId="22" xfId="0" applyFont="1" applyFill="1" applyBorder="1" applyAlignment="1">
      <alignment horizontal="center" vertical="center"/>
    </xf>
    <xf numFmtId="2" fontId="7" fillId="2" borderId="52" xfId="0" applyNumberFormat="1" applyFont="1" applyFill="1" applyBorder="1"/>
    <xf numFmtId="0" fontId="7" fillId="2" borderId="48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7" fillId="2" borderId="70" xfId="0" applyFont="1" applyFill="1" applyBorder="1"/>
    <xf numFmtId="0" fontId="7" fillId="2" borderId="71" xfId="0" applyFont="1" applyFill="1" applyBorder="1"/>
    <xf numFmtId="0" fontId="7" fillId="2" borderId="72" xfId="0" applyFont="1" applyFill="1" applyBorder="1"/>
    <xf numFmtId="0" fontId="7" fillId="2" borderId="43" xfId="0" applyFont="1" applyFill="1" applyBorder="1"/>
    <xf numFmtId="0" fontId="7" fillId="2" borderId="44" xfId="0" applyFont="1" applyFill="1" applyBorder="1" applyAlignment="1">
      <alignment horizontal="center"/>
    </xf>
    <xf numFmtId="0" fontId="7" fillId="2" borderId="46" xfId="0" applyFont="1" applyFill="1" applyBorder="1" applyAlignment="1">
      <alignment horizontal="center"/>
    </xf>
    <xf numFmtId="0" fontId="8" fillId="0" borderId="18" xfId="0" applyFont="1" applyBorder="1"/>
    <xf numFmtId="0" fontId="8" fillId="0" borderId="13" xfId="0" applyFont="1" applyBorder="1"/>
    <xf numFmtId="0" fontId="7" fillId="2" borderId="53" xfId="0" applyFont="1" applyFill="1" applyBorder="1"/>
    <xf numFmtId="0" fontId="7" fillId="2" borderId="5" xfId="0" applyFont="1" applyFill="1" applyBorder="1" applyAlignment="1">
      <alignment horizontal="center"/>
    </xf>
    <xf numFmtId="10" fontId="7" fillId="0" borderId="15" xfId="0" applyNumberFormat="1" applyFont="1" applyBorder="1" applyAlignment="1">
      <alignment horizontal="center"/>
    </xf>
    <xf numFmtId="9" fontId="7" fillId="0" borderId="15" xfId="0" applyNumberFormat="1" applyFont="1" applyBorder="1" applyAlignment="1">
      <alignment horizontal="center"/>
    </xf>
    <xf numFmtId="0" fontId="7" fillId="2" borderId="53" xfId="0" applyFont="1" applyFill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9" fontId="7" fillId="0" borderId="15" xfId="0" applyNumberFormat="1" applyFont="1" applyBorder="1"/>
    <xf numFmtId="9" fontId="7" fillId="0" borderId="18" xfId="0" applyNumberFormat="1" applyFont="1" applyBorder="1"/>
    <xf numFmtId="0" fontId="7" fillId="0" borderId="23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9" fontId="7" fillId="0" borderId="12" xfId="0" applyNumberFormat="1" applyFont="1" applyBorder="1" applyAlignment="1">
      <alignment horizontal="center"/>
    </xf>
    <xf numFmtId="9" fontId="7" fillId="0" borderId="18" xfId="0" applyNumberFormat="1" applyFont="1" applyBorder="1" applyAlignment="1">
      <alignment horizontal="center"/>
    </xf>
    <xf numFmtId="9" fontId="7" fillId="0" borderId="19" xfId="0" applyNumberFormat="1" applyFont="1" applyBorder="1" applyAlignment="1">
      <alignment horizontal="center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9" fontId="7" fillId="0" borderId="21" xfId="0" applyNumberFormat="1" applyFont="1" applyBorder="1"/>
    <xf numFmtId="9" fontId="7" fillId="0" borderId="23" xfId="0" applyNumberFormat="1" applyFont="1" applyBorder="1"/>
    <xf numFmtId="9" fontId="7" fillId="0" borderId="19" xfId="0" applyNumberFormat="1" applyFont="1" applyBorder="1"/>
    <xf numFmtId="0" fontId="7" fillId="0" borderId="9" xfId="0" applyFont="1" applyBorder="1"/>
    <xf numFmtId="0" fontId="6" fillId="0" borderId="0" xfId="0" applyFont="1" applyAlignment="1">
      <alignment horizontal="center"/>
    </xf>
    <xf numFmtId="0" fontId="5" fillId="0" borderId="0" xfId="0" applyFont="1"/>
    <xf numFmtId="184" fontId="0" fillId="0" borderId="0" xfId="0" applyNumberFormat="1"/>
    <xf numFmtId="0" fontId="14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7" fillId="10" borderId="1" xfId="1" applyNumberFormat="1" applyFont="1" applyFill="1" applyBorder="1"/>
    <xf numFmtId="0" fontId="58" fillId="0" borderId="0" xfId="0" applyFont="1"/>
    <xf numFmtId="0" fontId="56" fillId="0" borderId="0" xfId="0" applyFont="1"/>
    <xf numFmtId="174" fontId="30" fillId="0" borderId="0" xfId="0" applyNumberFormat="1" applyFont="1"/>
    <xf numFmtId="9" fontId="30" fillId="0" borderId="0" xfId="0" applyNumberFormat="1" applyFont="1"/>
    <xf numFmtId="10" fontId="0" fillId="0" borderId="0" xfId="0" applyNumberFormat="1"/>
    <xf numFmtId="0" fontId="2" fillId="0" borderId="0" xfId="0" applyFont="1"/>
    <xf numFmtId="186" fontId="0" fillId="0" borderId="0" xfId="1" applyNumberFormat="1" applyFont="1"/>
    <xf numFmtId="186" fontId="7" fillId="0" borderId="12" xfId="1" applyNumberFormat="1" applyFont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57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2" fillId="0" borderId="73" xfId="0" applyFont="1" applyBorder="1" applyAlignment="1">
      <alignment horizontal="center"/>
    </xf>
    <xf numFmtId="0" fontId="2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0" fillId="0" borderId="0" xfId="0" applyFont="1"/>
    <xf numFmtId="9" fontId="0" fillId="0" borderId="0" xfId="0" applyNumberFormat="1"/>
    <xf numFmtId="0" fontId="7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1" fillId="0" borderId="0" xfId="0" applyFont="1"/>
    <xf numFmtId="0" fontId="61" fillId="0" borderId="0" xfId="0" applyFont="1" applyAlignment="1">
      <alignment horizontal="center"/>
    </xf>
    <xf numFmtId="169" fontId="61" fillId="0" borderId="0" xfId="0" applyNumberFormat="1" applyFont="1" applyAlignment="1">
      <alignment horizontal="center"/>
    </xf>
    <xf numFmtId="1" fontId="61" fillId="0" borderId="0" xfId="0" applyNumberFormat="1" applyFont="1" applyAlignment="1">
      <alignment horizontal="center"/>
    </xf>
    <xf numFmtId="9" fontId="0" fillId="0" borderId="0" xfId="2" applyFont="1"/>
    <xf numFmtId="186" fontId="61" fillId="0" borderId="0" xfId="1" applyNumberFormat="1" applyFont="1" applyAlignment="1">
      <alignment horizontal="center"/>
    </xf>
    <xf numFmtId="186" fontId="61" fillId="0" borderId="0" xfId="0" applyNumberFormat="1" applyFont="1" applyAlignment="1">
      <alignment horizontal="center"/>
    </xf>
    <xf numFmtId="0" fontId="62" fillId="0" borderId="0" xfId="0" applyFont="1" applyAlignment="1">
      <alignment horizontal="center"/>
    </xf>
    <xf numFmtId="186" fontId="62" fillId="0" borderId="0" xfId="1" applyNumberFormat="1" applyFont="1" applyAlignment="1">
      <alignment horizontal="center"/>
    </xf>
    <xf numFmtId="167" fontId="57" fillId="0" borderId="0" xfId="0" applyNumberFormat="1" applyFont="1"/>
    <xf numFmtId="2" fontId="61" fillId="0" borderId="0" xfId="0" applyNumberFormat="1" applyFont="1"/>
    <xf numFmtId="0" fontId="63" fillId="0" borderId="0" xfId="0" applyFont="1"/>
    <xf numFmtId="0" fontId="64" fillId="0" borderId="0" xfId="0" applyFont="1"/>
    <xf numFmtId="0" fontId="2" fillId="0" borderId="0" xfId="0" applyFont="1" applyAlignment="1">
      <alignment vertical="center"/>
    </xf>
    <xf numFmtId="167" fontId="15" fillId="0" borderId="17" xfId="0" applyNumberFormat="1" applyFont="1" applyBorder="1"/>
    <xf numFmtId="0" fontId="2" fillId="0" borderId="0" xfId="0" applyFont="1" applyAlignment="1">
      <alignment horizontal="right"/>
    </xf>
    <xf numFmtId="0" fontId="8" fillId="2" borderId="2" xfId="0" applyFont="1" applyFill="1" applyBorder="1" applyAlignment="1">
      <alignment horizontal="center"/>
    </xf>
    <xf numFmtId="0" fontId="9" fillId="0" borderId="3" xfId="0" applyFont="1" applyBorder="1"/>
    <xf numFmtId="0" fontId="9" fillId="0" borderId="4" xfId="0" applyFont="1" applyBorder="1"/>
    <xf numFmtId="0" fontId="8" fillId="0" borderId="0" xfId="0" applyFont="1" applyAlignment="1">
      <alignment horizontal="center"/>
    </xf>
    <xf numFmtId="0" fontId="0" fillId="0" borderId="0" xfId="0"/>
    <xf numFmtId="0" fontId="24" fillId="7" borderId="29" xfId="0" applyFont="1" applyFill="1" applyBorder="1" applyAlignment="1">
      <alignment horizontal="center" vertical="center" wrapText="1"/>
    </xf>
    <xf numFmtId="0" fontId="9" fillId="0" borderId="30" xfId="0" applyFont="1" applyBorder="1"/>
    <xf numFmtId="0" fontId="9" fillId="0" borderId="31" xfId="0" applyFont="1" applyBorder="1"/>
    <xf numFmtId="0" fontId="23" fillId="6" borderId="29" xfId="0" applyFont="1" applyFill="1" applyBorder="1" applyAlignment="1">
      <alignment horizontal="center" vertical="center"/>
    </xf>
    <xf numFmtId="0" fontId="23" fillId="6" borderId="35" xfId="0" applyFont="1" applyFill="1" applyBorder="1" applyAlignment="1">
      <alignment horizontal="center" vertical="center"/>
    </xf>
    <xf numFmtId="0" fontId="9" fillId="0" borderId="36" xfId="0" applyFont="1" applyBorder="1"/>
    <xf numFmtId="0" fontId="9" fillId="0" borderId="37" xfId="0" applyFont="1" applyBorder="1"/>
    <xf numFmtId="0" fontId="23" fillId="6" borderId="38" xfId="0" applyFont="1" applyFill="1" applyBorder="1" applyAlignment="1">
      <alignment horizontal="center" vertical="center"/>
    </xf>
    <xf numFmtId="0" fontId="9" fillId="0" borderId="39" xfId="0" applyFont="1" applyBorder="1"/>
    <xf numFmtId="0" fontId="9" fillId="0" borderId="40" xfId="0" applyFont="1" applyBorder="1"/>
    <xf numFmtId="0" fontId="8" fillId="0" borderId="8" xfId="0" applyFont="1" applyBorder="1" applyAlignment="1">
      <alignment horizontal="center"/>
    </xf>
    <xf numFmtId="0" fontId="9" fillId="0" borderId="9" xfId="0" applyFont="1" applyBorder="1"/>
    <xf numFmtId="0" fontId="15" fillId="0" borderId="16" xfId="0" applyFont="1" applyBorder="1" applyAlignment="1">
      <alignment horizontal="left" vertical="center"/>
    </xf>
    <xf numFmtId="0" fontId="9" fillId="0" borderId="12" xfId="0" applyFont="1" applyBorder="1"/>
    <xf numFmtId="0" fontId="9" fillId="0" borderId="19" xfId="0" applyFont="1" applyBorder="1"/>
    <xf numFmtId="0" fontId="8" fillId="0" borderId="23" xfId="0" applyFont="1" applyBorder="1" applyAlignment="1">
      <alignment horizontal="center"/>
    </xf>
    <xf numFmtId="0" fontId="9" fillId="0" borderId="18" xfId="0" applyFont="1" applyBorder="1"/>
    <xf numFmtId="0" fontId="16" fillId="0" borderId="0" xfId="0" applyFont="1" applyAlignment="1">
      <alignment horizontal="center"/>
    </xf>
    <xf numFmtId="2" fontId="7" fillId="0" borderId="24" xfId="0" applyNumberFormat="1" applyFont="1" applyBorder="1" applyAlignment="1">
      <alignment horizontal="center" vertical="center"/>
    </xf>
    <xf numFmtId="0" fontId="9" fillId="0" borderId="21" xfId="0" applyFont="1" applyBorder="1"/>
    <xf numFmtId="0" fontId="9" fillId="0" borderId="23" xfId="0" applyFont="1" applyBorder="1"/>
    <xf numFmtId="171" fontId="7" fillId="0" borderId="16" xfId="0" applyNumberFormat="1" applyFont="1" applyBorder="1" applyAlignment="1">
      <alignment horizontal="center" vertical="center"/>
    </xf>
    <xf numFmtId="2" fontId="15" fillId="0" borderId="24" xfId="0" applyNumberFormat="1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3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9" fillId="0" borderId="13" xfId="0" applyFont="1" applyBorder="1"/>
    <xf numFmtId="0" fontId="8" fillId="2" borderId="8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9" fontId="7" fillId="2" borderId="47" xfId="0" applyNumberFormat="1" applyFont="1" applyFill="1" applyBorder="1" applyAlignment="1">
      <alignment horizontal="center" vertical="center"/>
    </xf>
    <xf numFmtId="0" fontId="9" fillId="0" borderId="49" xfId="0" applyFont="1" applyBorder="1"/>
    <xf numFmtId="9" fontId="7" fillId="0" borderId="0" xfId="0" applyNumberFormat="1" applyFont="1" applyAlignment="1">
      <alignment horizontal="center"/>
    </xf>
    <xf numFmtId="0" fontId="8" fillId="2" borderId="54" xfId="0" applyFont="1" applyFill="1" applyBorder="1" applyAlignment="1">
      <alignment horizontal="center" vertical="center"/>
    </xf>
    <xf numFmtId="0" fontId="9" fillId="0" borderId="55" xfId="0" applyFont="1" applyBorder="1"/>
    <xf numFmtId="0" fontId="9" fillId="0" borderId="56" xfId="0" applyFont="1" applyBorder="1"/>
    <xf numFmtId="0" fontId="8" fillId="2" borderId="57" xfId="0" applyFont="1" applyFill="1" applyBorder="1" applyAlignment="1">
      <alignment horizontal="center" vertical="center"/>
    </xf>
    <xf numFmtId="0" fontId="9" fillId="0" borderId="58" xfId="0" applyFont="1" applyBorder="1"/>
    <xf numFmtId="0" fontId="41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17" fillId="18" borderId="2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/>
    </xf>
    <xf numFmtId="0" fontId="45" fillId="10" borderId="60" xfId="0" applyFont="1" applyFill="1" applyBorder="1" applyAlignment="1">
      <alignment horizontal="center"/>
    </xf>
    <xf numFmtId="0" fontId="9" fillId="0" borderId="61" xfId="0" applyFont="1" applyBorder="1"/>
    <xf numFmtId="0" fontId="9" fillId="0" borderId="62" xfId="0" applyFont="1" applyBorder="1"/>
    <xf numFmtId="0" fontId="45" fillId="10" borderId="60" xfId="0" applyFont="1" applyFill="1" applyBorder="1" applyAlignment="1">
      <alignment horizontal="center" wrapText="1"/>
    </xf>
    <xf numFmtId="0" fontId="8" fillId="5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/>
    </xf>
    <xf numFmtId="0" fontId="17" fillId="18" borderId="8" xfId="0" applyFont="1" applyFill="1" applyBorder="1" applyAlignment="1">
      <alignment horizontal="center"/>
    </xf>
    <xf numFmtId="0" fontId="8" fillId="16" borderId="2" xfId="0" applyFont="1" applyFill="1" applyBorder="1" applyAlignment="1">
      <alignment horizontal="center"/>
    </xf>
    <xf numFmtId="0" fontId="17" fillId="18" borderId="8" xfId="0" applyFont="1" applyFill="1" applyBorder="1" applyAlignment="1">
      <alignment horizontal="center" vertical="center"/>
    </xf>
    <xf numFmtId="0" fontId="33" fillId="2" borderId="2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/>
    </xf>
    <xf numFmtId="0" fontId="47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47" fillId="0" borderId="63" xfId="0" applyFont="1" applyBorder="1" applyAlignment="1">
      <alignment horizontal="center"/>
    </xf>
    <xf numFmtId="0" fontId="9" fillId="0" borderId="63" xfId="0" applyFont="1" applyBorder="1"/>
    <xf numFmtId="0" fontId="9" fillId="0" borderId="64" xfId="0" applyFont="1" applyBorder="1"/>
    <xf numFmtId="0" fontId="34" fillId="2" borderId="2" xfId="0" applyFont="1" applyFill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19" fillId="0" borderId="0" xfId="0" applyFont="1" applyAlignment="1">
      <alignment horizontal="right"/>
    </xf>
    <xf numFmtId="0" fontId="1" fillId="0" borderId="0" xfId="0" applyFont="1"/>
    <xf numFmtId="43" fontId="0" fillId="0" borderId="0" xfId="1" applyFont="1"/>
    <xf numFmtId="1" fontId="0" fillId="0" borderId="0" xfId="0" applyNumberFormat="1"/>
    <xf numFmtId="1" fontId="66" fillId="20" borderId="0" xfId="0" applyNumberFormat="1" applyFont="1" applyFill="1"/>
    <xf numFmtId="2" fontId="1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184" fontId="0" fillId="0" borderId="76" xfId="0" applyNumberFormat="1" applyBorder="1"/>
    <xf numFmtId="0" fontId="57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4" fillId="0" borderId="0" xfId="2" applyFont="1"/>
    <xf numFmtId="0" fontId="0" fillId="0" borderId="0" xfId="0" applyAlignment="1">
      <alignment horizontal="right"/>
    </xf>
    <xf numFmtId="2" fontId="7" fillId="0" borderId="0" xfId="0" applyNumberFormat="1" applyFont="1" applyAlignment="1">
      <alignment horizontal="left"/>
    </xf>
    <xf numFmtId="43" fontId="14" fillId="0" borderId="0" xfId="1" applyFont="1"/>
    <xf numFmtId="0" fontId="68" fillId="0" borderId="0" xfId="0" applyFont="1"/>
    <xf numFmtId="43" fontId="14" fillId="0" borderId="0" xfId="1" applyNumberFormat="1" applyFont="1"/>
    <xf numFmtId="0" fontId="7" fillId="22" borderId="1" xfId="0" applyFont="1" applyFill="1" applyBorder="1"/>
    <xf numFmtId="0" fontId="0" fillId="23" borderId="0" xfId="0" applyFill="1"/>
    <xf numFmtId="0" fontId="7" fillId="24" borderId="1" xfId="0" applyFont="1" applyFill="1" applyBorder="1"/>
    <xf numFmtId="0" fontId="7" fillId="25" borderId="1" xfId="0" applyFont="1" applyFill="1" applyBorder="1"/>
    <xf numFmtId="0" fontId="7" fillId="2" borderId="64" xfId="0" applyFont="1" applyFill="1" applyBorder="1"/>
    <xf numFmtId="43" fontId="0" fillId="23" borderId="0" xfId="0" applyNumberFormat="1" applyFill="1"/>
    <xf numFmtId="165" fontId="7" fillId="0" borderId="0" xfId="2" applyNumberFormat="1" applyFont="1"/>
    <xf numFmtId="10" fontId="7" fillId="21" borderId="0" xfId="0" applyNumberFormat="1" applyFont="1" applyFill="1"/>
    <xf numFmtId="0" fontId="7" fillId="21" borderId="0" xfId="0" applyFont="1" applyFill="1" applyAlignment="1">
      <alignment horizontal="center" vertical="center"/>
    </xf>
  </cellXfs>
  <cellStyles count="3">
    <cellStyle name="Millares" xfId="1" builtinId="3"/>
    <cellStyle name="Normal" xfId="0" builtinId="0"/>
    <cellStyle name="Porcentaje" xfId="2" builtinId="5"/>
  </cellStyles>
  <dxfs count="87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28575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76375" y="9239250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856" t="s">
        <v>36</v>
      </c>
      <c r="Y14" s="857"/>
      <c r="Z14" s="857"/>
      <c r="AA14" s="857"/>
      <c r="AB14" s="857"/>
      <c r="AC14" s="857"/>
      <c r="AD14" s="857"/>
      <c r="AE14" s="857"/>
      <c r="AF14" s="85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856" t="s">
        <v>37</v>
      </c>
      <c r="C15" s="857"/>
      <c r="D15" s="857"/>
      <c r="E15" s="857"/>
      <c r="F15" s="857"/>
      <c r="G15" s="857"/>
      <c r="H15" s="857"/>
      <c r="I15" s="857"/>
      <c r="J15" s="858"/>
      <c r="K15" s="1"/>
      <c r="L15" s="1"/>
      <c r="M15" s="856" t="s">
        <v>38</v>
      </c>
      <c r="N15" s="857"/>
      <c r="O15" s="857"/>
      <c r="P15" s="857"/>
      <c r="Q15" s="857"/>
      <c r="R15" s="857"/>
      <c r="S15" s="857"/>
      <c r="T15" s="857"/>
      <c r="U15" s="85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856" t="s">
        <v>39</v>
      </c>
      <c r="AJ15" s="857"/>
      <c r="AK15" s="857"/>
      <c r="AL15" s="857"/>
      <c r="AM15" s="857"/>
      <c r="AN15" s="857"/>
      <c r="AO15" s="857"/>
      <c r="AP15" s="857"/>
      <c r="AQ15" s="85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859" t="s">
        <v>307</v>
      </c>
      <c r="C18" s="860"/>
      <c r="D18" s="860"/>
      <c r="E18" s="860"/>
      <c r="F18" s="860"/>
      <c r="G18" s="860"/>
      <c r="H18" s="860"/>
      <c r="I18" s="860"/>
      <c r="J18" s="860"/>
      <c r="L18" s="859" t="s">
        <v>308</v>
      </c>
      <c r="M18" s="860"/>
      <c r="N18" s="860"/>
      <c r="O18" s="860"/>
      <c r="P18" s="860"/>
      <c r="Q18" s="860"/>
      <c r="R18" s="860"/>
      <c r="S18" s="860"/>
      <c r="T18" s="860"/>
      <c r="V18" s="859" t="s">
        <v>309</v>
      </c>
      <c r="W18" s="860"/>
      <c r="X18" s="860"/>
      <c r="Y18" s="860"/>
      <c r="Z18" s="860"/>
      <c r="AA18" s="860"/>
      <c r="AB18" s="860"/>
      <c r="AC18" s="860"/>
      <c r="AD18" s="860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25" sqref="F2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871" t="s">
        <v>552</v>
      </c>
      <c r="G2" s="872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873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87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87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876" t="s">
        <v>552</v>
      </c>
      <c r="F41" s="875"/>
      <c r="G41" s="876" t="s">
        <v>618</v>
      </c>
      <c r="H41" s="877"/>
      <c r="I41" s="877"/>
      <c r="J41" s="877"/>
      <c r="K41" s="877"/>
      <c r="L41" s="877"/>
      <c r="M41" s="877"/>
      <c r="N41" s="87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878" t="s">
        <v>619</v>
      </c>
      <c r="L42" s="860"/>
      <c r="M42" s="86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879">
        <f>+G114</f>
        <v>6.0871741676095334</v>
      </c>
      <c r="F46" s="882">
        <f>+L114*1000</f>
        <v>77.841777688967127</v>
      </c>
      <c r="G46" s="883">
        <v>6.0871741676095334</v>
      </c>
      <c r="H46" s="884" t="s">
        <v>628</v>
      </c>
      <c r="I46" s="884">
        <v>40670.462586675276</v>
      </c>
      <c r="J46" s="885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880"/>
      <c r="F47" s="874"/>
      <c r="G47" s="880"/>
      <c r="H47" s="860"/>
      <c r="I47" s="860"/>
      <c r="J47" s="87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881"/>
      <c r="F48" s="875"/>
      <c r="G48" s="881"/>
      <c r="H48" s="877"/>
      <c r="I48" s="877"/>
      <c r="J48" s="87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864" t="s">
        <v>658</v>
      </c>
      <c r="C106" s="862"/>
      <c r="D106" s="862"/>
      <c r="E106" s="862"/>
      <c r="F106" s="862"/>
      <c r="G106" s="862"/>
      <c r="H106" s="862"/>
      <c r="I106" s="862"/>
      <c r="J106" s="862"/>
      <c r="K106" s="862"/>
      <c r="L106" s="863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861" t="s">
        <v>660</v>
      </c>
      <c r="E107" s="862"/>
      <c r="F107" s="862"/>
      <c r="G107" s="862"/>
      <c r="H107" s="862"/>
      <c r="I107" s="862"/>
      <c r="J107" s="863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864" t="s">
        <v>701</v>
      </c>
      <c r="C123" s="862"/>
      <c r="D123" s="862"/>
      <c r="E123" s="862"/>
      <c r="F123" s="862"/>
      <c r="G123" s="862"/>
      <c r="H123" s="862"/>
      <c r="I123" s="862"/>
      <c r="J123" s="862"/>
      <c r="K123" s="862"/>
      <c r="L123" s="863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865"/>
      <c r="C140" s="866"/>
      <c r="D140" s="866"/>
      <c r="E140" s="867"/>
      <c r="F140" s="20"/>
      <c r="G140" s="868" t="s">
        <v>736</v>
      </c>
      <c r="H140" s="869"/>
      <c r="I140" s="870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34" workbookViewId="0">
      <selection activeCell="L38" sqref="L3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6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6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6" t="s">
        <v>1642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C64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1643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33" sqref="B33:F36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spans="2:6" ht="15.75" customHeight="1" x14ac:dyDescent="0.25"/>
    <row r="34" spans="2:6" ht="15.75" customHeight="1" x14ac:dyDescent="0.25"/>
    <row r="35" spans="2:6" ht="15.75" customHeight="1" x14ac:dyDescent="0.25"/>
    <row r="36" spans="2:6" ht="15.75" customHeight="1" x14ac:dyDescent="0.25"/>
    <row r="37" spans="2:6" ht="15.75" customHeight="1" x14ac:dyDescent="0.25"/>
    <row r="38" spans="2:6" ht="15.75" customHeight="1" x14ac:dyDescent="0.25"/>
    <row r="39" spans="2:6" ht="15.75" customHeight="1" x14ac:dyDescent="0.25"/>
    <row r="40" spans="2:6" ht="15.75" customHeight="1" x14ac:dyDescent="0.25">
      <c r="B40" s="283" t="s">
        <v>986</v>
      </c>
    </row>
    <row r="41" spans="2:6" ht="15.75" customHeight="1" x14ac:dyDescent="0.25">
      <c r="B41" s="284" t="s">
        <v>43</v>
      </c>
      <c r="C41" s="285" t="s">
        <v>988</v>
      </c>
      <c r="D41" s="285" t="s">
        <v>989</v>
      </c>
      <c r="E41" s="285" t="s">
        <v>125</v>
      </c>
      <c r="F41" s="285"/>
    </row>
    <row r="42" spans="2:6" ht="15.75" customHeight="1" x14ac:dyDescent="0.25">
      <c r="B42" s="211" t="s">
        <v>935</v>
      </c>
      <c r="C42" s="212" t="s">
        <v>556</v>
      </c>
      <c r="D42" s="212" t="s">
        <v>556</v>
      </c>
      <c r="E42" s="212" t="s">
        <v>556</v>
      </c>
      <c r="F42" s="212"/>
    </row>
    <row r="43" spans="2:6" ht="15.75" customHeight="1" x14ac:dyDescent="0.25">
      <c r="B43" s="12" t="s">
        <v>137</v>
      </c>
      <c r="C43" s="286">
        <v>55.539114956987063</v>
      </c>
      <c r="D43" s="286">
        <v>78.281203343664757</v>
      </c>
      <c r="E43" s="286">
        <v>40.784041574326501</v>
      </c>
      <c r="F43" s="286"/>
    </row>
    <row r="44" spans="2:6" ht="15.75" customHeight="1" x14ac:dyDescent="0.25"/>
    <row r="45" spans="2:6" ht="15.75" customHeight="1" x14ac:dyDescent="0.25"/>
    <row r="46" spans="2:6" ht="15.75" customHeight="1" x14ac:dyDescent="0.25"/>
    <row r="47" spans="2:6" ht="15.75" customHeight="1" x14ac:dyDescent="0.25"/>
    <row r="48" spans="2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63" workbookViewId="0">
      <selection activeCell="E83" sqref="E83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886" t="s">
        <v>993</v>
      </c>
      <c r="E5" s="860"/>
      <c r="F5" s="860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887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860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994</v>
      </c>
      <c r="E20" s="12" t="s">
        <v>995</v>
      </c>
    </row>
    <row r="21" spans="2:8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994</v>
      </c>
      <c r="E24" s="12" t="s">
        <v>995</v>
      </c>
    </row>
    <row r="25" spans="2:8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8" ht="15.75" customHeight="1" x14ac:dyDescent="0.25">
      <c r="B26" s="70" t="s">
        <v>1000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994</v>
      </c>
      <c r="E28" s="12" t="s">
        <v>995</v>
      </c>
    </row>
    <row r="29" spans="2:8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994</v>
      </c>
      <c r="E30" s="817" t="s">
        <v>995</v>
      </c>
    </row>
    <row r="31" spans="2:8" ht="15.75" customHeight="1" x14ac:dyDescent="0.25">
      <c r="B31" s="816" t="s">
        <v>1011</v>
      </c>
      <c r="C31" s="817" t="s">
        <v>1012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1013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1014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888" t="s">
        <v>1005</v>
      </c>
      <c r="C45" s="12" t="s">
        <v>1017</v>
      </c>
    </row>
    <row r="46" spans="2:9" ht="15.75" customHeight="1" x14ac:dyDescent="0.25">
      <c r="B46" s="860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86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86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860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860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/>
      <c r="E58" s="298"/>
      <c r="F58" s="293"/>
      <c r="H58" s="293"/>
    </row>
    <row r="59" spans="2:15" ht="15.75" customHeight="1" x14ac:dyDescent="0.25">
      <c r="B59" s="70"/>
      <c r="D59" s="293"/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6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6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1019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1029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  <c r="I81" s="821" t="s">
        <v>994</v>
      </c>
      <c r="J81" s="821" t="s">
        <v>995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1019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1005</v>
      </c>
    </row>
    <row r="91" spans="2:10" ht="15.75" customHeight="1" x14ac:dyDescent="0.25">
      <c r="B91" s="70"/>
      <c r="C91" s="214"/>
      <c r="D91" s="214" t="s">
        <v>1031</v>
      </c>
      <c r="E91" s="214"/>
    </row>
    <row r="92" spans="2:10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10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1028</v>
      </c>
      <c r="C100" s="70"/>
      <c r="D100" s="12" t="s">
        <v>1038</v>
      </c>
    </row>
    <row r="101" spans="2:5" ht="15.75" customHeight="1" x14ac:dyDescent="0.25">
      <c r="B101" s="70"/>
      <c r="C101" s="12" t="s">
        <v>1024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1019</v>
      </c>
      <c r="D103" s="228">
        <v>0.64</v>
      </c>
    </row>
    <row r="104" spans="2:5" ht="15.75" customHeight="1" x14ac:dyDescent="0.25">
      <c r="B104" s="70"/>
      <c r="C104" s="12" t="s">
        <v>1039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abSelected="1" topLeftCell="A191" zoomScale="115" zoomScaleNormal="115" workbookViewId="0">
      <selection activeCell="F217" sqref="F21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927" t="s">
        <v>1688</v>
      </c>
      <c r="B1" s="927"/>
      <c r="C1" s="12" t="s">
        <v>1040</v>
      </c>
      <c r="D1" s="12">
        <v>119.96</v>
      </c>
      <c r="E1" s="12" t="s">
        <v>774</v>
      </c>
    </row>
    <row r="2" spans="1:24" x14ac:dyDescent="0.25">
      <c r="A2" s="93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927" t="s">
        <v>1689</v>
      </c>
      <c r="J3" s="828" t="s">
        <v>1653</v>
      </c>
      <c r="K3">
        <v>8.33</v>
      </c>
      <c r="L3" s="821" t="s">
        <v>1654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1655</v>
      </c>
      <c r="M4" s="821" t="s">
        <v>1656</v>
      </c>
      <c r="O4" s="14" t="s">
        <v>585</v>
      </c>
      <c r="P4" s="821" t="s">
        <v>1657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1652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1651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1671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890"/>
      <c r="U7" s="889" t="s">
        <v>1651</v>
      </c>
      <c r="V7" s="889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1672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891"/>
      <c r="U8" s="831" t="s">
        <v>1658</v>
      </c>
      <c r="V8" s="831" t="s">
        <v>653</v>
      </c>
      <c r="W8" s="832" t="s">
        <v>765</v>
      </c>
      <c r="X8" s="831" t="s">
        <v>1659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1672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1662</v>
      </c>
      <c r="T9" s="831" t="s">
        <v>1197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1672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1661</v>
      </c>
      <c r="T10" s="831" t="s">
        <v>1196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1672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1660</v>
      </c>
      <c r="T11" s="831" t="s">
        <v>1195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1672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1672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1672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1672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1672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1672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1683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927" t="s">
        <v>1040</v>
      </c>
      <c r="C20">
        <v>120.1</v>
      </c>
      <c r="D20" s="92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927" t="s">
        <v>1040</v>
      </c>
      <c r="C21">
        <f>+C20/1000</f>
        <v>0.1201</v>
      </c>
      <c r="D21" s="927" t="s">
        <v>1702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1663</v>
      </c>
      <c r="S29" s="835"/>
    </row>
    <row r="30" spans="1:19" x14ac:dyDescent="0.25">
      <c r="C30" s="939"/>
    </row>
    <row r="31" spans="1:19" x14ac:dyDescent="0.25">
      <c r="C31" s="926" t="s">
        <v>1011</v>
      </c>
      <c r="D31" s="821" t="s">
        <v>1664</v>
      </c>
      <c r="E31">
        <v>20</v>
      </c>
      <c r="F31" s="821" t="s">
        <v>1659</v>
      </c>
    </row>
    <row r="32" spans="1:19" x14ac:dyDescent="0.25">
      <c r="C32" s="926" t="s">
        <v>997</v>
      </c>
      <c r="D32" s="821" t="s">
        <v>1665</v>
      </c>
      <c r="E32" s="836">
        <v>0.3</v>
      </c>
    </row>
    <row r="33" spans="3:10" x14ac:dyDescent="0.25">
      <c r="C33" s="939"/>
      <c r="G33" s="841"/>
      <c r="H33" s="841" t="s">
        <v>1658</v>
      </c>
      <c r="I33" s="841" t="s">
        <v>1655</v>
      </c>
      <c r="J33" s="841" t="s">
        <v>653</v>
      </c>
    </row>
    <row r="34" spans="3:10" x14ac:dyDescent="0.25">
      <c r="C34" s="939"/>
      <c r="D34" s="852" t="s">
        <v>1668</v>
      </c>
      <c r="G34" s="841" t="s">
        <v>1659</v>
      </c>
      <c r="H34" s="841" t="s">
        <v>1666</v>
      </c>
      <c r="I34" s="841" t="s">
        <v>765</v>
      </c>
      <c r="J34" s="841" t="s">
        <v>1667</v>
      </c>
    </row>
    <row r="35" spans="3:10" x14ac:dyDescent="0.25">
      <c r="C35" s="939"/>
      <c r="D35" s="821" t="s">
        <v>907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939"/>
      <c r="D36" s="821" t="s">
        <v>909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939"/>
      <c r="D37" s="821" t="s">
        <v>911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93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93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926" t="s">
        <v>1000</v>
      </c>
      <c r="D41" s="852" t="s">
        <v>1669</v>
      </c>
      <c r="G41" s="841"/>
      <c r="H41" s="841" t="s">
        <v>1658</v>
      </c>
      <c r="I41" s="841" t="s">
        <v>1655</v>
      </c>
      <c r="J41" s="841" t="s">
        <v>653</v>
      </c>
    </row>
    <row r="42" spans="3:10" x14ac:dyDescent="0.25">
      <c r="D42" s="821" t="s">
        <v>907</v>
      </c>
      <c r="E42" s="836">
        <v>0.15</v>
      </c>
      <c r="G42" s="841" t="s">
        <v>1659</v>
      </c>
      <c r="H42" s="841" t="s">
        <v>1666</v>
      </c>
      <c r="I42" s="841" t="s">
        <v>765</v>
      </c>
      <c r="J42" s="841" t="s">
        <v>1667</v>
      </c>
    </row>
    <row r="43" spans="3:10" x14ac:dyDescent="0.25">
      <c r="D43" s="821" t="s">
        <v>909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911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612</v>
      </c>
    </row>
    <row r="50" spans="3:6" x14ac:dyDescent="0.25">
      <c r="D50" s="821" t="s">
        <v>1676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6" x14ac:dyDescent="0.25">
      <c r="D51" s="840" t="s">
        <v>1670</v>
      </c>
      <c r="E51" s="850">
        <f>+E50*($C$8/1000)</f>
        <v>1.6802426854852597E-2</v>
      </c>
      <c r="F51" s="840" t="s">
        <v>1673</v>
      </c>
    </row>
    <row r="52" spans="3:6" x14ac:dyDescent="0.25">
      <c r="D52" s="840" t="s">
        <v>1670</v>
      </c>
      <c r="E52" s="850">
        <f>+E51*1000</f>
        <v>16.802426854852598</v>
      </c>
      <c r="F52" s="840" t="s">
        <v>1674</v>
      </c>
    </row>
    <row r="53" spans="3:6" x14ac:dyDescent="0.25">
      <c r="D53" s="840" t="s">
        <v>1670</v>
      </c>
      <c r="E53" s="850">
        <f>+E52</f>
        <v>16.802426854852598</v>
      </c>
      <c r="F53" s="840" t="s">
        <v>1675</v>
      </c>
    </row>
    <row r="56" spans="3:6" ht="18.75" x14ac:dyDescent="0.3">
      <c r="D56" s="835" t="s">
        <v>1677</v>
      </c>
    </row>
    <row r="58" spans="3:6" x14ac:dyDescent="0.25">
      <c r="D58" s="851" t="s">
        <v>1716</v>
      </c>
    </row>
    <row r="59" spans="3:6" x14ac:dyDescent="0.25">
      <c r="C59" s="70" t="s">
        <v>1682</v>
      </c>
      <c r="D59" s="18" t="s">
        <v>1107</v>
      </c>
      <c r="E59" s="12">
        <v>165</v>
      </c>
      <c r="F59" s="365" t="s">
        <v>589</v>
      </c>
    </row>
    <row r="60" spans="3:6" x14ac:dyDescent="0.25">
      <c r="C60" s="70" t="s">
        <v>1681</v>
      </c>
      <c r="D60" s="18" t="s">
        <v>1109</v>
      </c>
      <c r="E60" s="12">
        <v>155</v>
      </c>
      <c r="F60" s="365" t="s">
        <v>589</v>
      </c>
    </row>
    <row r="61" spans="3:6" x14ac:dyDescent="0.25">
      <c r="C61" s="853"/>
      <c r="D61" s="18" t="s">
        <v>1679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1680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1719</v>
      </c>
      <c r="D64" s="18" t="s">
        <v>1714</v>
      </c>
      <c r="E64" s="938">
        <f>+E60/E59</f>
        <v>0.93939393939393945</v>
      </c>
      <c r="F64" s="365"/>
    </row>
    <row r="65" spans="1:9" x14ac:dyDescent="0.25">
      <c r="C65" s="70" t="s">
        <v>1718</v>
      </c>
      <c r="D65" s="18" t="s">
        <v>1715</v>
      </c>
      <c r="E65" s="938">
        <v>0.95</v>
      </c>
      <c r="F65" s="365"/>
    </row>
    <row r="66" spans="1:9" x14ac:dyDescent="0.25">
      <c r="C66" s="853"/>
      <c r="D66" s="18"/>
      <c r="E66" s="938"/>
      <c r="F66" s="365"/>
    </row>
    <row r="67" spans="1:9" x14ac:dyDescent="0.25">
      <c r="C67" s="70" t="s">
        <v>1721</v>
      </c>
      <c r="D67" s="18" t="s">
        <v>1717</v>
      </c>
      <c r="E67" s="941">
        <v>4.8099999999999996</v>
      </c>
      <c r="F67" s="940" t="s">
        <v>1720</v>
      </c>
    </row>
    <row r="68" spans="1:9" x14ac:dyDescent="0.25">
      <c r="A68" s="942">
        <v>8.2176851262728707</v>
      </c>
      <c r="C68" s="853"/>
      <c r="D68" s="18" t="s">
        <v>1722</v>
      </c>
      <c r="E68" s="943">
        <f>+E67/A68</f>
        <v>0.58532298647241721</v>
      </c>
      <c r="F68" s="940" t="s">
        <v>849</v>
      </c>
    </row>
    <row r="70" spans="1:9" x14ac:dyDescent="0.25">
      <c r="D70" s="851" t="s">
        <v>1678</v>
      </c>
    </row>
    <row r="71" spans="1:9" x14ac:dyDescent="0.25">
      <c r="E71" s="933" t="s">
        <v>662</v>
      </c>
      <c r="F71" s="286" t="s">
        <v>59</v>
      </c>
    </row>
    <row r="72" spans="1:9" x14ac:dyDescent="0.25">
      <c r="C72" s="926" t="s">
        <v>1682</v>
      </c>
      <c r="D72" s="927" t="s">
        <v>1693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926" t="s">
        <v>1682</v>
      </c>
      <c r="D73" s="927" t="s">
        <v>1692</v>
      </c>
      <c r="E73">
        <v>33.799999999999997</v>
      </c>
      <c r="F73" s="839">
        <f>+(E73*C17/1000)*365</f>
        <v>12.365388545948255</v>
      </c>
      <c r="I73" s="927"/>
    </row>
    <row r="74" spans="1:9" x14ac:dyDescent="0.25">
      <c r="C74" s="926" t="s">
        <v>1691</v>
      </c>
      <c r="D74" s="927" t="s">
        <v>1694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926" t="s">
        <v>1684</v>
      </c>
      <c r="D75" s="821" t="s">
        <v>858</v>
      </c>
      <c r="E75" s="928">
        <v>0</v>
      </c>
      <c r="F75" s="928">
        <v>0</v>
      </c>
    </row>
    <row r="76" spans="1:9" x14ac:dyDescent="0.25">
      <c r="C76" s="926" t="s">
        <v>1685</v>
      </c>
      <c r="D76" s="927" t="s">
        <v>1695</v>
      </c>
      <c r="E76">
        <v>347</v>
      </c>
      <c r="F76" s="812">
        <f>+(E76/E14)/1000</f>
        <v>0.51374637610155072</v>
      </c>
    </row>
    <row r="77" spans="1:9" x14ac:dyDescent="0.25">
      <c r="C77" s="926"/>
      <c r="D77" s="821"/>
    </row>
    <row r="79" spans="1:9" x14ac:dyDescent="0.25">
      <c r="C79" s="926" t="s">
        <v>1690</v>
      </c>
      <c r="D79" s="927" t="s">
        <v>1686</v>
      </c>
      <c r="E79" s="839">
        <v>165</v>
      </c>
      <c r="F79" s="927" t="s">
        <v>1687</v>
      </c>
      <c r="G79" s="930">
        <f>+SLOPE(G80:G81,E80:E81)*E79+INTERCEPT(G80:G81,E80:E81)</f>
        <v>71.777777777777771</v>
      </c>
      <c r="H79" s="927" t="s">
        <v>614</v>
      </c>
    </row>
    <row r="80" spans="1:9" x14ac:dyDescent="0.25">
      <c r="A80" s="855"/>
      <c r="C80" s="926" t="s">
        <v>1682</v>
      </c>
      <c r="D80" s="927" t="s">
        <v>1686</v>
      </c>
      <c r="E80">
        <v>200</v>
      </c>
      <c r="F80" s="927" t="s">
        <v>1687</v>
      </c>
      <c r="G80">
        <v>78</v>
      </c>
      <c r="H80" s="931" t="s">
        <v>614</v>
      </c>
      <c r="I80" s="821"/>
    </row>
    <row r="81" spans="1:8" x14ac:dyDescent="0.25">
      <c r="A81" s="812"/>
      <c r="B81" s="822"/>
      <c r="C81" s="926" t="s">
        <v>1682</v>
      </c>
      <c r="D81" s="927" t="s">
        <v>1686</v>
      </c>
      <c r="E81">
        <v>245</v>
      </c>
      <c r="F81" s="927" t="s">
        <v>1687</v>
      </c>
      <c r="G81" s="929">
        <v>86</v>
      </c>
      <c r="H81" s="927" t="s">
        <v>614</v>
      </c>
    </row>
    <row r="82" spans="1:8" x14ac:dyDescent="0.25">
      <c r="A82" s="812"/>
      <c r="B82" s="822"/>
      <c r="C82" s="821"/>
      <c r="D82" s="821"/>
      <c r="E82" s="812"/>
      <c r="F82" s="821"/>
    </row>
    <row r="83" spans="1:8" x14ac:dyDescent="0.25">
      <c r="A83" s="812"/>
      <c r="B83" s="839"/>
      <c r="C83" s="821"/>
      <c r="D83" s="851" t="s">
        <v>1696</v>
      </c>
      <c r="E83" s="812"/>
      <c r="F83" s="821"/>
    </row>
    <row r="85" spans="1:8" x14ac:dyDescent="0.25">
      <c r="D85" s="927" t="s">
        <v>1697</v>
      </c>
      <c r="E85" s="807">
        <f>+F72/E61</f>
        <v>3.144843829682923E-2</v>
      </c>
      <c r="F85" s="927" t="s">
        <v>609</v>
      </c>
    </row>
    <row r="86" spans="1:8" x14ac:dyDescent="0.25">
      <c r="D86" s="927" t="s">
        <v>1698</v>
      </c>
      <c r="E86">
        <f>+F73/E61</f>
        <v>3.372991374521029E-2</v>
      </c>
      <c r="F86" s="927" t="s">
        <v>609</v>
      </c>
    </row>
    <row r="87" spans="1:8" x14ac:dyDescent="0.25">
      <c r="D87" s="927" t="s">
        <v>1699</v>
      </c>
      <c r="E87">
        <f>+F74/E61</f>
        <v>3.8173402290987937E-2</v>
      </c>
      <c r="F87" s="927" t="s">
        <v>609</v>
      </c>
    </row>
    <row r="88" spans="1:8" x14ac:dyDescent="0.25">
      <c r="D88" s="927" t="s">
        <v>1700</v>
      </c>
      <c r="E88" s="928">
        <v>0</v>
      </c>
    </row>
    <row r="89" spans="1:8" x14ac:dyDescent="0.25">
      <c r="D89" s="927" t="s">
        <v>1701</v>
      </c>
      <c r="E89">
        <f>+F76/E62</f>
        <v>1.4917927107278191E-3</v>
      </c>
      <c r="F89" s="927" t="s">
        <v>609</v>
      </c>
    </row>
    <row r="90" spans="1:8" x14ac:dyDescent="0.25">
      <c r="E90" s="934">
        <f>+SUM(E85:E89)</f>
        <v>0.10484354704375527</v>
      </c>
      <c r="F90" s="927" t="s">
        <v>609</v>
      </c>
    </row>
    <row r="93" spans="1:8" ht="18.75" x14ac:dyDescent="0.3">
      <c r="D93" s="835" t="s">
        <v>1703</v>
      </c>
    </row>
    <row r="95" spans="1:8" x14ac:dyDescent="0.25">
      <c r="E95" s="391"/>
      <c r="F95" s="392" t="s">
        <v>662</v>
      </c>
      <c r="G95" s="392" t="s">
        <v>1070</v>
      </c>
    </row>
    <row r="96" spans="1:8" x14ac:dyDescent="0.25">
      <c r="B96" s="926" t="s">
        <v>1706</v>
      </c>
      <c r="C96" s="926" t="s">
        <v>1705</v>
      </c>
      <c r="E96" s="393" t="s">
        <v>1121</v>
      </c>
      <c r="F96" s="394">
        <f>394.77/299.7</f>
        <v>1.3172172172172172</v>
      </c>
      <c r="G96" s="395">
        <f>+F96</f>
        <v>1.3172172172172172</v>
      </c>
      <c r="H96" s="12" t="s">
        <v>1122</v>
      </c>
    </row>
    <row r="97" spans="2:8" x14ac:dyDescent="0.25">
      <c r="B97" s="926"/>
      <c r="C97" s="926"/>
      <c r="E97" s="393"/>
      <c r="F97" s="394"/>
      <c r="G97" s="395"/>
      <c r="H97" s="12"/>
    </row>
    <row r="99" spans="2:8" ht="18.75" x14ac:dyDescent="0.3">
      <c r="D99" s="835" t="s">
        <v>1704</v>
      </c>
    </row>
    <row r="101" spans="2:8" x14ac:dyDescent="0.25">
      <c r="E101" s="935" t="s">
        <v>662</v>
      </c>
      <c r="F101" s="935" t="s">
        <v>1070</v>
      </c>
      <c r="H101" s="927" t="s">
        <v>1732</v>
      </c>
    </row>
    <row r="102" spans="2:8" x14ac:dyDescent="0.25">
      <c r="C102" s="926" t="s">
        <v>1682</v>
      </c>
      <c r="D102" s="927" t="s">
        <v>1708</v>
      </c>
      <c r="E102" s="936">
        <f>+E103+E104+E105+E106+E107</f>
        <v>160.5</v>
      </c>
      <c r="F102" s="839">
        <f>+SUM(F103:F108)</f>
        <v>331.52912709130356</v>
      </c>
      <c r="G102" s="927" t="s">
        <v>59</v>
      </c>
    </row>
    <row r="103" spans="2:8" x14ac:dyDescent="0.25">
      <c r="C103" s="926" t="s">
        <v>1682</v>
      </c>
      <c r="D103" s="927" t="s">
        <v>1035</v>
      </c>
      <c r="E103">
        <f>36.8+12.6</f>
        <v>49.4</v>
      </c>
      <c r="F103" s="839">
        <f>+E103*365*C11/1000</f>
        <v>96.121435081229123</v>
      </c>
      <c r="G103" s="927" t="s">
        <v>59</v>
      </c>
      <c r="H103" s="844">
        <f>+F103/SUM($F$103:$F$108)</f>
        <v>0.28993360530508427</v>
      </c>
    </row>
    <row r="104" spans="2:8" x14ac:dyDescent="0.25">
      <c r="C104" s="926" t="s">
        <v>1682</v>
      </c>
      <c r="D104" s="927" t="s">
        <v>1097</v>
      </c>
      <c r="E104">
        <v>94</v>
      </c>
      <c r="F104" s="839">
        <f>+E104*365*C12/1000</f>
        <v>194.56685801250259</v>
      </c>
      <c r="G104" s="927" t="s">
        <v>59</v>
      </c>
      <c r="H104" s="844">
        <f t="shared" ref="H104:H108" si="8">+F104/SUM($F$103:$F$108)</f>
        <v>0.58687711610605675</v>
      </c>
    </row>
    <row r="105" spans="2:8" x14ac:dyDescent="0.25">
      <c r="C105" s="926" t="s">
        <v>1682</v>
      </c>
      <c r="D105" s="927" t="s">
        <v>1707</v>
      </c>
      <c r="E105">
        <v>10.199999999999999</v>
      </c>
      <c r="F105" s="839">
        <f>+E105*365*C13/1000</f>
        <v>17.542012028306285</v>
      </c>
      <c r="G105" s="927" t="s">
        <v>59</v>
      </c>
      <c r="H105" s="844">
        <f t="shared" si="8"/>
        <v>5.2912430899247027E-2</v>
      </c>
    </row>
    <row r="106" spans="2:8" x14ac:dyDescent="0.25">
      <c r="C106" s="926" t="s">
        <v>1682</v>
      </c>
      <c r="D106" s="927" t="s">
        <v>858</v>
      </c>
      <c r="E106">
        <v>1.4</v>
      </c>
      <c r="F106" s="839">
        <f>+E106*365*C15/1000</f>
        <v>2.7904793352524089</v>
      </c>
      <c r="G106" s="927" t="s">
        <v>59</v>
      </c>
      <c r="H106" s="844">
        <f t="shared" si="8"/>
        <v>8.4169959959020657E-3</v>
      </c>
    </row>
    <row r="107" spans="2:8" x14ac:dyDescent="0.25">
      <c r="C107" s="926" t="s">
        <v>1682</v>
      </c>
      <c r="D107" s="927" t="s">
        <v>22</v>
      </c>
      <c r="E107" s="927">
        <v>5.5</v>
      </c>
      <c r="F107" s="839">
        <f>+E107*365*C14/1000</f>
        <v>8.1429540880649238</v>
      </c>
      <c r="G107" s="927" t="s">
        <v>59</v>
      </c>
      <c r="H107" s="844">
        <f t="shared" si="8"/>
        <v>2.4561805955053667E-2</v>
      </c>
    </row>
    <row r="108" spans="2:8" x14ac:dyDescent="0.25">
      <c r="C108" s="926" t="s">
        <v>1711</v>
      </c>
      <c r="D108" s="927" t="s">
        <v>1710</v>
      </c>
      <c r="F108" s="839">
        <f>+F73</f>
        <v>12.365388545948255</v>
      </c>
      <c r="G108" s="927" t="s">
        <v>59</v>
      </c>
      <c r="H108" s="844">
        <f t="shared" si="8"/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1709</v>
      </c>
    </row>
    <row r="112" spans="2:8" x14ac:dyDescent="0.25">
      <c r="D112" s="927" t="s">
        <v>1035</v>
      </c>
      <c r="E112" s="811">
        <f>+F103/$E$61</f>
        <v>0.26219699464421958</v>
      </c>
      <c r="F112" s="927" t="s">
        <v>609</v>
      </c>
    </row>
    <row r="113" spans="1:6" x14ac:dyDescent="0.25">
      <c r="D113" s="927" t="s">
        <v>1097</v>
      </c>
      <c r="E113" s="811">
        <f t="shared" ref="E113:E117" si="9">+F104/$E$61</f>
        <v>0.53073328945968989</v>
      </c>
      <c r="F113" s="927" t="s">
        <v>609</v>
      </c>
    </row>
    <row r="114" spans="1:6" x14ac:dyDescent="0.25">
      <c r="D114" s="927" t="s">
        <v>1707</v>
      </c>
      <c r="E114" s="811">
        <f t="shared" si="9"/>
        <v>4.7850542700988603E-2</v>
      </c>
      <c r="F114" s="927" t="s">
        <v>609</v>
      </c>
    </row>
    <row r="115" spans="1:6" x14ac:dyDescent="0.25">
      <c r="D115" s="927" t="s">
        <v>858</v>
      </c>
      <c r="E115" s="811">
        <f t="shared" si="9"/>
        <v>7.611780813527003E-3</v>
      </c>
      <c r="F115" s="927" t="s">
        <v>609</v>
      </c>
    </row>
    <row r="116" spans="1:6" x14ac:dyDescent="0.25">
      <c r="D116" s="927" t="s">
        <v>22</v>
      </c>
      <c r="E116" s="811">
        <f t="shared" si="9"/>
        <v>2.2212091274045335E-2</v>
      </c>
      <c r="F116" s="927" t="s">
        <v>609</v>
      </c>
    </row>
    <row r="117" spans="1:6" x14ac:dyDescent="0.25">
      <c r="D117" s="927" t="s">
        <v>1710</v>
      </c>
      <c r="E117" s="811">
        <f t="shared" si="9"/>
        <v>3.372991374521029E-2</v>
      </c>
      <c r="F117" s="927" t="s">
        <v>609</v>
      </c>
    </row>
    <row r="119" spans="1:6" x14ac:dyDescent="0.25">
      <c r="C119" s="926" t="s">
        <v>1723</v>
      </c>
      <c r="D119" s="927" t="s">
        <v>1712</v>
      </c>
      <c r="E119" s="937">
        <f>+F102/E61</f>
        <v>0.90433461263768067</v>
      </c>
      <c r="F119" s="927"/>
    </row>
    <row r="120" spans="1:6" x14ac:dyDescent="0.25">
      <c r="C120" s="926"/>
    </row>
    <row r="124" spans="1:6" x14ac:dyDescent="0.25">
      <c r="A124" s="327" t="s">
        <v>310</v>
      </c>
      <c r="B124" s="1"/>
      <c r="C124" s="1"/>
      <c r="D124" s="1"/>
      <c r="E124" s="1"/>
      <c r="F124" s="1"/>
    </row>
    <row r="125" spans="1:6" x14ac:dyDescent="0.25">
      <c r="A125" s="331" t="s">
        <v>311</v>
      </c>
      <c r="B125" s="332" t="s">
        <v>42</v>
      </c>
      <c r="C125" s="332" t="s">
        <v>312</v>
      </c>
      <c r="D125" s="332" t="s">
        <v>313</v>
      </c>
      <c r="E125" s="332" t="s">
        <v>314</v>
      </c>
      <c r="F125" s="333" t="s">
        <v>315</v>
      </c>
    </row>
    <row r="126" spans="1:6" x14ac:dyDescent="0.25">
      <c r="A126" s="1" t="s">
        <v>329</v>
      </c>
      <c r="B126" s="1"/>
      <c r="C126" s="17" t="s">
        <v>1052</v>
      </c>
      <c r="D126" s="1" t="s">
        <v>1053</v>
      </c>
      <c r="E126" s="1" t="s">
        <v>59</v>
      </c>
      <c r="F126" s="1" t="s">
        <v>328</v>
      </c>
    </row>
    <row r="127" spans="1:6" x14ac:dyDescent="0.25">
      <c r="A127" s="1"/>
      <c r="B127" s="1"/>
      <c r="C127" s="338" t="s">
        <v>1056</v>
      </c>
      <c r="D127" s="328" t="s">
        <v>1057</v>
      </c>
      <c r="E127" s="1" t="s">
        <v>59</v>
      </c>
      <c r="F127" s="1" t="s">
        <v>328</v>
      </c>
    </row>
    <row r="128" spans="1:6" x14ac:dyDescent="0.25">
      <c r="A128" s="1"/>
      <c r="B128" s="1"/>
      <c r="C128" s="342" t="s">
        <v>1058</v>
      </c>
      <c r="D128" s="328" t="s">
        <v>1059</v>
      </c>
      <c r="E128" s="1" t="s">
        <v>59</v>
      </c>
      <c r="F128" s="1" t="s">
        <v>328</v>
      </c>
    </row>
    <row r="129" spans="1:6" x14ac:dyDescent="0.25">
      <c r="A129" s="1"/>
      <c r="B129" s="1"/>
      <c r="C129" s="17" t="s">
        <v>1060</v>
      </c>
      <c r="D129" s="328" t="s">
        <v>1061</v>
      </c>
      <c r="E129" s="1" t="s">
        <v>59</v>
      </c>
      <c r="F129" s="1" t="s">
        <v>328</v>
      </c>
    </row>
    <row r="130" spans="1:6" x14ac:dyDescent="0.25">
      <c r="A130" s="328"/>
      <c r="B130" s="328"/>
      <c r="C130" s="18" t="s">
        <v>1062</v>
      </c>
      <c r="D130" s="12" t="s">
        <v>1063</v>
      </c>
      <c r="E130" s="1" t="s">
        <v>59</v>
      </c>
      <c r="F130" s="1" t="s">
        <v>328</v>
      </c>
    </row>
    <row r="131" spans="1:6" x14ac:dyDescent="0.25">
      <c r="A131" s="328"/>
      <c r="B131" s="328"/>
      <c r="C131" s="18" t="s">
        <v>1064</v>
      </c>
      <c r="D131" s="12" t="s">
        <v>1065</v>
      </c>
      <c r="E131" s="12" t="s">
        <v>59</v>
      </c>
      <c r="F131" s="344" t="s">
        <v>328</v>
      </c>
    </row>
    <row r="132" spans="1:6" x14ac:dyDescent="0.25">
      <c r="A132" s="328"/>
      <c r="B132" s="328"/>
      <c r="C132" s="18" t="s">
        <v>1066</v>
      </c>
      <c r="D132" s="328" t="s">
        <v>1067</v>
      </c>
      <c r="E132" s="328" t="s">
        <v>59</v>
      </c>
      <c r="F132" s="344" t="s">
        <v>328</v>
      </c>
    </row>
    <row r="133" spans="1:6" ht="15.75" customHeight="1" x14ac:dyDescent="0.25">
      <c r="A133" s="328"/>
      <c r="B133" s="328"/>
      <c r="C133" s="1" t="s">
        <v>1724</v>
      </c>
      <c r="D133" s="1" t="s">
        <v>1725</v>
      </c>
      <c r="E133" s="328" t="s">
        <v>59</v>
      </c>
      <c r="F133" s="344" t="s">
        <v>328</v>
      </c>
    </row>
    <row r="134" spans="1:6" x14ac:dyDescent="0.25">
      <c r="A134" s="328"/>
      <c r="B134" s="328"/>
      <c r="C134" s="1" t="s">
        <v>1726</v>
      </c>
      <c r="D134" s="1" t="s">
        <v>1727</v>
      </c>
      <c r="E134" s="328" t="s">
        <v>59</v>
      </c>
      <c r="F134" s="344" t="s">
        <v>328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1054</v>
      </c>
      <c r="D140" s="1" t="s">
        <v>1076</v>
      </c>
      <c r="E140" s="1" t="s">
        <v>59</v>
      </c>
      <c r="F140" s="328"/>
    </row>
    <row r="141" spans="1:6" x14ac:dyDescent="0.25">
      <c r="A141" s="1"/>
      <c r="B141" s="1"/>
      <c r="C141" s="12" t="s">
        <v>1079</v>
      </c>
      <c r="D141" s="12" t="s">
        <v>1080</v>
      </c>
      <c r="E141" s="12" t="s">
        <v>59</v>
      </c>
      <c r="F141" s="328"/>
    </row>
    <row r="142" spans="1:6" x14ac:dyDescent="0.25">
      <c r="A142" s="1"/>
      <c r="B142" s="328"/>
      <c r="C142" s="12" t="s">
        <v>1081</v>
      </c>
      <c r="D142" s="12" t="s">
        <v>1082</v>
      </c>
      <c r="E142" s="12" t="s">
        <v>59</v>
      </c>
      <c r="F142" s="328"/>
    </row>
    <row r="143" spans="1:6" x14ac:dyDescent="0.25">
      <c r="A143" s="1"/>
      <c r="B143" s="328"/>
      <c r="C143" s="18" t="s">
        <v>1083</v>
      </c>
      <c r="D143" s="12" t="s">
        <v>1084</v>
      </c>
      <c r="E143" s="12" t="s">
        <v>59</v>
      </c>
      <c r="F143" s="328"/>
    </row>
    <row r="144" spans="1:6" x14ac:dyDescent="0.25">
      <c r="C144" s="18" t="s">
        <v>1086</v>
      </c>
      <c r="D144" s="18" t="s">
        <v>1087</v>
      </c>
      <c r="E144" s="344" t="s">
        <v>59</v>
      </c>
    </row>
    <row r="145" spans="1:7" x14ac:dyDescent="0.25">
      <c r="A145" s="1"/>
      <c r="B145" s="1"/>
      <c r="C145" s="18" t="s">
        <v>1088</v>
      </c>
      <c r="D145" s="18" t="s">
        <v>1089</v>
      </c>
      <c r="E145" s="344" t="s">
        <v>59</v>
      </c>
    </row>
    <row r="146" spans="1:7" x14ac:dyDescent="0.25">
      <c r="A146" s="1"/>
      <c r="B146" s="1"/>
      <c r="C146" s="18" t="s">
        <v>1728</v>
      </c>
      <c r="D146" s="927" t="s">
        <v>1730</v>
      </c>
      <c r="E146" s="344" t="s">
        <v>59</v>
      </c>
      <c r="F146" s="328"/>
    </row>
    <row r="147" spans="1:7" x14ac:dyDescent="0.25">
      <c r="A147" s="1"/>
      <c r="B147" s="1"/>
      <c r="C147" s="1" t="s">
        <v>1729</v>
      </c>
      <c r="D147" s="1" t="s">
        <v>1731</v>
      </c>
      <c r="E147" s="344" t="s">
        <v>59</v>
      </c>
      <c r="F147" s="328"/>
    </row>
    <row r="148" spans="1:7" x14ac:dyDescent="0.25">
      <c r="A148" s="948"/>
      <c r="B148" s="948"/>
      <c r="C148" s="948"/>
      <c r="D148" s="948"/>
      <c r="E148" s="948"/>
      <c r="F148" s="328"/>
    </row>
    <row r="149" spans="1:7" x14ac:dyDescent="0.25">
      <c r="A149" s="336" t="s">
        <v>880</v>
      </c>
      <c r="B149" s="328"/>
      <c r="C149" s="1"/>
      <c r="D149" s="1"/>
    </row>
    <row r="150" spans="1:7" x14ac:dyDescent="0.25">
      <c r="A150" s="360" t="s">
        <v>312</v>
      </c>
      <c r="B150" s="360" t="s">
        <v>881</v>
      </c>
      <c r="C150" s="360" t="s">
        <v>882</v>
      </c>
      <c r="D150" s="360" t="s">
        <v>930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1663</v>
      </c>
    </row>
    <row r="160" spans="1:7" x14ac:dyDescent="0.25">
      <c r="C160" s="329" t="s">
        <v>880</v>
      </c>
      <c r="D160" s="1"/>
      <c r="E160" s="1"/>
      <c r="F160" s="1"/>
      <c r="G160" s="1"/>
    </row>
    <row r="161" spans="3:11" x14ac:dyDescent="0.25">
      <c r="C161" s="334" t="s">
        <v>312</v>
      </c>
      <c r="D161" s="209" t="s">
        <v>881</v>
      </c>
      <c r="E161" s="209" t="s">
        <v>882</v>
      </c>
      <c r="F161" s="209" t="s">
        <v>1050</v>
      </c>
      <c r="G161" s="335" t="s">
        <v>930</v>
      </c>
    </row>
    <row r="162" spans="3:11" x14ac:dyDescent="0.25">
      <c r="C162" s="16" t="str">
        <f>+C126</f>
        <v>MIX-OIL-REF1</v>
      </c>
      <c r="D162" s="16" t="s">
        <v>13</v>
      </c>
      <c r="E162" s="16" t="s">
        <v>1054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 t="s">
        <v>1051</v>
      </c>
      <c r="D166" s="207"/>
      <c r="E166" s="207"/>
    </row>
    <row r="167" spans="3:11" x14ac:dyDescent="0.25">
      <c r="C167" s="337" t="s">
        <v>312</v>
      </c>
      <c r="D167" s="337" t="s">
        <v>882</v>
      </c>
      <c r="E167" s="337" t="s">
        <v>1055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1677</v>
      </c>
    </row>
    <row r="174" spans="3:11" x14ac:dyDescent="0.25">
      <c r="C174" s="336" t="s">
        <v>1085</v>
      </c>
      <c r="D174" s="328"/>
      <c r="E174" s="1"/>
      <c r="G174" s="283" t="s">
        <v>986</v>
      </c>
    </row>
    <row r="175" spans="3:11" ht="15.75" thickBot="1" x14ac:dyDescent="0.3">
      <c r="C175" s="354" t="s">
        <v>312</v>
      </c>
      <c r="D175" s="355" t="s">
        <v>881</v>
      </c>
      <c r="E175" s="356" t="s">
        <v>974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1056</v>
      </c>
      <c r="D176" s="1" t="str">
        <f>+E162</f>
        <v>OIL-REF1</v>
      </c>
      <c r="E176" s="950">
        <f>1/(1+SUM($E$85:$E$89))</f>
        <v>0.90510552618577855</v>
      </c>
      <c r="G176" s="211" t="s">
        <v>935</v>
      </c>
      <c r="H176" s="212" t="s">
        <v>556</v>
      </c>
      <c r="I176" s="212" t="s">
        <v>556</v>
      </c>
      <c r="J176" s="212" t="s">
        <v>556</v>
      </c>
      <c r="K176" s="212" t="s">
        <v>556</v>
      </c>
    </row>
    <row r="177" spans="3:11" s="945" customFormat="1" x14ac:dyDescent="0.25">
      <c r="C177" s="16"/>
      <c r="D177" s="944" t="str">
        <f>+C142</f>
        <v>H2-REF1</v>
      </c>
      <c r="E177" s="950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945" customFormat="1" x14ac:dyDescent="0.25">
      <c r="C178" s="1"/>
      <c r="D178" s="946" t="str">
        <f>+C151</f>
        <v>GAS-REF1</v>
      </c>
      <c r="E178" s="950">
        <f>E87/(1+SUM($E$85:$E$89))</f>
        <v>3.4550957366886043E-2</v>
      </c>
    </row>
    <row r="179" spans="3:11" s="945" customFormat="1" x14ac:dyDescent="0.25">
      <c r="C179" s="1"/>
      <c r="D179" s="947" t="str">
        <f>+C154</f>
        <v>RFG1-REF1</v>
      </c>
      <c r="E179" s="950">
        <f>E86/(1+SUM($E$85:$E$89))</f>
        <v>3.0529131328559483E-2</v>
      </c>
      <c r="G179" s="949"/>
    </row>
    <row r="180" spans="3:11" s="945" customFormat="1" x14ac:dyDescent="0.25">
      <c r="D180" s="945" t="str">
        <f>+C153</f>
        <v>LPG-REF1</v>
      </c>
      <c r="E180" s="950">
        <f>E89/(1+SUM($E$85:$E$89))</f>
        <v>1.3502298264034115E-3</v>
      </c>
    </row>
    <row r="183" spans="3:11" ht="18.75" x14ac:dyDescent="0.3">
      <c r="C183" s="835" t="s">
        <v>1703</v>
      </c>
    </row>
    <row r="185" spans="3:11" x14ac:dyDescent="0.25">
      <c r="C185" s="329" t="s">
        <v>880</v>
      </c>
      <c r="D185" s="1"/>
      <c r="E185" s="1"/>
      <c r="F185" s="397"/>
      <c r="G185" s="1"/>
    </row>
    <row r="186" spans="3:11" x14ac:dyDescent="0.25">
      <c r="C186" s="355" t="s">
        <v>312</v>
      </c>
      <c r="D186" s="355" t="s">
        <v>928</v>
      </c>
      <c r="E186" s="355" t="s">
        <v>1115</v>
      </c>
      <c r="F186" s="355" t="s">
        <v>973</v>
      </c>
      <c r="G186" s="398" t="s">
        <v>974</v>
      </c>
    </row>
    <row r="187" spans="3:11" x14ac:dyDescent="0.25">
      <c r="C187" s="389" t="str">
        <f>+C128</f>
        <v>SMR-REF1</v>
      </c>
      <c r="D187" s="389" t="s">
        <v>1116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930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880</v>
      </c>
      <c r="D191" s="328"/>
      <c r="E191" s="1"/>
      <c r="F191" s="1"/>
      <c r="G191" s="1"/>
    </row>
    <row r="192" spans="3:11" x14ac:dyDescent="0.25">
      <c r="C192" s="355" t="s">
        <v>312</v>
      </c>
      <c r="D192" s="355" t="s">
        <v>881</v>
      </c>
      <c r="E192" s="355" t="s">
        <v>882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1704</v>
      </c>
    </row>
    <row r="198" spans="3:7" x14ac:dyDescent="0.25">
      <c r="C198" s="336" t="s">
        <v>1102</v>
      </c>
      <c r="D198" s="269"/>
      <c r="E198" s="207"/>
    </row>
    <row r="199" spans="3:7" x14ac:dyDescent="0.25">
      <c r="C199" s="334" t="s">
        <v>312</v>
      </c>
      <c r="D199" s="371" t="s">
        <v>882</v>
      </c>
      <c r="E199" s="372" t="s">
        <v>973</v>
      </c>
    </row>
    <row r="200" spans="3:7" x14ac:dyDescent="0.25">
      <c r="C200" s="349" t="s">
        <v>1056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951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1713</v>
      </c>
    </row>
    <row r="213" spans="3:7" x14ac:dyDescent="0.25">
      <c r="C213" s="381" t="s">
        <v>880</v>
      </c>
      <c r="D213" s="16"/>
      <c r="E213" s="16"/>
      <c r="F213" s="336"/>
      <c r="G213" s="16"/>
    </row>
    <row r="214" spans="3:7" x14ac:dyDescent="0.25">
      <c r="C214" s="354" t="s">
        <v>312</v>
      </c>
      <c r="D214" s="355" t="s">
        <v>928</v>
      </c>
      <c r="E214" s="355" t="s">
        <v>1115</v>
      </c>
      <c r="F214" s="355" t="s">
        <v>973</v>
      </c>
      <c r="G214" s="382" t="s">
        <v>974</v>
      </c>
    </row>
    <row r="215" spans="3:7" x14ac:dyDescent="0.25">
      <c r="C215" s="384" t="s">
        <v>1056</v>
      </c>
      <c r="D215" s="385" t="s">
        <v>1116</v>
      </c>
      <c r="E215" s="16">
        <v>2019</v>
      </c>
      <c r="F215" s="386">
        <f>+E64*E61/E176</f>
        <v>380.48809621544933</v>
      </c>
    </row>
    <row r="216" spans="3:7" x14ac:dyDescent="0.25">
      <c r="C216" s="388" t="s">
        <v>1056</v>
      </c>
      <c r="D216" s="214" t="s">
        <v>1116</v>
      </c>
      <c r="E216" s="952">
        <v>2020</v>
      </c>
      <c r="F216" s="386">
        <f>+E61*E65/E176</f>
        <v>384.78392955981724</v>
      </c>
      <c r="G216" s="16"/>
    </row>
    <row r="217" spans="3:7" x14ac:dyDescent="0.25">
      <c r="C217" s="384" t="s">
        <v>1056</v>
      </c>
      <c r="D217" s="389" t="s">
        <v>930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1056</v>
      </c>
      <c r="D218" s="16" t="s">
        <v>1117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67" type="noConversion"/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61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71" t="s">
        <v>1043</v>
      </c>
      <c r="M7" s="892"/>
      <c r="N7" s="892"/>
      <c r="O7" s="892"/>
      <c r="P7" s="892"/>
      <c r="Q7" s="892"/>
      <c r="R7" s="892"/>
      <c r="S7" s="892"/>
      <c r="T7" s="892"/>
      <c r="U7" s="87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93" t="s">
        <v>1044</v>
      </c>
      <c r="O9" s="892"/>
      <c r="P9" s="87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894"/>
      <c r="S10" s="86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895"/>
      <c r="P12" s="323"/>
      <c r="R12" s="14"/>
      <c r="S12" s="89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896"/>
      <c r="P13" s="325"/>
      <c r="R13" s="14"/>
      <c r="S13" s="86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7" t="s">
        <v>1052</v>
      </c>
      <c r="D22" s="1" t="s">
        <v>1053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1054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338" t="s">
        <v>1056</v>
      </c>
      <c r="D23" s="328" t="s">
        <v>1057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1058</v>
      </c>
      <c r="D24" s="328" t="s">
        <v>1059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1060</v>
      </c>
      <c r="D25" s="328" t="s">
        <v>1061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1062</v>
      </c>
      <c r="D26" s="12" t="s">
        <v>1063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1064</v>
      </c>
      <c r="D27" s="12" t="s">
        <v>1065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1066</v>
      </c>
      <c r="D28" s="328" t="s">
        <v>1067</v>
      </c>
      <c r="E28" s="328" t="s">
        <v>59</v>
      </c>
      <c r="F28" s="344" t="s">
        <v>328</v>
      </c>
      <c r="G28" s="328"/>
      <c r="L28" s="871" t="s">
        <v>1068</v>
      </c>
      <c r="M28" s="892"/>
      <c r="N28" s="892"/>
      <c r="O28" s="892"/>
      <c r="P28" s="892"/>
      <c r="Q28" s="892"/>
      <c r="R28" s="892"/>
      <c r="S28" s="892"/>
      <c r="T28" s="892"/>
      <c r="U28" s="87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1073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1054</v>
      </c>
      <c r="D36" s="1" t="s">
        <v>1076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1078</v>
      </c>
      <c r="U36" s="305"/>
    </row>
    <row r="37" spans="1:21" ht="15.75" customHeight="1" x14ac:dyDescent="0.25">
      <c r="A37" s="1"/>
      <c r="B37" s="1"/>
      <c r="C37" s="12" t="s">
        <v>1079</v>
      </c>
      <c r="D37" s="12" t="s">
        <v>1080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1081</v>
      </c>
      <c r="D38" s="12" t="s">
        <v>1082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1083</v>
      </c>
      <c r="D39" s="12" t="s">
        <v>1084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1086</v>
      </c>
      <c r="D40" s="18" t="s">
        <v>1087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1088</v>
      </c>
      <c r="D41" s="18" t="s">
        <v>1089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871" t="s">
        <v>1090</v>
      </c>
      <c r="M48" s="892"/>
      <c r="N48" s="892"/>
      <c r="O48" s="892"/>
      <c r="P48" s="892"/>
      <c r="Q48" s="892"/>
      <c r="R48" s="892"/>
      <c r="S48" s="892"/>
      <c r="T48" s="892"/>
      <c r="U48" s="87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1095</v>
      </c>
      <c r="Q54" s="345" t="s">
        <v>1096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1098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1100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71" t="s">
        <v>1104</v>
      </c>
      <c r="M81" s="892"/>
      <c r="N81" s="892"/>
      <c r="O81" s="892"/>
      <c r="P81" s="892"/>
      <c r="Q81" s="892"/>
      <c r="R81" s="892"/>
      <c r="S81" s="892"/>
      <c r="T81" s="892"/>
      <c r="U81" s="87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>
        <f t="shared" ref="O89:P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>
        <f t="shared" ref="O90:P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1116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71" t="s">
        <v>1118</v>
      </c>
      <c r="M104" s="892"/>
      <c r="N104" s="892"/>
      <c r="O104" s="892"/>
      <c r="P104" s="892"/>
      <c r="Q104" s="892"/>
      <c r="R104" s="892"/>
      <c r="S104" s="892"/>
      <c r="T104" s="892"/>
      <c r="U104" s="87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74825000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336712500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1058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71" t="s">
        <v>1128</v>
      </c>
      <c r="M128" s="892"/>
      <c r="N128" s="892"/>
      <c r="O128" s="892"/>
      <c r="P128" s="892"/>
      <c r="Q128" s="892"/>
      <c r="R128" s="892"/>
      <c r="S128" s="892"/>
      <c r="T128" s="892"/>
      <c r="U128" s="872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1135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1136</v>
      </c>
      <c r="U131" s="305"/>
      <c r="W131" s="12" t="s">
        <v>1137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1139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1116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71" t="s">
        <v>1150</v>
      </c>
      <c r="M162" s="892"/>
      <c r="N162" s="892"/>
      <c r="O162" s="892"/>
      <c r="P162" s="892"/>
      <c r="Q162" s="892"/>
      <c r="R162" s="892"/>
      <c r="S162" s="892"/>
      <c r="T162" s="892"/>
      <c r="U162" s="87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41" workbookViewId="0">
      <selection activeCell="P61" sqref="P61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871" t="s">
        <v>1043</v>
      </c>
      <c r="M7" s="892"/>
      <c r="N7" s="892"/>
      <c r="O7" s="892"/>
      <c r="P7" s="892"/>
      <c r="Q7" s="892"/>
      <c r="R7" s="892"/>
      <c r="S7" s="892"/>
      <c r="T7" s="892"/>
      <c r="U7" s="872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893" t="s">
        <v>1154</v>
      </c>
      <c r="O9" s="892"/>
      <c r="P9" s="872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1155</v>
      </c>
      <c r="P10" s="321" t="s">
        <v>1046</v>
      </c>
      <c r="R10" s="894"/>
      <c r="S10" s="86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895"/>
      <c r="P12" s="323"/>
      <c r="R12" s="14"/>
      <c r="S12" s="897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896"/>
      <c r="P13" s="325"/>
      <c r="R13" s="14"/>
      <c r="S13" s="86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 t="s">
        <v>310</v>
      </c>
      <c r="B20" s="1"/>
      <c r="C20" s="1"/>
      <c r="D20" s="1"/>
      <c r="E20" s="1"/>
      <c r="F20" s="1"/>
      <c r="G20" s="328"/>
      <c r="N20" s="329" t="s">
        <v>880</v>
      </c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 t="s">
        <v>1051</v>
      </c>
      <c r="U21" s="207"/>
      <c r="V21" s="207"/>
    </row>
    <row r="22" spans="1:22" ht="15.75" customHeight="1" x14ac:dyDescent="0.25">
      <c r="A22" s="1" t="s">
        <v>329</v>
      </c>
      <c r="B22" s="1"/>
      <c r="C22" s="16" t="s">
        <v>1156</v>
      </c>
      <c r="D22" s="2" t="s">
        <v>1157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1055</v>
      </c>
    </row>
    <row r="23" spans="1:22" ht="15.75" customHeight="1" x14ac:dyDescent="0.25">
      <c r="A23" s="1"/>
      <c r="B23" s="1"/>
      <c r="C23" s="214" t="s">
        <v>1158</v>
      </c>
      <c r="D23" s="14" t="s">
        <v>1159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1160</v>
      </c>
      <c r="D24" s="14" t="s">
        <v>1161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1162</v>
      </c>
      <c r="D25" s="14" t="s">
        <v>1163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1164</v>
      </c>
      <c r="D26" s="14" t="s">
        <v>1165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1166</v>
      </c>
      <c r="D27" s="214" t="s">
        <v>1167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1168</v>
      </c>
      <c r="D28" s="214" t="s">
        <v>1169</v>
      </c>
      <c r="E28" s="214" t="s">
        <v>59</v>
      </c>
      <c r="F28" s="16" t="s">
        <v>328</v>
      </c>
      <c r="G28" s="328"/>
      <c r="L28" s="871" t="s">
        <v>1068</v>
      </c>
      <c r="M28" s="892"/>
      <c r="N28" s="892"/>
      <c r="O28" s="892"/>
      <c r="P28" s="892"/>
      <c r="Q28" s="892"/>
      <c r="R28" s="892"/>
      <c r="S28" s="892"/>
      <c r="T28" s="892"/>
      <c r="U28" s="872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1069</v>
      </c>
      <c r="O31" s="345" t="s">
        <v>662</v>
      </c>
      <c r="P31" s="345" t="s">
        <v>1070</v>
      </c>
      <c r="R31" s="13" t="s">
        <v>1071</v>
      </c>
      <c r="S31" s="13" t="s">
        <v>1072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1073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1074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1170</v>
      </c>
      <c r="X33" s="12" t="s">
        <v>1171</v>
      </c>
    </row>
    <row r="34" spans="1:26" ht="15.75" customHeight="1" x14ac:dyDescent="0.25">
      <c r="A34" s="348" t="s">
        <v>40</v>
      </c>
      <c r="B34" s="348"/>
      <c r="C34" s="349"/>
      <c r="D34" s="349"/>
      <c r="E34" s="349"/>
      <c r="F34" s="328"/>
      <c r="G34" s="328"/>
      <c r="L34" s="116"/>
      <c r="N34" s="330" t="s">
        <v>1075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1172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1173</v>
      </c>
      <c r="X35" s="12" t="s">
        <v>1174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1175</v>
      </c>
      <c r="E36" s="1" t="s">
        <v>59</v>
      </c>
      <c r="F36" s="328"/>
      <c r="G36" s="328"/>
      <c r="L36" s="116"/>
      <c r="N36" s="351" t="s">
        <v>1077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1078</v>
      </c>
      <c r="U36" s="305"/>
      <c r="W36" s="12" t="s">
        <v>1173</v>
      </c>
      <c r="X36" s="12" t="s">
        <v>1176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1174</v>
      </c>
      <c r="D37" s="12" t="s">
        <v>1177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1173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1176</v>
      </c>
      <c r="D38" s="12" t="s">
        <v>1178</v>
      </c>
      <c r="E38" s="12" t="s">
        <v>59</v>
      </c>
      <c r="F38" s="328"/>
      <c r="G38" s="328"/>
      <c r="W38" s="12" t="s">
        <v>1173</v>
      </c>
      <c r="X38" s="12" t="s">
        <v>1179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1179</v>
      </c>
      <c r="D39" s="12" t="s">
        <v>1180</v>
      </c>
      <c r="E39" s="12" t="s">
        <v>59</v>
      </c>
      <c r="F39" s="328"/>
      <c r="G39" s="328"/>
      <c r="N39" s="336" t="s">
        <v>1085</v>
      </c>
      <c r="O39" s="328"/>
      <c r="P39" s="1"/>
    </row>
    <row r="40" spans="1:26" ht="15.75" customHeight="1" x14ac:dyDescent="0.25">
      <c r="C40" s="18" t="s">
        <v>988</v>
      </c>
      <c r="D40" s="18" t="s">
        <v>1181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1182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 t="s">
        <v>880</v>
      </c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871" t="s">
        <v>1090</v>
      </c>
      <c r="M48" s="892"/>
      <c r="N48" s="892"/>
      <c r="O48" s="892"/>
      <c r="P48" s="892"/>
      <c r="Q48" s="892"/>
      <c r="R48" s="892"/>
      <c r="S48" s="892"/>
      <c r="T48" s="892"/>
      <c r="U48" s="872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1091</v>
      </c>
      <c r="N50" s="345" t="s">
        <v>1092</v>
      </c>
      <c r="O50" s="345" t="s">
        <v>1093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1094</v>
      </c>
      <c r="N54" s="345" t="s">
        <v>1092</v>
      </c>
      <c r="O54" s="345" t="s">
        <v>1093</v>
      </c>
      <c r="P54" s="345" t="s">
        <v>1183</v>
      </c>
      <c r="Q54" s="24" t="s">
        <v>1184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 t="shared" ref="P55:P61" si="6"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1097</v>
      </c>
      <c r="N56" s="274"/>
      <c r="O56" s="365">
        <v>3084</v>
      </c>
      <c r="P56" s="295">
        <f t="shared" si="6"/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1185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1099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1101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 t="s">
        <v>1102</v>
      </c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871" t="s">
        <v>1104</v>
      </c>
      <c r="M81" s="892"/>
      <c r="N81" s="892"/>
      <c r="O81" s="892"/>
      <c r="P81" s="892"/>
      <c r="Q81" s="892"/>
      <c r="R81" s="892"/>
      <c r="S81" s="892"/>
      <c r="T81" s="892"/>
      <c r="U81" s="872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1105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1070</v>
      </c>
      <c r="T83" s="299"/>
      <c r="U83" s="305"/>
    </row>
    <row r="84" spans="1:21" ht="15.75" customHeight="1" x14ac:dyDescent="0.25">
      <c r="A84" s="12" t="s">
        <v>1106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1107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1108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1109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1110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1111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1112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1113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1114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 t="s">
        <v>880</v>
      </c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1115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1116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1117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871" t="s">
        <v>1118</v>
      </c>
      <c r="M104" s="892"/>
      <c r="N104" s="892"/>
      <c r="O104" s="892"/>
      <c r="P104" s="892"/>
      <c r="Q104" s="892"/>
      <c r="R104" s="892"/>
      <c r="S104" s="892"/>
      <c r="T104" s="892"/>
      <c r="U104" s="872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1119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1120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1070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1121</v>
      </c>
      <c r="O108" s="394">
        <f>394.77/299.7</f>
        <v>1.3172172172172172</v>
      </c>
      <c r="P108" s="395">
        <f>+O108</f>
        <v>1.3172172172172172</v>
      </c>
      <c r="Q108" s="12" t="s">
        <v>1122</v>
      </c>
      <c r="U108" s="305"/>
      <c r="X108" s="12">
        <f>+O34*1000000</f>
        <v>5830000</v>
      </c>
      <c r="Y108" s="12" t="s">
        <v>1120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1123</v>
      </c>
      <c r="U110" s="305"/>
      <c r="X110" s="12">
        <f>+X108*X105</f>
        <v>26235000</v>
      </c>
      <c r="Y110" s="12" t="s">
        <v>1124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1125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1126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1127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 t="s">
        <v>880</v>
      </c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1115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1116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 t="s">
        <v>880</v>
      </c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871" t="s">
        <v>1128</v>
      </c>
      <c r="M128" s="892"/>
      <c r="N128" s="892"/>
      <c r="O128" s="892"/>
      <c r="P128" s="892"/>
      <c r="Q128" s="892"/>
      <c r="R128" s="892"/>
      <c r="S128" s="892"/>
      <c r="T128" s="892"/>
      <c r="U128" s="872"/>
      <c r="W128" s="12" t="s">
        <v>1129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1130</v>
      </c>
    </row>
    <row r="130" spans="2:25" ht="15.75" customHeight="1" x14ac:dyDescent="0.25">
      <c r="B130" s="1"/>
      <c r="C130" s="1"/>
      <c r="D130" s="1" t="s">
        <v>1131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1130</v>
      </c>
      <c r="N130" s="345" t="s">
        <v>1132</v>
      </c>
      <c r="O130" s="345" t="s">
        <v>1070</v>
      </c>
      <c r="P130" s="118"/>
      <c r="Q130" s="118" t="s">
        <v>1133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1134</v>
      </c>
      <c r="E131" s="1">
        <v>874.27499999999998</v>
      </c>
      <c r="F131" s="1" t="s">
        <v>664</v>
      </c>
      <c r="G131" s="401" t="s">
        <v>1186</v>
      </c>
      <c r="H131" s="1">
        <f>643+289</f>
        <v>932</v>
      </c>
      <c r="I131" s="1"/>
      <c r="L131" s="116"/>
      <c r="M131" s="330" t="s">
        <v>1135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1136</v>
      </c>
      <c r="U131" s="305"/>
      <c r="W131" s="12" t="s">
        <v>1137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1138</v>
      </c>
      <c r="E132" s="1">
        <f>+E130-E131</f>
        <v>686.72500000000002</v>
      </c>
      <c r="F132" s="1" t="s">
        <v>664</v>
      </c>
      <c r="G132" s="401" t="s">
        <v>1187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1139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1094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1140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1141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1142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1143</v>
      </c>
      <c r="O137" s="12">
        <v>193</v>
      </c>
      <c r="P137" s="12" t="s">
        <v>1144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1145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1146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1147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1148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 t="s">
        <v>880</v>
      </c>
      <c r="O143" s="1"/>
      <c r="P143" s="1"/>
      <c r="Q143" s="206"/>
      <c r="R143" s="1"/>
      <c r="S143" s="1"/>
      <c r="W143" s="12" t="s">
        <v>1149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1115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1116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 t="s">
        <v>1085</v>
      </c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 t="s">
        <v>1102</v>
      </c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871" t="s">
        <v>1150</v>
      </c>
      <c r="M162" s="892"/>
      <c r="N162" s="892"/>
      <c r="O162" s="892"/>
      <c r="P162" s="892"/>
      <c r="Q162" s="892"/>
      <c r="R162" s="892"/>
      <c r="S162" s="892"/>
      <c r="T162" s="892"/>
      <c r="U162" s="872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 t="s">
        <v>880</v>
      </c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 t="s">
        <v>1051</v>
      </c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1055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+'3. Scope3'!B43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1151</v>
      </c>
    </row>
    <row r="196" spans="2:16" ht="15.75" customHeight="1" x14ac:dyDescent="0.25">
      <c r="O196" s="12">
        <f>+O195*365</f>
        <v>89425</v>
      </c>
      <c r="P196" s="12" t="s">
        <v>1152</v>
      </c>
    </row>
    <row r="197" spans="2:16" ht="15.75" customHeight="1" x14ac:dyDescent="0.25">
      <c r="O197" s="12">
        <f>+O196/1000</f>
        <v>89.424999999999997</v>
      </c>
      <c r="P197" s="12" t="s">
        <v>1153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J21" sqref="J21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898" t="s">
        <v>1188</v>
      </c>
      <c r="E2" s="899"/>
      <c r="F2" s="899"/>
      <c r="G2" s="899"/>
      <c r="H2" s="900"/>
    </row>
    <row r="3" spans="1:23" x14ac:dyDescent="0.25">
      <c r="D3" s="426"/>
      <c r="E3" s="901" t="s">
        <v>1189</v>
      </c>
      <c r="F3" s="902"/>
      <c r="G3" s="901" t="s">
        <v>1190</v>
      </c>
      <c r="H3" s="902"/>
    </row>
    <row r="4" spans="1:23" x14ac:dyDescent="0.25">
      <c r="A4" s="12" t="s">
        <v>1191</v>
      </c>
      <c r="D4" s="2"/>
      <c r="E4" s="2" t="s">
        <v>1192</v>
      </c>
      <c r="F4" s="2" t="s">
        <v>1193</v>
      </c>
      <c r="G4" s="2" t="s">
        <v>1192</v>
      </c>
      <c r="H4" s="2" t="s">
        <v>1193</v>
      </c>
    </row>
    <row r="5" spans="1:23" x14ac:dyDescent="0.25">
      <c r="A5" s="12" t="s">
        <v>911</v>
      </c>
      <c r="B5" s="12">
        <v>15</v>
      </c>
      <c r="D5" s="16" t="s">
        <v>1194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1195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1196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1197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03" t="s">
        <v>1198</v>
      </c>
      <c r="O11" s="860"/>
      <c r="P11" s="860"/>
      <c r="Q11" s="860"/>
      <c r="R11" s="860"/>
      <c r="S11" s="860"/>
      <c r="T11" s="860"/>
      <c r="U11" s="860"/>
      <c r="V11" s="99"/>
      <c r="W11" s="99"/>
    </row>
    <row r="12" spans="1:23" ht="37.5" x14ac:dyDescent="0.25">
      <c r="A12" s="12" t="s">
        <v>1199</v>
      </c>
      <c r="C12" s="428" t="s">
        <v>1200</v>
      </c>
      <c r="D12" s="428" t="s">
        <v>1201</v>
      </c>
      <c r="E12" s="428" t="s">
        <v>1202</v>
      </c>
      <c r="F12" s="428" t="s">
        <v>1203</v>
      </c>
      <c r="G12" s="428" t="s">
        <v>1204</v>
      </c>
      <c r="H12" s="428" t="s">
        <v>1205</v>
      </c>
      <c r="I12" s="429"/>
      <c r="J12" s="428" t="s">
        <v>1206</v>
      </c>
      <c r="K12" s="430" t="s">
        <v>1207</v>
      </c>
      <c r="L12" s="430" t="s">
        <v>1208</v>
      </c>
      <c r="M12" s="430" t="s">
        <v>1209</v>
      </c>
      <c r="N12" s="428" t="s">
        <v>1210</v>
      </c>
      <c r="O12" s="428" t="s">
        <v>1211</v>
      </c>
      <c r="P12" s="428" t="s">
        <v>1212</v>
      </c>
      <c r="Q12" s="428" t="s">
        <v>1213</v>
      </c>
      <c r="R12" s="428" t="s">
        <v>1214</v>
      </c>
      <c r="S12" s="428" t="s">
        <v>1215</v>
      </c>
      <c r="T12" s="428" t="s">
        <v>1216</v>
      </c>
      <c r="U12" s="428" t="s">
        <v>1217</v>
      </c>
      <c r="V12" s="428" t="s">
        <v>1218</v>
      </c>
      <c r="W12" s="430" t="s">
        <v>1219</v>
      </c>
    </row>
    <row r="13" spans="1:23" x14ac:dyDescent="0.25">
      <c r="C13" s="431" t="s">
        <v>1220</v>
      </c>
      <c r="D13" s="432" t="s">
        <v>1221</v>
      </c>
      <c r="E13" s="432" t="s">
        <v>1222</v>
      </c>
      <c r="F13" s="432" t="s">
        <v>1223</v>
      </c>
      <c r="G13" s="433" t="s">
        <v>1224</v>
      </c>
      <c r="H13" s="431" t="s">
        <v>1100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1220</v>
      </c>
      <c r="D14" s="432" t="s">
        <v>1221</v>
      </c>
      <c r="E14" s="432" t="s">
        <v>1222</v>
      </c>
      <c r="F14" s="432" t="s">
        <v>1223</v>
      </c>
      <c r="G14" s="433" t="s">
        <v>1225</v>
      </c>
      <c r="H14" s="431" t="s">
        <v>1100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1220</v>
      </c>
      <c r="D15" s="432" t="s">
        <v>1221</v>
      </c>
      <c r="E15" s="432" t="s">
        <v>1226</v>
      </c>
      <c r="F15" s="432" t="s">
        <v>1227</v>
      </c>
      <c r="G15" s="433" t="s">
        <v>1228</v>
      </c>
      <c r="H15" s="431" t="s">
        <v>1100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1220</v>
      </c>
      <c r="D16" s="432" t="s">
        <v>1221</v>
      </c>
      <c r="E16" s="432" t="s">
        <v>1229</v>
      </c>
      <c r="F16" s="432" t="s">
        <v>1227</v>
      </c>
      <c r="G16" s="433" t="s">
        <v>1230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1220</v>
      </c>
      <c r="D17" s="432" t="s">
        <v>1221</v>
      </c>
      <c r="E17" s="432" t="s">
        <v>1231</v>
      </c>
      <c r="F17" s="432" t="s">
        <v>1227</v>
      </c>
      <c r="G17" s="433" t="s">
        <v>1232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1220</v>
      </c>
      <c r="D18" s="432" t="s">
        <v>1221</v>
      </c>
      <c r="E18" s="432" t="s">
        <v>1233</v>
      </c>
      <c r="F18" s="432" t="s">
        <v>1227</v>
      </c>
      <c r="G18" s="433" t="s">
        <v>1234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1220</v>
      </c>
      <c r="D19" s="432" t="s">
        <v>1221</v>
      </c>
      <c r="E19" s="432" t="s">
        <v>1233</v>
      </c>
      <c r="F19" s="432" t="s">
        <v>1227</v>
      </c>
      <c r="G19" s="433" t="s">
        <v>1235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1220</v>
      </c>
      <c r="D20" s="432" t="s">
        <v>1221</v>
      </c>
      <c r="E20" s="432" t="s">
        <v>1236</v>
      </c>
      <c r="F20" s="432" t="s">
        <v>1227</v>
      </c>
      <c r="G20" s="433" t="s">
        <v>1237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1220</v>
      </c>
      <c r="D21" s="432" t="s">
        <v>1221</v>
      </c>
      <c r="E21" s="432" t="s">
        <v>1238</v>
      </c>
      <c r="F21" s="432" t="s">
        <v>1227</v>
      </c>
      <c r="G21" s="433" t="s">
        <v>1239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1220</v>
      </c>
      <c r="D22" s="432" t="s">
        <v>1221</v>
      </c>
      <c r="E22" s="432" t="s">
        <v>1240</v>
      </c>
      <c r="F22" s="432" t="s">
        <v>1227</v>
      </c>
      <c r="G22" s="433" t="s">
        <v>1241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1220</v>
      </c>
      <c r="D23" s="432" t="s">
        <v>1221</v>
      </c>
      <c r="E23" s="432" t="s">
        <v>1240</v>
      </c>
      <c r="F23" s="432" t="s">
        <v>1227</v>
      </c>
      <c r="G23" s="433" t="s">
        <v>1242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1220</v>
      </c>
      <c r="D24" s="432" t="s">
        <v>1221</v>
      </c>
      <c r="E24" s="432" t="s">
        <v>1243</v>
      </c>
      <c r="F24" s="432" t="s">
        <v>1227</v>
      </c>
      <c r="G24" s="433" t="s">
        <v>1244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1220</v>
      </c>
      <c r="D25" s="432" t="s">
        <v>1221</v>
      </c>
      <c r="E25" s="432" t="s">
        <v>1245</v>
      </c>
      <c r="F25" s="432" t="s">
        <v>1246</v>
      </c>
      <c r="G25" s="433" t="s">
        <v>1245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1220</v>
      </c>
      <c r="D26" s="432" t="s">
        <v>1221</v>
      </c>
      <c r="E26" s="432" t="s">
        <v>1247</v>
      </c>
      <c r="F26" s="432" t="s">
        <v>1248</v>
      </c>
      <c r="G26" s="433" t="s">
        <v>1249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1220</v>
      </c>
      <c r="D27" s="432" t="s">
        <v>1221</v>
      </c>
      <c r="E27" s="432" t="s">
        <v>1250</v>
      </c>
      <c r="F27" s="432" t="s">
        <v>1248</v>
      </c>
      <c r="G27" s="433" t="s">
        <v>1251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1220</v>
      </c>
      <c r="D28" s="432" t="s">
        <v>1221</v>
      </c>
      <c r="E28" s="432" t="s">
        <v>1252</v>
      </c>
      <c r="F28" s="432" t="s">
        <v>1248</v>
      </c>
      <c r="G28" s="433" t="s">
        <v>1253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1220</v>
      </c>
      <c r="D29" s="432" t="s">
        <v>1221</v>
      </c>
      <c r="E29" s="432" t="s">
        <v>1254</v>
      </c>
      <c r="F29" s="432" t="s">
        <v>1248</v>
      </c>
      <c r="G29" s="433" t="s">
        <v>1255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1220</v>
      </c>
      <c r="D30" s="432" t="s">
        <v>1221</v>
      </c>
      <c r="E30" s="432" t="s">
        <v>1256</v>
      </c>
      <c r="F30" s="432" t="s">
        <v>1257</v>
      </c>
      <c r="G30" s="433" t="s">
        <v>1258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1220</v>
      </c>
      <c r="D31" s="432" t="s">
        <v>1221</v>
      </c>
      <c r="E31" s="432" t="s">
        <v>1259</v>
      </c>
      <c r="F31" s="432" t="s">
        <v>1257</v>
      </c>
      <c r="G31" s="433" t="s">
        <v>1260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1220</v>
      </c>
      <c r="D32" s="432" t="s">
        <v>1221</v>
      </c>
      <c r="E32" s="432" t="s">
        <v>1261</v>
      </c>
      <c r="F32" s="432" t="s">
        <v>1257</v>
      </c>
      <c r="G32" s="438" t="s">
        <v>1262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1263</v>
      </c>
      <c r="D33" s="242" t="s">
        <v>1221</v>
      </c>
      <c r="E33" s="242" t="s">
        <v>1264</v>
      </c>
      <c r="F33" s="242" t="s">
        <v>1265</v>
      </c>
      <c r="G33" s="440" t="s">
        <v>1266</v>
      </c>
      <c r="H33" s="441" t="s">
        <v>1100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1267</v>
      </c>
      <c r="D34" s="242" t="s">
        <v>1221</v>
      </c>
      <c r="E34" s="242" t="s">
        <v>1268</v>
      </c>
      <c r="F34" s="242" t="s">
        <v>1265</v>
      </c>
      <c r="G34" s="440" t="s">
        <v>1269</v>
      </c>
      <c r="H34" s="441" t="s">
        <v>1100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1267</v>
      </c>
      <c r="D35" s="242" t="s">
        <v>1221</v>
      </c>
      <c r="E35" s="242" t="s">
        <v>1268</v>
      </c>
      <c r="F35" s="242" t="s">
        <v>1265</v>
      </c>
      <c r="G35" s="440" t="s">
        <v>1270</v>
      </c>
      <c r="H35" s="441" t="s">
        <v>1100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1271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859" t="s">
        <v>7</v>
      </c>
      <c r="H59" s="860"/>
      <c r="J59" s="904" t="s">
        <v>686</v>
      </c>
      <c r="K59" s="860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1272</v>
      </c>
      <c r="F61" s="432" t="s">
        <v>1223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1273</v>
      </c>
      <c r="F62" s="432" t="s">
        <v>1227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1246</v>
      </c>
      <c r="F63" s="432" t="s">
        <v>1246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1274</v>
      </c>
      <c r="F64" s="432" t="s">
        <v>1248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1275</v>
      </c>
      <c r="F65" s="432" t="s">
        <v>1257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1221</v>
      </c>
      <c r="L80" s="12" t="s">
        <v>1276</v>
      </c>
    </row>
    <row r="81" spans="5:15" ht="15.75" customHeight="1" x14ac:dyDescent="0.25">
      <c r="E81" s="447" t="s">
        <v>1220</v>
      </c>
      <c r="F81" s="359" t="s">
        <v>1277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1220</v>
      </c>
      <c r="F82" s="359" t="s">
        <v>1278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1279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1280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1220</v>
      </c>
      <c r="F85" s="359" t="s">
        <v>1281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1220</v>
      </c>
      <c r="F86" s="359" t="s">
        <v>1282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1220</v>
      </c>
      <c r="F87" s="359" t="s">
        <v>1283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1220</v>
      </c>
      <c r="F88" s="359" t="s">
        <v>1284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1279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1220</v>
      </c>
      <c r="F90" s="359" t="s">
        <v>1285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1286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1287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1220</v>
      </c>
      <c r="F93" s="359" t="s">
        <v>1288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859" t="s">
        <v>1289</v>
      </c>
      <c r="F103" s="860"/>
    </row>
    <row r="104" spans="5:15" ht="15.75" customHeight="1" x14ac:dyDescent="0.25">
      <c r="E104" s="14"/>
      <c r="F104" s="14" t="s">
        <v>1221</v>
      </c>
      <c r="G104" s="12" t="s">
        <v>1290</v>
      </c>
      <c r="H104" s="12" t="s">
        <v>1291</v>
      </c>
      <c r="I104" s="12" t="s">
        <v>1292</v>
      </c>
      <c r="J104" s="12" t="s">
        <v>1293</v>
      </c>
      <c r="K104" s="12" t="s">
        <v>1294</v>
      </c>
      <c r="L104" s="12" t="s">
        <v>1295</v>
      </c>
      <c r="M104" s="12" t="s">
        <v>1296</v>
      </c>
      <c r="N104" s="12" t="s">
        <v>1297</v>
      </c>
      <c r="O104" s="12" t="s">
        <v>1298</v>
      </c>
    </row>
    <row r="105" spans="5:15" ht="15.75" customHeight="1" x14ac:dyDescent="0.25">
      <c r="E105" s="14" t="s">
        <v>1299</v>
      </c>
      <c r="F105" s="14" t="s">
        <v>1300</v>
      </c>
    </row>
    <row r="106" spans="5:15" ht="15.75" customHeight="1" x14ac:dyDescent="0.25">
      <c r="E106" s="13" t="s">
        <v>1266</v>
      </c>
      <c r="F106" s="14" t="s">
        <v>1301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1302</v>
      </c>
      <c r="F107" s="14" t="s">
        <v>1303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1304</v>
      </c>
      <c r="F108" s="14" t="s">
        <v>1300</v>
      </c>
    </row>
    <row r="109" spans="5:15" ht="15.75" customHeight="1" x14ac:dyDescent="0.25">
      <c r="E109" s="14" t="s">
        <v>1305</v>
      </c>
      <c r="F109" s="14" t="s">
        <v>1300</v>
      </c>
    </row>
    <row r="110" spans="5:15" ht="15.75" customHeight="1" x14ac:dyDescent="0.25">
      <c r="E110" s="14" t="s">
        <v>1306</v>
      </c>
      <c r="F110" s="14" t="s">
        <v>1300</v>
      </c>
    </row>
    <row r="111" spans="5:15" ht="15.75" customHeight="1" x14ac:dyDescent="0.25">
      <c r="E111" s="14" t="s">
        <v>1307</v>
      </c>
      <c r="F111" s="14" t="s">
        <v>1300</v>
      </c>
    </row>
    <row r="112" spans="5:15" ht="15.75" customHeight="1" x14ac:dyDescent="0.25">
      <c r="E112" s="13" t="s">
        <v>1270</v>
      </c>
      <c r="F112" s="14" t="s">
        <v>1301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1308</v>
      </c>
      <c r="F113" s="14" t="s">
        <v>1300</v>
      </c>
    </row>
    <row r="114" spans="5:6" ht="15.75" customHeight="1" x14ac:dyDescent="0.25">
      <c r="E114" s="14" t="s">
        <v>1309</v>
      </c>
      <c r="F114" s="14"/>
    </row>
    <row r="115" spans="5:6" ht="15.75" customHeight="1" x14ac:dyDescent="0.25">
      <c r="E115" s="14" t="s">
        <v>1310</v>
      </c>
      <c r="F115" s="14" t="s">
        <v>1300</v>
      </c>
    </row>
    <row r="116" spans="5:6" ht="15.75" customHeight="1" x14ac:dyDescent="0.25">
      <c r="E116" s="14" t="s">
        <v>1311</v>
      </c>
      <c r="F116" s="14" t="s">
        <v>1300</v>
      </c>
    </row>
    <row r="117" spans="5:6" ht="15.75" customHeight="1" x14ac:dyDescent="0.25">
      <c r="E117" s="14" t="s">
        <v>1312</v>
      </c>
      <c r="F117" s="14" t="s">
        <v>1300</v>
      </c>
    </row>
    <row r="118" spans="5:6" ht="15.75" customHeight="1" x14ac:dyDescent="0.25">
      <c r="E118" s="14" t="s">
        <v>1313</v>
      </c>
      <c r="F118" s="14" t="s">
        <v>1300</v>
      </c>
    </row>
    <row r="119" spans="5:6" ht="15.75" customHeight="1" x14ac:dyDescent="0.25">
      <c r="E119" s="14" t="s">
        <v>1314</v>
      </c>
      <c r="F119" s="14" t="s">
        <v>1300</v>
      </c>
    </row>
    <row r="120" spans="5:6" ht="15.75" customHeight="1" x14ac:dyDescent="0.25">
      <c r="E120" s="14" t="s">
        <v>1315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1316</v>
      </c>
      <c r="T1" s="12">
        <v>5.7</v>
      </c>
      <c r="U1" s="12" t="s">
        <v>1317</v>
      </c>
    </row>
    <row r="2" spans="8:61" x14ac:dyDescent="0.25">
      <c r="L2" s="306"/>
      <c r="M2" s="306"/>
      <c r="Q2" s="12">
        <f>+Q1/1000</f>
        <v>6.0871741676095338E-3</v>
      </c>
      <c r="R2" s="12" t="s">
        <v>1318</v>
      </c>
      <c r="T2" s="12">
        <f>+T1/1000</f>
        <v>5.7000000000000002E-3</v>
      </c>
      <c r="U2" s="12" t="s">
        <v>1318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1319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1320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1320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1200</v>
      </c>
      <c r="I5" s="456" t="s">
        <v>1201</v>
      </c>
      <c r="J5" s="426" t="s">
        <v>1202</v>
      </c>
      <c r="K5" s="456" t="s">
        <v>1203</v>
      </c>
      <c r="L5" s="456" t="s">
        <v>1204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1321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1322</v>
      </c>
      <c r="AT5" s="446" t="s">
        <v>1323</v>
      </c>
      <c r="AU5" s="12" t="s">
        <v>1324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1322</v>
      </c>
    </row>
    <row r="6" spans="8:61" ht="15.75" x14ac:dyDescent="0.25">
      <c r="H6" s="431" t="s">
        <v>1220</v>
      </c>
      <c r="I6" s="432" t="s">
        <v>1221</v>
      </c>
      <c r="J6" s="432" t="s">
        <v>1222</v>
      </c>
      <c r="K6" s="432" t="s">
        <v>1223</v>
      </c>
      <c r="L6" s="433" t="s">
        <v>1224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1224</v>
      </c>
      <c r="AS6" s="205"/>
      <c r="AT6" s="472" t="s">
        <v>1325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1220</v>
      </c>
      <c r="I7" s="432" t="s">
        <v>1221</v>
      </c>
      <c r="J7" s="432" t="s">
        <v>1222</v>
      </c>
      <c r="K7" s="432" t="s">
        <v>1223</v>
      </c>
      <c r="L7" s="433" t="s">
        <v>1225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1225</v>
      </c>
      <c r="AT7" s="476" t="s">
        <v>1326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1220</v>
      </c>
      <c r="I8" s="432" t="s">
        <v>1221</v>
      </c>
      <c r="J8" s="432" t="s">
        <v>1226</v>
      </c>
      <c r="K8" s="432" t="s">
        <v>1227</v>
      </c>
      <c r="L8" s="433" t="s">
        <v>1228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1228</v>
      </c>
      <c r="AT8" s="479" t="s">
        <v>1327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1220</v>
      </c>
      <c r="I9" s="432" t="s">
        <v>1221</v>
      </c>
      <c r="J9" s="432" t="s">
        <v>1229</v>
      </c>
      <c r="K9" s="432" t="s">
        <v>1227</v>
      </c>
      <c r="L9" s="433" t="s">
        <v>1230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1230</v>
      </c>
      <c r="AT9" s="479" t="s">
        <v>1328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1220</v>
      </c>
      <c r="I10" s="432" t="s">
        <v>1221</v>
      </c>
      <c r="J10" s="432" t="s">
        <v>1231</v>
      </c>
      <c r="K10" s="432" t="s">
        <v>1227</v>
      </c>
      <c r="L10" s="433" t="s">
        <v>1232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1232</v>
      </c>
      <c r="AT10" s="479" t="s">
        <v>1329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1220</v>
      </c>
      <c r="I11" s="432" t="s">
        <v>1221</v>
      </c>
      <c r="J11" s="432" t="s">
        <v>1233</v>
      </c>
      <c r="K11" s="432" t="s">
        <v>1227</v>
      </c>
      <c r="L11" s="433" t="s">
        <v>1234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1234</v>
      </c>
      <c r="AT11" s="480" t="s">
        <v>1330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1220</v>
      </c>
      <c r="I12" s="432" t="s">
        <v>1221</v>
      </c>
      <c r="J12" s="432" t="s">
        <v>1233</v>
      </c>
      <c r="K12" s="432" t="s">
        <v>1227</v>
      </c>
      <c r="L12" s="433" t="s">
        <v>1235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1235</v>
      </c>
      <c r="AT12" s="484"/>
    </row>
    <row r="13" spans="8:61" x14ac:dyDescent="0.25">
      <c r="H13" s="431" t="s">
        <v>1220</v>
      </c>
      <c r="I13" s="432" t="s">
        <v>1221</v>
      </c>
      <c r="J13" s="432" t="s">
        <v>1236</v>
      </c>
      <c r="K13" s="432" t="s">
        <v>1227</v>
      </c>
      <c r="L13" s="433" t="s">
        <v>1237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1237</v>
      </c>
      <c r="AV13" s="293">
        <f>+SUM(AV6:BH11)</f>
        <v>5175.1741990991441</v>
      </c>
    </row>
    <row r="14" spans="8:61" ht="25.5" x14ac:dyDescent="0.25">
      <c r="H14" s="431" t="s">
        <v>1220</v>
      </c>
      <c r="I14" s="432" t="s">
        <v>1221</v>
      </c>
      <c r="J14" s="432" t="s">
        <v>1238</v>
      </c>
      <c r="K14" s="432" t="s">
        <v>1227</v>
      </c>
      <c r="L14" s="433" t="s">
        <v>1239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1239</v>
      </c>
    </row>
    <row r="15" spans="8:61" x14ac:dyDescent="0.25">
      <c r="H15" s="431" t="s">
        <v>1220</v>
      </c>
      <c r="I15" s="432" t="s">
        <v>1221</v>
      </c>
      <c r="J15" s="432" t="s">
        <v>1240</v>
      </c>
      <c r="K15" s="432" t="s">
        <v>1227</v>
      </c>
      <c r="L15" s="433" t="s">
        <v>1241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1241</v>
      </c>
      <c r="BI15" s="12">
        <f>15*BI11</f>
        <v>-10.906059809289212</v>
      </c>
    </row>
    <row r="16" spans="8:61" x14ac:dyDescent="0.25">
      <c r="H16" s="431" t="s">
        <v>1220</v>
      </c>
      <c r="I16" s="432" t="s">
        <v>1221</v>
      </c>
      <c r="J16" s="432" t="s">
        <v>1240</v>
      </c>
      <c r="K16" s="432" t="s">
        <v>1227</v>
      </c>
      <c r="L16" s="433" t="s">
        <v>1242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1242</v>
      </c>
      <c r="BI16" s="293">
        <f>+AV11+BI15</f>
        <v>11.839307116564433</v>
      </c>
    </row>
    <row r="17" spans="1:61" x14ac:dyDescent="0.25">
      <c r="H17" s="431" t="s">
        <v>1220</v>
      </c>
      <c r="I17" s="432" t="s">
        <v>1221</v>
      </c>
      <c r="J17" s="432" t="s">
        <v>1243</v>
      </c>
      <c r="K17" s="432" t="s">
        <v>1227</v>
      </c>
      <c r="L17" s="433" t="s">
        <v>1244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1244</v>
      </c>
      <c r="BH17" s="293"/>
    </row>
    <row r="18" spans="1:61" x14ac:dyDescent="0.25">
      <c r="H18" s="431" t="s">
        <v>1220</v>
      </c>
      <c r="I18" s="432" t="s">
        <v>1221</v>
      </c>
      <c r="J18" s="432" t="s">
        <v>1245</v>
      </c>
      <c r="K18" s="432" t="s">
        <v>1246</v>
      </c>
      <c r="L18" s="433" t="s">
        <v>1245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1245</v>
      </c>
      <c r="BI18" s="485"/>
    </row>
    <row r="19" spans="1:61" x14ac:dyDescent="0.25">
      <c r="H19" s="431" t="s">
        <v>1220</v>
      </c>
      <c r="I19" s="432" t="s">
        <v>1221</v>
      </c>
      <c r="J19" s="432" t="s">
        <v>1247</v>
      </c>
      <c r="K19" s="432" t="s">
        <v>1248</v>
      </c>
      <c r="L19" s="433" t="s">
        <v>1249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1249</v>
      </c>
    </row>
    <row r="20" spans="1:61" x14ac:dyDescent="0.25">
      <c r="H20" s="431" t="s">
        <v>1220</v>
      </c>
      <c r="I20" s="432" t="s">
        <v>1221</v>
      </c>
      <c r="J20" s="432" t="s">
        <v>1250</v>
      </c>
      <c r="K20" s="432" t="s">
        <v>1248</v>
      </c>
      <c r="L20" s="433" t="s">
        <v>1251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1251</v>
      </c>
    </row>
    <row r="21" spans="1:61" ht="15.75" customHeight="1" x14ac:dyDescent="0.25">
      <c r="H21" s="431" t="s">
        <v>1220</v>
      </c>
      <c r="I21" s="432" t="s">
        <v>1221</v>
      </c>
      <c r="J21" s="432" t="s">
        <v>1252</v>
      </c>
      <c r="K21" s="432" t="s">
        <v>1248</v>
      </c>
      <c r="L21" s="433" t="s">
        <v>1253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1253</v>
      </c>
    </row>
    <row r="22" spans="1:61" ht="15.75" customHeight="1" x14ac:dyDescent="0.25">
      <c r="H22" s="431" t="s">
        <v>1220</v>
      </c>
      <c r="I22" s="432" t="s">
        <v>1221</v>
      </c>
      <c r="J22" s="432" t="s">
        <v>1254</v>
      </c>
      <c r="K22" s="432" t="s">
        <v>1248</v>
      </c>
      <c r="L22" s="433" t="s">
        <v>1255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1255</v>
      </c>
    </row>
    <row r="23" spans="1:61" ht="15.75" customHeight="1" x14ac:dyDescent="0.25">
      <c r="H23" s="431" t="s">
        <v>1220</v>
      </c>
      <c r="I23" s="432" t="s">
        <v>1221</v>
      </c>
      <c r="J23" s="432" t="s">
        <v>1256</v>
      </c>
      <c r="K23" s="432" t="s">
        <v>1257</v>
      </c>
      <c r="L23" s="433" t="s">
        <v>1258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1258</v>
      </c>
    </row>
    <row r="24" spans="1:61" ht="15.75" customHeight="1" x14ac:dyDescent="0.25">
      <c r="H24" s="431" t="s">
        <v>1220</v>
      </c>
      <c r="I24" s="432" t="s">
        <v>1221</v>
      </c>
      <c r="J24" s="432" t="s">
        <v>1259</v>
      </c>
      <c r="K24" s="432" t="s">
        <v>1257</v>
      </c>
      <c r="L24" s="433" t="s">
        <v>1260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1260</v>
      </c>
    </row>
    <row r="25" spans="1:61" ht="15.75" customHeight="1" x14ac:dyDescent="0.25">
      <c r="H25" s="431" t="s">
        <v>1220</v>
      </c>
      <c r="I25" s="432" t="s">
        <v>1221</v>
      </c>
      <c r="J25" s="432" t="s">
        <v>1261</v>
      </c>
      <c r="K25" s="432" t="s">
        <v>1257</v>
      </c>
      <c r="L25" s="438" t="s">
        <v>1262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1262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1266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1266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1269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1269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1270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1270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1324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1331</v>
      </c>
      <c r="L35" s="306"/>
      <c r="M35" s="306"/>
    </row>
    <row r="36" spans="1:43" ht="15.75" customHeight="1" x14ac:dyDescent="0.25">
      <c r="I36" s="12">
        <v>1</v>
      </c>
      <c r="J36" s="12" t="s">
        <v>1332</v>
      </c>
      <c r="L36" s="306"/>
      <c r="M36" s="306"/>
    </row>
    <row r="37" spans="1:43" ht="15.75" customHeight="1" x14ac:dyDescent="0.25">
      <c r="D37" s="14" t="s">
        <v>1324</v>
      </c>
      <c r="E37" s="14" t="s">
        <v>1324</v>
      </c>
      <c r="L37" s="306"/>
      <c r="M37" s="492"/>
      <c r="N37" s="905" t="s">
        <v>1333</v>
      </c>
      <c r="O37" s="857"/>
      <c r="P37" s="857"/>
      <c r="Q37" s="857"/>
      <c r="R37" s="857"/>
      <c r="S37" s="857"/>
      <c r="T37" s="857"/>
      <c r="U37" s="857"/>
      <c r="V37" s="857"/>
      <c r="W37" s="858"/>
      <c r="X37" s="492"/>
      <c r="Y37" s="492"/>
      <c r="Z37" s="492"/>
      <c r="AE37" s="906" t="s">
        <v>1334</v>
      </c>
      <c r="AF37" s="857"/>
      <c r="AG37" s="857"/>
      <c r="AH37" s="857"/>
      <c r="AI37" s="857"/>
      <c r="AJ37" s="857"/>
      <c r="AK37" s="857"/>
      <c r="AL37" s="857"/>
      <c r="AM37" s="857"/>
      <c r="AN37" s="858"/>
      <c r="AO37" s="216"/>
      <c r="AP37" s="216"/>
      <c r="AQ37" s="216"/>
    </row>
    <row r="38" spans="1:43" ht="15.75" customHeight="1" x14ac:dyDescent="0.25">
      <c r="D38" s="12" t="s">
        <v>1335</v>
      </c>
      <c r="E38" s="493" t="str">
        <f>"-RR2050"</f>
        <v>-RR2050</v>
      </c>
      <c r="F38" s="446" t="s">
        <v>1336</v>
      </c>
      <c r="G38" s="446" t="s">
        <v>1337</v>
      </c>
      <c r="H38" s="446" t="s">
        <v>1338</v>
      </c>
      <c r="I38" s="446" t="s">
        <v>1339</v>
      </c>
      <c r="J38" s="446" t="s">
        <v>1340</v>
      </c>
      <c r="K38" s="446" t="s">
        <v>1341</v>
      </c>
      <c r="L38" s="494" t="s">
        <v>1342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1343</v>
      </c>
      <c r="AB38" s="466" t="s">
        <v>1344</v>
      </c>
      <c r="AC38" s="499" t="s">
        <v>1345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1346</v>
      </c>
      <c r="C39" s="12" t="s">
        <v>1242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1242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1346</v>
      </c>
      <c r="C40" s="12" t="s">
        <v>1244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1244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1346</v>
      </c>
      <c r="C41" s="12" t="s">
        <v>1347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1347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1346</v>
      </c>
      <c r="C42" s="12" t="s">
        <v>1225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1225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1346</v>
      </c>
      <c r="C43" s="12" t="s">
        <v>1249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1249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1346</v>
      </c>
      <c r="C44" s="1" t="s">
        <v>1348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1348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1346</v>
      </c>
      <c r="C45" s="1" t="s">
        <v>1349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1349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1350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1350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1351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1351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1241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1241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1352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1352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1224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1224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1353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1353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1354</v>
      </c>
      <c r="C52" s="1" t="s">
        <v>1355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1355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1356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1356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1354</v>
      </c>
      <c r="C54" s="1" t="s">
        <v>1357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1357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1358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1358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1354</v>
      </c>
      <c r="C56" s="1" t="s">
        <v>1359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1359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1354</v>
      </c>
      <c r="C57" s="1" t="s">
        <v>1360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1360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1361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1361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1354</v>
      </c>
      <c r="C59" s="1" t="s">
        <v>1362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1362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1363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1363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1228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1228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1364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1364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1255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1255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1245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1245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1365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1365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1366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1366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1237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1237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1260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1260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1367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1367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1262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1262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1253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1368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1266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1266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1269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1269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1270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1270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1369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1370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1371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1372</v>
      </c>
      <c r="M79" s="306"/>
    </row>
    <row r="80" spans="2:43" ht="15.75" customHeight="1" x14ac:dyDescent="0.25">
      <c r="F80" s="12" t="s">
        <v>1373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1374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1355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1356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05" t="s">
        <v>1333</v>
      </c>
      <c r="O86" s="857"/>
      <c r="P86" s="857"/>
      <c r="Q86" s="857"/>
      <c r="R86" s="857"/>
      <c r="S86" s="857"/>
      <c r="T86" s="857"/>
      <c r="U86" s="857"/>
      <c r="V86" s="857"/>
      <c r="W86" s="858"/>
      <c r="X86" s="492"/>
      <c r="Y86" s="492"/>
      <c r="Z86" s="492"/>
    </row>
    <row r="87" spans="3:26" ht="15.75" customHeight="1" x14ac:dyDescent="0.25">
      <c r="H87" s="456" t="s">
        <v>1200</v>
      </c>
      <c r="I87" s="456" t="s">
        <v>1201</v>
      </c>
      <c r="J87" s="426" t="s">
        <v>1202</v>
      </c>
      <c r="K87" s="456" t="s">
        <v>1203</v>
      </c>
      <c r="L87" s="456" t="s">
        <v>1204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1220</v>
      </c>
      <c r="I88" s="432" t="s">
        <v>1221</v>
      </c>
      <c r="J88" s="432" t="s">
        <v>1222</v>
      </c>
      <c r="K88" s="432" t="s">
        <v>1223</v>
      </c>
      <c r="L88" s="389" t="s">
        <v>1224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1220</v>
      </c>
      <c r="I89" s="432" t="s">
        <v>1221</v>
      </c>
      <c r="J89" s="432" t="s">
        <v>1222</v>
      </c>
      <c r="K89" s="432" t="s">
        <v>1223</v>
      </c>
      <c r="L89" s="389" t="s">
        <v>1225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1220</v>
      </c>
      <c r="I90" s="432" t="s">
        <v>1221</v>
      </c>
      <c r="J90" s="432" t="s">
        <v>1226</v>
      </c>
      <c r="K90" s="432" t="s">
        <v>1227</v>
      </c>
      <c r="L90" s="389" t="s">
        <v>1228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1220</v>
      </c>
      <c r="I91" s="432" t="s">
        <v>1221</v>
      </c>
      <c r="J91" s="432" t="s">
        <v>1229</v>
      </c>
      <c r="K91" s="432" t="s">
        <v>1227</v>
      </c>
      <c r="L91" s="389" t="s">
        <v>1230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1220</v>
      </c>
      <c r="I92" s="432" t="s">
        <v>1221</v>
      </c>
      <c r="J92" s="432" t="s">
        <v>1231</v>
      </c>
      <c r="K92" s="432" t="s">
        <v>1227</v>
      </c>
      <c r="L92" s="389" t="s">
        <v>1232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1220</v>
      </c>
      <c r="I93" s="432" t="s">
        <v>1221</v>
      </c>
      <c r="J93" s="432" t="s">
        <v>1233</v>
      </c>
      <c r="K93" s="432" t="s">
        <v>1227</v>
      </c>
      <c r="L93" s="389" t="s">
        <v>1234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1220</v>
      </c>
      <c r="I94" s="432" t="s">
        <v>1221</v>
      </c>
      <c r="J94" s="432" t="s">
        <v>1233</v>
      </c>
      <c r="K94" s="432" t="s">
        <v>1227</v>
      </c>
      <c r="L94" s="389" t="s">
        <v>1235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1220</v>
      </c>
      <c r="I95" s="432" t="s">
        <v>1221</v>
      </c>
      <c r="J95" s="432" t="s">
        <v>1236</v>
      </c>
      <c r="K95" s="432" t="s">
        <v>1227</v>
      </c>
      <c r="L95" s="389" t="s">
        <v>1237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1220</v>
      </c>
      <c r="I96" s="432" t="s">
        <v>1221</v>
      </c>
      <c r="J96" s="432" t="s">
        <v>1238</v>
      </c>
      <c r="K96" s="432" t="s">
        <v>1227</v>
      </c>
      <c r="L96" s="389" t="s">
        <v>1239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1220</v>
      </c>
      <c r="I97" s="432" t="s">
        <v>1221</v>
      </c>
      <c r="J97" s="432" t="s">
        <v>1240</v>
      </c>
      <c r="K97" s="432" t="s">
        <v>1227</v>
      </c>
      <c r="L97" s="389" t="s">
        <v>1241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1220</v>
      </c>
      <c r="I98" s="432" t="s">
        <v>1221</v>
      </c>
      <c r="J98" s="432" t="s">
        <v>1240</v>
      </c>
      <c r="K98" s="432" t="s">
        <v>1227</v>
      </c>
      <c r="L98" s="389" t="s">
        <v>1242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1220</v>
      </c>
      <c r="I99" s="432" t="s">
        <v>1221</v>
      </c>
      <c r="J99" s="432" t="s">
        <v>1243</v>
      </c>
      <c r="K99" s="432" t="s">
        <v>1227</v>
      </c>
      <c r="L99" s="389" t="s">
        <v>1244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1220</v>
      </c>
      <c r="I100" s="432" t="s">
        <v>1221</v>
      </c>
      <c r="J100" s="432" t="s">
        <v>1245</v>
      </c>
      <c r="K100" s="432" t="s">
        <v>1246</v>
      </c>
      <c r="L100" s="389" t="s">
        <v>1245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1220</v>
      </c>
      <c r="I101" s="432" t="s">
        <v>1221</v>
      </c>
      <c r="J101" s="432" t="s">
        <v>1247</v>
      </c>
      <c r="K101" s="432" t="s">
        <v>1248</v>
      </c>
      <c r="L101" s="389" t="s">
        <v>1249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1220</v>
      </c>
      <c r="I102" s="432" t="s">
        <v>1221</v>
      </c>
      <c r="J102" s="432" t="s">
        <v>1250</v>
      </c>
      <c r="K102" s="432" t="s">
        <v>1248</v>
      </c>
      <c r="L102" s="389" t="s">
        <v>1251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1220</v>
      </c>
      <c r="I103" s="432" t="s">
        <v>1221</v>
      </c>
      <c r="J103" s="432" t="s">
        <v>1252</v>
      </c>
      <c r="K103" s="432" t="s">
        <v>1248</v>
      </c>
      <c r="L103" s="389" t="s">
        <v>1253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1220</v>
      </c>
      <c r="I104" s="432" t="s">
        <v>1221</v>
      </c>
      <c r="J104" s="432" t="s">
        <v>1254</v>
      </c>
      <c r="K104" s="432" t="s">
        <v>1248</v>
      </c>
      <c r="L104" s="389" t="s">
        <v>1255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1220</v>
      </c>
      <c r="I105" s="432" t="s">
        <v>1221</v>
      </c>
      <c r="J105" s="432" t="s">
        <v>1256</v>
      </c>
      <c r="K105" s="432" t="s">
        <v>1257</v>
      </c>
      <c r="L105" s="389" t="s">
        <v>1258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1220</v>
      </c>
      <c r="I106" s="432" t="s">
        <v>1221</v>
      </c>
      <c r="J106" s="432" t="s">
        <v>1259</v>
      </c>
      <c r="K106" s="432" t="s">
        <v>1257</v>
      </c>
      <c r="L106" s="389" t="s">
        <v>1260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1220</v>
      </c>
      <c r="I107" s="432" t="s">
        <v>1221</v>
      </c>
      <c r="J107" s="432" t="s">
        <v>1261</v>
      </c>
      <c r="K107" s="432" t="s">
        <v>1257</v>
      </c>
      <c r="L107" s="389" t="s">
        <v>1262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1266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1269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1270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05" t="s">
        <v>1333</v>
      </c>
      <c r="O115" s="857"/>
      <c r="P115" s="857"/>
      <c r="Q115" s="857"/>
      <c r="R115" s="857"/>
      <c r="S115" s="857"/>
      <c r="T115" s="857"/>
      <c r="U115" s="857"/>
      <c r="V115" s="857"/>
      <c r="W115" s="85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1204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1224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1225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1228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1230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1232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1234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1235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1237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1239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1241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1242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1244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1245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1249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1251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1253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1255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1258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1260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1262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1266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1269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1270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G41" workbookViewId="0">
      <selection activeCell="M67" sqref="M67:M89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1375</v>
      </c>
      <c r="O3" s="14" t="s">
        <v>1375</v>
      </c>
      <c r="P3" s="14" t="s">
        <v>1375</v>
      </c>
      <c r="Q3" s="14" t="s">
        <v>1375</v>
      </c>
      <c r="R3" s="14" t="s">
        <v>1375</v>
      </c>
      <c r="S3" s="14" t="s">
        <v>1375</v>
      </c>
      <c r="T3" s="14" t="s">
        <v>1375</v>
      </c>
      <c r="U3" s="14" t="s">
        <v>1375</v>
      </c>
      <c r="V3" s="14" t="s">
        <v>1375</v>
      </c>
      <c r="W3" s="14" t="s">
        <v>1375</v>
      </c>
      <c r="X3" s="14" t="s">
        <v>1375</v>
      </c>
      <c r="Y3" s="14" t="s">
        <v>1376</v>
      </c>
      <c r="Z3" s="14" t="s">
        <v>1375</v>
      </c>
      <c r="AA3" s="1"/>
      <c r="AB3" s="916">
        <v>2019</v>
      </c>
      <c r="AC3" s="857"/>
      <c r="AD3" s="857"/>
      <c r="AE3" s="857"/>
      <c r="AF3" s="85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1203</v>
      </c>
      <c r="J4" s="428" t="s">
        <v>1204</v>
      </c>
      <c r="K4" s="428" t="s">
        <v>1205</v>
      </c>
      <c r="L4" s="429"/>
      <c r="M4" s="428" t="str">
        <f>+'5. ANH'!J12</f>
        <v>Type of Oil producing</v>
      </c>
      <c r="N4" s="430" t="s">
        <v>1377</v>
      </c>
      <c r="O4" s="430" t="s">
        <v>1378</v>
      </c>
      <c r="P4" s="430" t="s">
        <v>1379</v>
      </c>
      <c r="Q4" s="428" t="s">
        <v>1380</v>
      </c>
      <c r="R4" s="428" t="s">
        <v>1381</v>
      </c>
      <c r="S4" s="428" t="s">
        <v>1382</v>
      </c>
      <c r="T4" s="428" t="s">
        <v>1383</v>
      </c>
      <c r="U4" s="428" t="s">
        <v>1384</v>
      </c>
      <c r="V4" s="428" t="s">
        <v>1385</v>
      </c>
      <c r="W4" s="428" t="s">
        <v>1386</v>
      </c>
      <c r="X4" s="428" t="s">
        <v>1387</v>
      </c>
      <c r="Y4" s="428" t="s">
        <v>1388</v>
      </c>
      <c r="Z4" s="430" t="s">
        <v>1389</v>
      </c>
      <c r="AA4" s="1"/>
      <c r="AB4" s="426" t="s">
        <v>1390</v>
      </c>
      <c r="AC4" s="214" t="s">
        <v>1391</v>
      </c>
      <c r="AD4" s="426" t="s">
        <v>1392</v>
      </c>
      <c r="AE4" s="426" t="s">
        <v>1393</v>
      </c>
      <c r="AF4" s="426" t="s">
        <v>1394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1223</v>
      </c>
      <c r="J5" s="433" t="s">
        <v>1224</v>
      </c>
      <c r="K5" s="431" t="s">
        <v>1100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1223</v>
      </c>
      <c r="J6" s="433" t="s">
        <v>1225</v>
      </c>
      <c r="K6" s="431" t="s">
        <v>1100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1227</v>
      </c>
      <c r="J7" s="433" t="s">
        <v>1228</v>
      </c>
      <c r="K7" s="431" t="s">
        <v>1100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1227</v>
      </c>
      <c r="J8" s="433" t="s">
        <v>1230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1227</v>
      </c>
      <c r="J9" s="433" t="s">
        <v>1232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1227</v>
      </c>
      <c r="J10" s="433" t="s">
        <v>1234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1227</v>
      </c>
      <c r="J11" s="433" t="s">
        <v>1235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1227</v>
      </c>
      <c r="J12" s="433" t="s">
        <v>1237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1227</v>
      </c>
      <c r="J13" s="433" t="s">
        <v>1239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1227</v>
      </c>
      <c r="J14" s="433" t="s">
        <v>1241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1227</v>
      </c>
      <c r="J15" s="433" t="s">
        <v>1242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1227</v>
      </c>
      <c r="J16" s="433" t="s">
        <v>1244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1246</v>
      </c>
      <c r="J17" s="433" t="s">
        <v>1245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1248</v>
      </c>
      <c r="J18" s="433" t="s">
        <v>1249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1248</v>
      </c>
      <c r="J19" s="433" t="s">
        <v>1251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1332</v>
      </c>
      <c r="D20" s="343">
        <v>6117863200</v>
      </c>
      <c r="E20" s="12" t="s">
        <v>1395</v>
      </c>
      <c r="I20" s="432" t="s">
        <v>1248</v>
      </c>
      <c r="J20" s="433" t="s">
        <v>1253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1332</v>
      </c>
      <c r="D21" s="343">
        <f>+D20*1000/(1000000000000)</f>
        <v>6.1178632000000004</v>
      </c>
      <c r="E21" s="12" t="s">
        <v>1316</v>
      </c>
      <c r="I21" s="432" t="s">
        <v>1248</v>
      </c>
      <c r="J21" s="433" t="s">
        <v>1255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1396</v>
      </c>
      <c r="I22" s="432" t="s">
        <v>1257</v>
      </c>
      <c r="J22" s="433" t="s">
        <v>1258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1257</v>
      </c>
      <c r="J23" s="433" t="s">
        <v>1260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1257</v>
      </c>
      <c r="J24" s="438" t="s">
        <v>1262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1265</v>
      </c>
      <c r="J25" s="438" t="s">
        <v>1266</v>
      </c>
      <c r="K25" s="431" t="s">
        <v>1100</v>
      </c>
      <c r="L25" s="434" t="s">
        <v>7</v>
      </c>
      <c r="M25" s="434" t="s">
        <v>1397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1265</v>
      </c>
      <c r="J26" s="438" t="s">
        <v>1269</v>
      </c>
      <c r="K26" s="431" t="s">
        <v>1100</v>
      </c>
      <c r="L26" s="434" t="s">
        <v>7</v>
      </c>
      <c r="M26" s="434" t="s">
        <v>1397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1265</v>
      </c>
      <c r="J27" s="438" t="s">
        <v>1270</v>
      </c>
      <c r="K27" s="431" t="s">
        <v>1100</v>
      </c>
      <c r="L27" s="434" t="s">
        <v>7</v>
      </c>
      <c r="M27" s="434" t="s">
        <v>1397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16"/>
      <c r="AB33" s="857"/>
      <c r="AC33" s="857"/>
      <c r="AD33" s="857"/>
      <c r="AE33" s="857"/>
      <c r="AF33" s="857"/>
      <c r="AG33" s="857"/>
      <c r="AH33" s="857"/>
      <c r="AI33" s="857"/>
      <c r="AJ33" s="857"/>
      <c r="AK33" s="857"/>
      <c r="AL33" s="857"/>
      <c r="AM33" s="85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1203</v>
      </c>
      <c r="J34" s="428" t="s">
        <v>1204</v>
      </c>
      <c r="K34" s="428" t="s">
        <v>1205</v>
      </c>
      <c r="L34" s="429"/>
      <c r="M34" s="428" t="str">
        <f>+'5. ANH'!J12</f>
        <v>Type of Oil producing</v>
      </c>
      <c r="N34" s="430" t="s">
        <v>1398</v>
      </c>
      <c r="O34" s="430" t="s">
        <v>1399</v>
      </c>
      <c r="P34" s="430" t="s">
        <v>1400</v>
      </c>
      <c r="Q34" s="428" t="s">
        <v>1401</v>
      </c>
      <c r="R34" s="428" t="s">
        <v>1402</v>
      </c>
      <c r="S34" s="428" t="s">
        <v>1403</v>
      </c>
      <c r="T34" s="428" t="s">
        <v>1404</v>
      </c>
      <c r="U34" s="428" t="s">
        <v>1405</v>
      </c>
      <c r="V34" s="428" t="s">
        <v>1406</v>
      </c>
      <c r="W34" s="428" t="s">
        <v>1407</v>
      </c>
      <c r="X34" s="428" t="s">
        <v>1408</v>
      </c>
      <c r="Y34" s="428" t="s">
        <v>1409</v>
      </c>
      <c r="Z34" s="430" t="s">
        <v>1410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1223</v>
      </c>
      <c r="J35" s="433" t="s">
        <v>1224</v>
      </c>
      <c r="K35" s="431" t="s">
        <v>1100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1223</v>
      </c>
      <c r="J36" s="433" t="s">
        <v>1225</v>
      </c>
      <c r="K36" s="431" t="s">
        <v>1100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1227</v>
      </c>
      <c r="J37" s="433" t="s">
        <v>1228</v>
      </c>
      <c r="K37" s="431" t="s">
        <v>1100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1227</v>
      </c>
      <c r="J38" s="433" t="s">
        <v>1230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1227</v>
      </c>
      <c r="J39" s="433" t="s">
        <v>1232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1227</v>
      </c>
      <c r="J40" s="433" t="s">
        <v>1234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1227</v>
      </c>
      <c r="J41" s="433" t="s">
        <v>1235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1227</v>
      </c>
      <c r="J42" s="433" t="s">
        <v>1237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1227</v>
      </c>
      <c r="J43" s="433" t="s">
        <v>1239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1227</v>
      </c>
      <c r="J44" s="433" t="s">
        <v>1241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1227</v>
      </c>
      <c r="J45" s="433" t="s">
        <v>1242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1227</v>
      </c>
      <c r="J46" s="433" t="s">
        <v>1244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1246</v>
      </c>
      <c r="J47" s="433" t="s">
        <v>1245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1248</v>
      </c>
      <c r="J48" s="433" t="s">
        <v>1249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1248</v>
      </c>
      <c r="J49" s="433" t="s">
        <v>1251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1248</v>
      </c>
      <c r="J50" s="433" t="s">
        <v>1253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1248</v>
      </c>
      <c r="J51" s="433" t="s">
        <v>1255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1257</v>
      </c>
      <c r="J52" s="433" t="s">
        <v>1258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1257</v>
      </c>
      <c r="J53" s="433" t="s">
        <v>1260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1257</v>
      </c>
      <c r="J54" s="438" t="s">
        <v>1262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1265</v>
      </c>
      <c r="J55" s="440" t="s">
        <v>1266</v>
      </c>
      <c r="K55" s="431" t="s">
        <v>1100</v>
      </c>
      <c r="L55" s="434" t="s">
        <v>7</v>
      </c>
      <c r="M55" s="434" t="s">
        <v>1397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1265</v>
      </c>
      <c r="J56" s="440" t="s">
        <v>1269</v>
      </c>
      <c r="K56" s="431" t="s">
        <v>1100</v>
      </c>
      <c r="L56" s="434" t="s">
        <v>7</v>
      </c>
      <c r="M56" s="434" t="s">
        <v>1397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1265</v>
      </c>
      <c r="J57" s="440" t="s">
        <v>1270</v>
      </c>
      <c r="K57" s="431" t="s">
        <v>1100</v>
      </c>
      <c r="L57" s="434" t="s">
        <v>7</v>
      </c>
      <c r="M57" s="434" t="s">
        <v>1397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1411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12" t="s">
        <v>1412</v>
      </c>
      <c r="S64" s="857"/>
      <c r="T64" s="857"/>
      <c r="U64" s="857"/>
      <c r="V64" s="858"/>
      <c r="W64" s="914" t="s">
        <v>1413</v>
      </c>
      <c r="X64" s="857"/>
      <c r="Y64" s="857"/>
      <c r="Z64" s="858"/>
      <c r="AA64" s="541" t="s">
        <v>1414</v>
      </c>
      <c r="AB64" s="12" t="s">
        <v>1415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1416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1416</v>
      </c>
      <c r="X65" s="544" t="s">
        <v>1416</v>
      </c>
      <c r="Y65" s="544" t="s">
        <v>1416</v>
      </c>
      <c r="Z65" s="544" t="s">
        <v>1416</v>
      </c>
      <c r="AA65" s="263" t="s">
        <v>1416</v>
      </c>
      <c r="AB65" s="439" t="s">
        <v>59</v>
      </c>
      <c r="AC65" s="439" t="s">
        <v>1417</v>
      </c>
      <c r="AD65" s="542" t="s">
        <v>59</v>
      </c>
      <c r="AE65" s="542" t="s">
        <v>1417</v>
      </c>
      <c r="AF65" s="542" t="s">
        <v>59</v>
      </c>
      <c r="AG65" s="542" t="s">
        <v>1417</v>
      </c>
      <c r="AH65" s="14" t="s">
        <v>59</v>
      </c>
      <c r="AI65" s="913" t="s">
        <v>1418</v>
      </c>
      <c r="AJ65" s="892"/>
      <c r="AK65" s="892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72"/>
      <c r="AW65" s="913" t="s">
        <v>1419</v>
      </c>
      <c r="AX65" s="892"/>
      <c r="AY65" s="892"/>
      <c r="AZ65" s="892"/>
      <c r="BA65" s="892"/>
      <c r="BB65" s="892"/>
      <c r="BC65" s="892"/>
      <c r="BD65" s="892"/>
      <c r="BE65" s="892"/>
      <c r="BF65" s="892"/>
      <c r="BG65" s="892"/>
      <c r="BH65" s="892"/>
      <c r="BI65" s="892"/>
      <c r="BJ65" s="872"/>
      <c r="BK65" s="913" t="s">
        <v>1420</v>
      </c>
      <c r="BL65" s="892"/>
      <c r="BM65" s="892"/>
      <c r="BN65" s="892"/>
      <c r="BO65" s="892"/>
      <c r="BP65" s="892"/>
      <c r="BQ65" s="892"/>
      <c r="BR65" s="892"/>
      <c r="BS65" s="892"/>
      <c r="BT65" s="892"/>
      <c r="BU65" s="892"/>
      <c r="BV65" s="892"/>
      <c r="BW65" s="892"/>
      <c r="BX65" s="872"/>
      <c r="BY65" s="545"/>
      <c r="BZ65" s="545"/>
      <c r="CA65" s="545"/>
      <c r="CB65" s="546" t="s">
        <v>1418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1419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1420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1203</v>
      </c>
      <c r="J66" s="428" t="s">
        <v>1204</v>
      </c>
      <c r="K66" s="428" t="s">
        <v>1205</v>
      </c>
      <c r="L66" s="429"/>
      <c r="M66" s="428" t="str">
        <f t="shared" ref="M66:M86" si="35">M34</f>
        <v>Type of Oil producing</v>
      </c>
      <c r="N66" s="428" t="s">
        <v>1421</v>
      </c>
      <c r="O66" s="428" t="s">
        <v>1422</v>
      </c>
      <c r="P66" s="549" t="s">
        <v>1423</v>
      </c>
      <c r="Q66" s="549" t="s">
        <v>1424</v>
      </c>
      <c r="R66" s="430" t="s">
        <v>1425</v>
      </c>
      <c r="S66" s="430" t="s">
        <v>1426</v>
      </c>
      <c r="T66" s="430" t="s">
        <v>1427</v>
      </c>
      <c r="U66" s="430" t="s">
        <v>1428</v>
      </c>
      <c r="V66" s="430" t="s">
        <v>1429</v>
      </c>
      <c r="W66" s="550" t="s">
        <v>1430</v>
      </c>
      <c r="X66" s="550" t="s">
        <v>1431</v>
      </c>
      <c r="Y66" s="550" t="s">
        <v>1432</v>
      </c>
      <c r="Z66" s="550" t="s">
        <v>1433</v>
      </c>
      <c r="AA66" s="551" t="s">
        <v>1434</v>
      </c>
      <c r="AB66" s="552" t="s">
        <v>1435</v>
      </c>
      <c r="AC66" s="552" t="s">
        <v>1436</v>
      </c>
      <c r="AD66" s="549" t="s">
        <v>1437</v>
      </c>
      <c r="AE66" s="549" t="s">
        <v>1438</v>
      </c>
      <c r="AF66" s="549" t="s">
        <v>1439</v>
      </c>
      <c r="AG66" s="549" t="s">
        <v>1440</v>
      </c>
      <c r="AH66" s="553" t="s">
        <v>1441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1223</v>
      </c>
      <c r="J67" s="433" t="s">
        <v>1224</v>
      </c>
      <c r="K67" s="431" t="s">
        <v>1100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>+O67/(N67+O67)</f>
        <v>1</v>
      </c>
      <c r="Q67" s="558">
        <f t="shared" ref="Q67:Q89" si="37">+V67+T67-U67</f>
        <v>57.556398720157048</v>
      </c>
      <c r="R67" s="435">
        <f t="shared" ref="R67:V67" si="38">T35</f>
        <v>2.4069462377542221</v>
      </c>
      <c r="S67" s="435">
        <f t="shared" si="38"/>
        <v>8.2884657959038696E-2</v>
      </c>
      <c r="T67" s="435">
        <f t="shared" si="38"/>
        <v>4.8961411123406373</v>
      </c>
      <c r="U67" s="435">
        <f t="shared" si="38"/>
        <v>0</v>
      </c>
      <c r="V67" s="435">
        <f t="shared" si="38"/>
        <v>52.660257607816412</v>
      </c>
      <c r="W67" s="559">
        <f t="shared" ref="W67:Y67" si="39">+IF($O67=0,"-",R67/$O67)</f>
        <v>4.0084885481603369E-2</v>
      </c>
      <c r="X67" s="559">
        <f t="shared" si="39"/>
        <v>1.3803474171362818E-3</v>
      </c>
      <c r="Y67" s="559">
        <f t="shared" si="39"/>
        <v>8.1539526189444198E-2</v>
      </c>
      <c r="Z67" s="559">
        <f t="shared" ref="Z67:Z89" si="40">+IF($O67=0,"-",V67/$O67)</f>
        <v>0.87699524091181613</v>
      </c>
      <c r="AA67" s="560">
        <f t="shared" ref="AA67:AA89" si="41">+IF($T67=0,"-",U67/$T67)</f>
        <v>0</v>
      </c>
      <c r="AB67" s="561">
        <f>+'5. GlobalData'!M6*1000*$D$21/1000</f>
        <v>175.46031657600003</v>
      </c>
      <c r="AC67" s="562">
        <f t="shared" ref="AC67:AC89" si="42">+AB67/(Q67+N67)</f>
        <v>3.0484936597423249</v>
      </c>
      <c r="AD67" s="563">
        <f t="shared" ref="AD67:AD89" si="43">+AB67*(N67/(N67+O67))</f>
        <v>0</v>
      </c>
      <c r="AE67" s="564" t="str">
        <f t="shared" ref="AE67:AE89" si="44">+IF(N67=0,"-",AD67/N67)</f>
        <v>-</v>
      </c>
      <c r="AF67" s="563">
        <f t="shared" ref="AF67:AF89" si="45">+AB67*(O67/(O67+N67))</f>
        <v>175.46031657600003</v>
      </c>
      <c r="AG67" s="565">
        <f t="shared" ref="AG67:AG89" si="46">+IF(O67=0,"-",AF67/O67)</f>
        <v>2.9220871601507783</v>
      </c>
      <c r="AH67" s="402">
        <f t="shared" ref="AH67:AH89" si="47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8">+IF(AI67="","",AI67*$AH67)</f>
        <v>60.04622961587031</v>
      </c>
      <c r="AX67" s="570">
        <f t="shared" si="48"/>
        <v>49.301323530347688</v>
      </c>
      <c r="AY67" s="570">
        <f t="shared" si="48"/>
        <v>39.114888797984648</v>
      </c>
      <c r="AZ67" s="570">
        <f t="shared" si="48"/>
        <v>32.323932309742631</v>
      </c>
      <c r="BA67" s="570">
        <f t="shared" si="48"/>
        <v>25.328171386386028</v>
      </c>
      <c r="BB67" s="570">
        <f t="shared" si="48"/>
        <v>14.834530001351803</v>
      </c>
      <c r="BC67" s="570">
        <f t="shared" si="48"/>
        <v>4.3408886163168008</v>
      </c>
      <c r="BD67" s="570">
        <f t="shared" si="48"/>
        <v>0</v>
      </c>
      <c r="BE67" s="570">
        <f t="shared" si="48"/>
        <v>0</v>
      </c>
      <c r="BF67" s="570">
        <f t="shared" si="48"/>
        <v>0</v>
      </c>
      <c r="BG67" s="570">
        <f t="shared" si="48"/>
        <v>0</v>
      </c>
      <c r="BH67" s="570">
        <f t="shared" si="48"/>
        <v>0</v>
      </c>
      <c r="BI67" s="570">
        <f t="shared" si="48"/>
        <v>0</v>
      </c>
      <c r="BJ67" s="571">
        <f t="shared" si="48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49">+IF(CB67="","",CB67*$AH67)</f>
        <v/>
      </c>
      <c r="CQ67" s="570" t="str">
        <f t="shared" si="49"/>
        <v/>
      </c>
      <c r="CR67" s="570" t="str">
        <f t="shared" si="49"/>
        <v/>
      </c>
      <c r="CS67" s="570" t="str">
        <f t="shared" si="49"/>
        <v/>
      </c>
      <c r="CT67" s="570" t="str">
        <f t="shared" si="49"/>
        <v/>
      </c>
      <c r="CU67" s="570" t="str">
        <f t="shared" si="49"/>
        <v/>
      </c>
      <c r="CV67" s="570" t="str">
        <f t="shared" si="49"/>
        <v/>
      </c>
      <c r="CW67" s="570" t="str">
        <f t="shared" si="49"/>
        <v/>
      </c>
      <c r="CX67" s="570" t="str">
        <f t="shared" si="49"/>
        <v/>
      </c>
      <c r="CY67" s="570" t="str">
        <f t="shared" si="49"/>
        <v/>
      </c>
      <c r="CZ67" s="570" t="str">
        <f t="shared" si="49"/>
        <v/>
      </c>
      <c r="DA67" s="570" t="str">
        <f t="shared" si="49"/>
        <v/>
      </c>
      <c r="DB67" s="570" t="str">
        <f t="shared" si="49"/>
        <v/>
      </c>
      <c r="DC67" s="571" t="str">
        <f t="shared" si="49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1442</v>
      </c>
      <c r="DJ67" s="573" t="s">
        <v>1442</v>
      </c>
      <c r="DK67" s="573" t="s">
        <v>1442</v>
      </c>
      <c r="DL67" s="573" t="s">
        <v>1442</v>
      </c>
      <c r="DM67" s="573" t="s">
        <v>1442</v>
      </c>
      <c r="DN67" s="573" t="s">
        <v>1442</v>
      </c>
      <c r="DO67" s="573" t="s">
        <v>1442</v>
      </c>
      <c r="DP67" s="573" t="s">
        <v>1442</v>
      </c>
      <c r="DQ67" s="574" t="s">
        <v>1442</v>
      </c>
    </row>
    <row r="68" spans="1:121" ht="15.75" customHeight="1" x14ac:dyDescent="0.25">
      <c r="I68" s="432" t="s">
        <v>1223</v>
      </c>
      <c r="J68" s="433" t="s">
        <v>1225</v>
      </c>
      <c r="K68" s="431" t="s">
        <v>1100</v>
      </c>
      <c r="L68" s="434" t="s">
        <v>7</v>
      </c>
      <c r="M68" s="434" t="str">
        <f t="shared" si="35"/>
        <v>Doesn't Apply</v>
      </c>
      <c r="N68" s="436">
        <f t="shared" ref="N68:O68" si="50">Y36</f>
        <v>0</v>
      </c>
      <c r="O68" s="556">
        <f t="shared" si="50"/>
        <v>8.539502325113304</v>
      </c>
      <c r="P68" s="557">
        <f t="shared" ref="P68:P89" si="51">+O68/(N68+O68)</f>
        <v>1</v>
      </c>
      <c r="Q68" s="558">
        <f t="shared" si="37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0"/>
        <v>0.90917592148165316</v>
      </c>
      <c r="AA68" s="560">
        <f t="shared" si="41"/>
        <v>0</v>
      </c>
      <c r="AB68" s="561">
        <f>+'5. GlobalData'!M7*1000*$D$21/1000</f>
        <v>91.278518944000012</v>
      </c>
      <c r="AC68" s="562">
        <f t="shared" si="42"/>
        <v>10.755795180757158</v>
      </c>
      <c r="AD68" s="563">
        <f t="shared" si="43"/>
        <v>0</v>
      </c>
      <c r="AE68" s="564" t="str">
        <f t="shared" si="44"/>
        <v>-</v>
      </c>
      <c r="AF68" s="563">
        <f t="shared" si="45"/>
        <v>91.278518944000012</v>
      </c>
      <c r="AG68" s="565">
        <f t="shared" si="46"/>
        <v>10.688974072360699</v>
      </c>
      <c r="AH68" s="402">
        <f t="shared" si="47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1442</v>
      </c>
      <c r="DN68" s="573" t="s">
        <v>1442</v>
      </c>
      <c r="DO68" s="573" t="s">
        <v>1442</v>
      </c>
      <c r="DP68" s="573" t="s">
        <v>1442</v>
      </c>
      <c r="DQ68" s="574" t="s">
        <v>1442</v>
      </c>
    </row>
    <row r="69" spans="1:121" ht="15.75" customHeight="1" x14ac:dyDescent="0.25">
      <c r="I69" s="432" t="s">
        <v>1227</v>
      </c>
      <c r="J69" s="433" t="s">
        <v>1228</v>
      </c>
      <c r="K69" s="431" t="s">
        <v>1100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51"/>
        <v>1</v>
      </c>
      <c r="Q69" s="558">
        <f t="shared" si="37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0"/>
        <v>0</v>
      </c>
      <c r="AA69" s="560">
        <f t="shared" si="41"/>
        <v>0.10043442092614846</v>
      </c>
      <c r="AB69" s="561">
        <f>+'5. GlobalData'!M8*1000*$D$21/1000</f>
        <v>23.492594688000001</v>
      </c>
      <c r="AC69" s="562">
        <f t="shared" si="42"/>
        <v>1.9925021440099429</v>
      </c>
      <c r="AD69" s="563">
        <f t="shared" si="43"/>
        <v>0</v>
      </c>
      <c r="AE69" s="564" t="str">
        <f t="shared" si="44"/>
        <v>-</v>
      </c>
      <c r="AF69" s="563">
        <f t="shared" si="45"/>
        <v>23.492594688000001</v>
      </c>
      <c r="AG69" s="565">
        <f t="shared" si="46"/>
        <v>1.7923863449821951</v>
      </c>
      <c r="AH69" s="402">
        <f t="shared" si="47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1442</v>
      </c>
      <c r="DJ69" s="573" t="s">
        <v>1442</v>
      </c>
      <c r="DK69" s="573" t="s">
        <v>1442</v>
      </c>
      <c r="DL69" s="573" t="s">
        <v>1442</v>
      </c>
      <c r="DM69" s="573" t="s">
        <v>1442</v>
      </c>
      <c r="DN69" s="573" t="s">
        <v>1442</v>
      </c>
      <c r="DO69" s="573" t="s">
        <v>1442</v>
      </c>
      <c r="DP69" s="573" t="s">
        <v>1442</v>
      </c>
      <c r="DQ69" s="574" t="s">
        <v>1442</v>
      </c>
    </row>
    <row r="70" spans="1:121" ht="15.75" customHeight="1" x14ac:dyDescent="0.25">
      <c r="I70" s="431" t="s">
        <v>1227</v>
      </c>
      <c r="J70" s="434" t="s">
        <v>1230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51"/>
        <v>0.80402078384597564</v>
      </c>
      <c r="Q70" s="578">
        <f t="shared" si="37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0"/>
        <v>0.77469818652667488</v>
      </c>
      <c r="AA70" s="581">
        <f t="shared" si="41"/>
        <v>0.50050112504231359</v>
      </c>
      <c r="AB70" s="561">
        <f>+'5. GlobalData'!M9*1000*$D$21/1000</f>
        <v>1074.662101981407</v>
      </c>
      <c r="AC70" s="562">
        <f t="shared" si="42"/>
        <v>10.963169126382001</v>
      </c>
      <c r="AD70" s="563">
        <f t="shared" si="43"/>
        <v>210.61143637675241</v>
      </c>
      <c r="AE70" s="582">
        <f t="shared" si="44"/>
        <v>9.2644368006243347</v>
      </c>
      <c r="AF70" s="563">
        <f t="shared" si="45"/>
        <v>864.05066560465468</v>
      </c>
      <c r="AG70" s="565">
        <f t="shared" si="46"/>
        <v>9.2644368006243365</v>
      </c>
      <c r="AH70" s="402">
        <f t="shared" si="47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1227</v>
      </c>
      <c r="J71" s="434" t="s">
        <v>1232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51"/>
        <v>0.92201276318289005</v>
      </c>
      <c r="Q71" s="578">
        <f t="shared" si="37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0"/>
        <v>0.72725396552440358</v>
      </c>
      <c r="AA71" s="581">
        <f t="shared" si="41"/>
        <v>0.99916845016969213</v>
      </c>
      <c r="AB71" s="561">
        <f>+'5. GlobalData'!M10*1000*$D$21/1000</f>
        <v>170.99427644000002</v>
      </c>
      <c r="AC71" s="562">
        <f t="shared" si="42"/>
        <v>2.519102060612922</v>
      </c>
      <c r="AD71" s="563">
        <f t="shared" si="43"/>
        <v>13.335371131096654</v>
      </c>
      <c r="AE71" s="582">
        <f t="shared" si="44"/>
        <v>1.8858686568530199</v>
      </c>
      <c r="AF71" s="563">
        <f t="shared" si="45"/>
        <v>157.65890530890337</v>
      </c>
      <c r="AG71" s="565">
        <f t="shared" si="46"/>
        <v>1.8858686568530199</v>
      </c>
      <c r="AH71" s="402">
        <f t="shared" si="47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1442</v>
      </c>
      <c r="DI71" s="573" t="s">
        <v>1442</v>
      </c>
      <c r="DJ71" s="573" t="s">
        <v>1442</v>
      </c>
      <c r="DK71" s="573" t="s">
        <v>1442</v>
      </c>
      <c r="DL71" s="573" t="s">
        <v>1442</v>
      </c>
      <c r="DM71" s="573" t="s">
        <v>1442</v>
      </c>
      <c r="DN71" s="573" t="s">
        <v>1442</v>
      </c>
      <c r="DO71" s="573" t="s">
        <v>1442</v>
      </c>
      <c r="DP71" s="573" t="s">
        <v>1442</v>
      </c>
      <c r="DQ71" s="574" t="s">
        <v>1442</v>
      </c>
    </row>
    <row r="72" spans="1:121" ht="15.75" customHeight="1" x14ac:dyDescent="0.25">
      <c r="I72" s="431" t="s">
        <v>1227</v>
      </c>
      <c r="J72" s="434" t="s">
        <v>1234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51"/>
        <v>0.56341891649713927</v>
      </c>
      <c r="Q72" s="578">
        <f t="shared" si="37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0"/>
        <v>0.27487343959457905</v>
      </c>
      <c r="AA72" s="581">
        <f t="shared" si="41"/>
        <v>0</v>
      </c>
      <c r="AB72" s="561">
        <f>+'5. GlobalData'!M11*1000*$D$21/1000</f>
        <v>800.21650656000008</v>
      </c>
      <c r="AC72" s="562">
        <f t="shared" si="42"/>
        <v>5.9871986933189376</v>
      </c>
      <c r="AD72" s="563">
        <f t="shared" si="43"/>
        <v>349.35938947083901</v>
      </c>
      <c r="AE72" s="582">
        <f t="shared" si="44"/>
        <v>5.8219013624616087</v>
      </c>
      <c r="AF72" s="563">
        <f t="shared" si="45"/>
        <v>450.85711708916119</v>
      </c>
      <c r="AG72" s="565">
        <f t="shared" si="46"/>
        <v>5.8219013624616087</v>
      </c>
      <c r="AH72" s="402">
        <f t="shared" si="47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1442</v>
      </c>
      <c r="DO72" s="573" t="s">
        <v>1442</v>
      </c>
      <c r="DP72" s="573" t="s">
        <v>1442</v>
      </c>
      <c r="DQ72" s="574" t="s">
        <v>1442</v>
      </c>
    </row>
    <row r="73" spans="1:121" ht="15.75" customHeight="1" x14ac:dyDescent="0.25">
      <c r="I73" s="431" t="s">
        <v>1227</v>
      </c>
      <c r="J73" s="434" t="s">
        <v>1235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51"/>
        <v>9.0435203058618671E-2</v>
      </c>
      <c r="Q73" s="578">
        <f t="shared" si="37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0"/>
        <v>0</v>
      </c>
      <c r="AA73" s="581" t="str">
        <f t="shared" si="41"/>
        <v>-</v>
      </c>
      <c r="AB73" s="561">
        <f>+'5. GlobalData'!M12*1000*$D$21/1000</f>
        <v>89.866756597045551</v>
      </c>
      <c r="AC73" s="562">
        <f t="shared" si="42"/>
        <v>5.0495994480704836</v>
      </c>
      <c r="AD73" s="563">
        <f t="shared" si="43"/>
        <v>81.739638215972278</v>
      </c>
      <c r="AE73" s="582">
        <f t="shared" si="44"/>
        <v>4.5929378966195404</v>
      </c>
      <c r="AF73" s="563">
        <f t="shared" si="45"/>
        <v>8.1271183810732737</v>
      </c>
      <c r="AG73" s="565">
        <f t="shared" si="46"/>
        <v>4.5929378966195404</v>
      </c>
      <c r="AH73" s="402">
        <f t="shared" si="47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1227</v>
      </c>
      <c r="J74" s="434" t="s">
        <v>1237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51"/>
        <v>0</v>
      </c>
      <c r="Q74" s="578">
        <f t="shared" si="37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0"/>
        <v>-</v>
      </c>
      <c r="AA74" s="581" t="str">
        <f t="shared" si="41"/>
        <v>-</v>
      </c>
      <c r="AB74" s="561">
        <f>+'5. GlobalData'!M13*1000*$D$21/1000</f>
        <v>1669.56486728</v>
      </c>
      <c r="AC74" s="562">
        <f t="shared" si="42"/>
        <v>6.2982900094383689</v>
      </c>
      <c r="AD74" s="563">
        <f t="shared" si="43"/>
        <v>1669.56486728</v>
      </c>
      <c r="AE74" s="582">
        <f t="shared" si="44"/>
        <v>6.2982900094383689</v>
      </c>
      <c r="AF74" s="563">
        <f t="shared" si="45"/>
        <v>0</v>
      </c>
      <c r="AG74" s="565" t="str">
        <f t="shared" si="46"/>
        <v>-</v>
      </c>
      <c r="AH74" s="402">
        <f t="shared" si="47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1442</v>
      </c>
      <c r="DM74" s="573" t="s">
        <v>1442</v>
      </c>
      <c r="DN74" s="573" t="s">
        <v>1442</v>
      </c>
      <c r="DO74" s="573" t="s">
        <v>1442</v>
      </c>
      <c r="DP74" s="573" t="s">
        <v>1442</v>
      </c>
      <c r="DQ74" s="574" t="s">
        <v>1442</v>
      </c>
    </row>
    <row r="75" spans="1:121" ht="15.75" customHeight="1" x14ac:dyDescent="0.25">
      <c r="I75" s="431" t="s">
        <v>1227</v>
      </c>
      <c r="J75" s="434" t="s">
        <v>1239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51"/>
        <v>0</v>
      </c>
      <c r="Q75" s="578">
        <f t="shared" si="37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0"/>
        <v>-</v>
      </c>
      <c r="AA75" s="581" t="str">
        <f t="shared" si="41"/>
        <v>-</v>
      </c>
      <c r="AB75" s="561">
        <f>+'5. GlobalData'!M14*1000*$D$21/1000</f>
        <v>2808.3748323555819</v>
      </c>
      <c r="AC75" s="562">
        <f t="shared" si="42"/>
        <v>11.082254189700091</v>
      </c>
      <c r="AD75" s="563">
        <f t="shared" si="43"/>
        <v>2808.3748323555819</v>
      </c>
      <c r="AE75" s="582">
        <f t="shared" si="44"/>
        <v>11.082254189700091</v>
      </c>
      <c r="AF75" s="563">
        <f t="shared" si="45"/>
        <v>0</v>
      </c>
      <c r="AG75" s="565" t="str">
        <f t="shared" si="46"/>
        <v>-</v>
      </c>
      <c r="AH75" s="402">
        <f t="shared" si="47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1227</v>
      </c>
      <c r="J76" s="434" t="s">
        <v>1241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51"/>
        <v>9.0241950407712185E-3</v>
      </c>
      <c r="Q76" s="578">
        <f t="shared" si="37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0"/>
        <v>0</v>
      </c>
      <c r="AA76" s="581" t="str">
        <f t="shared" si="41"/>
        <v>-</v>
      </c>
      <c r="AB76" s="561">
        <f>+'5. GlobalData'!M15*1000*$D$21/1000</f>
        <v>1445.2840023680001</v>
      </c>
      <c r="AC76" s="562">
        <f t="shared" si="42"/>
        <v>9.4150900598662659</v>
      </c>
      <c r="AD76" s="563">
        <f t="shared" si="43"/>
        <v>1432.2414776413248</v>
      </c>
      <c r="AE76" s="582">
        <f t="shared" si="44"/>
        <v>9.3301264508396056</v>
      </c>
      <c r="AF76" s="563">
        <f t="shared" si="45"/>
        <v>13.042524726675284</v>
      </c>
      <c r="AG76" s="565">
        <f t="shared" si="46"/>
        <v>9.3301264508396038</v>
      </c>
      <c r="AH76" s="402">
        <f t="shared" si="47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1442</v>
      </c>
      <c r="DP76" s="573" t="s">
        <v>1442</v>
      </c>
      <c r="DQ76" s="574" t="s">
        <v>1442</v>
      </c>
    </row>
    <row r="77" spans="1:121" ht="15.75" customHeight="1" x14ac:dyDescent="0.25">
      <c r="I77" s="431" t="s">
        <v>1227</v>
      </c>
      <c r="J77" s="434" t="s">
        <v>1242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51"/>
        <v>4.8623912426797849E-3</v>
      </c>
      <c r="Q77" s="578">
        <f t="shared" si="37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0"/>
        <v>0</v>
      </c>
      <c r="AA77" s="581" t="str">
        <f t="shared" si="41"/>
        <v>-</v>
      </c>
      <c r="AB77" s="561">
        <f>+'5. GlobalData'!M16*1000*$D$21/1000</f>
        <v>549.81236578400001</v>
      </c>
      <c r="AC77" s="562">
        <f t="shared" si="42"/>
        <v>12.525455729538702</v>
      </c>
      <c r="AD77" s="563">
        <f t="shared" si="43"/>
        <v>547.13896295149482</v>
      </c>
      <c r="AE77" s="582">
        <f t="shared" si="44"/>
        <v>12.464552063288821</v>
      </c>
      <c r="AF77" s="563">
        <f t="shared" si="45"/>
        <v>2.6734028325051762</v>
      </c>
      <c r="AG77" s="565">
        <f t="shared" si="46"/>
        <v>12.464552063288821</v>
      </c>
      <c r="AH77" s="402">
        <f t="shared" si="47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1442</v>
      </c>
    </row>
    <row r="78" spans="1:121" ht="15.75" customHeight="1" x14ac:dyDescent="0.25">
      <c r="I78" s="431" t="s">
        <v>1227</v>
      </c>
      <c r="J78" s="434" t="s">
        <v>1244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51"/>
        <v>4.771426734578444E-2</v>
      </c>
      <c r="Q78" s="578">
        <f t="shared" si="37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0"/>
        <v>0</v>
      </c>
      <c r="AA78" s="581">
        <f t="shared" si="41"/>
        <v>0.4507029118970462</v>
      </c>
      <c r="AB78" s="561">
        <f>+'5. GlobalData'!M17*1000*$D$21/1000</f>
        <v>23.676130584000003</v>
      </c>
      <c r="AC78" s="562">
        <f t="shared" si="42"/>
        <v>2.6323350361644713</v>
      </c>
      <c r="AD78" s="563">
        <f t="shared" si="43"/>
        <v>22.546441359601324</v>
      </c>
      <c r="AE78" s="582">
        <f t="shared" si="44"/>
        <v>2.5748282467872818</v>
      </c>
      <c r="AF78" s="563">
        <f t="shared" si="45"/>
        <v>1.1296892243986796</v>
      </c>
      <c r="AG78" s="565">
        <f t="shared" si="46"/>
        <v>2.5748282467872818</v>
      </c>
      <c r="AH78" s="402">
        <f t="shared" si="47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1442</v>
      </c>
      <c r="DO78" s="573" t="s">
        <v>1442</v>
      </c>
      <c r="DP78" s="573" t="s">
        <v>1442</v>
      </c>
      <c r="DQ78" s="574" t="s">
        <v>1442</v>
      </c>
    </row>
    <row r="79" spans="1:121" ht="15.75" customHeight="1" x14ac:dyDescent="0.25">
      <c r="I79" s="431" t="s">
        <v>1246</v>
      </c>
      <c r="J79" s="434" t="s">
        <v>1245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51"/>
        <v>0.2264193930205074</v>
      </c>
      <c r="Q79" s="578">
        <f t="shared" si="37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0"/>
        <v>0</v>
      </c>
      <c r="AA79" s="581" t="str">
        <f t="shared" si="41"/>
        <v>-</v>
      </c>
      <c r="AB79" s="561">
        <f>+'5. GlobalData'!M18*1000*$D$21/1000</f>
        <v>44.660401360000002</v>
      </c>
      <c r="AC79" s="562">
        <f t="shared" si="42"/>
        <v>10.244734509091689</v>
      </c>
      <c r="AD79" s="563">
        <f t="shared" si="43"/>
        <v>34.54842039201656</v>
      </c>
      <c r="AE79" s="582">
        <f t="shared" si="44"/>
        <v>7.9251279398869032</v>
      </c>
      <c r="AF79" s="563">
        <f t="shared" si="45"/>
        <v>10.111980967983444</v>
      </c>
      <c r="AG79" s="565">
        <f t="shared" si="46"/>
        <v>7.9251279398869032</v>
      </c>
      <c r="AH79" s="402">
        <f t="shared" si="47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1442</v>
      </c>
      <c r="DP79" s="573" t="s">
        <v>1442</v>
      </c>
      <c r="DQ79" s="574" t="s">
        <v>1442</v>
      </c>
    </row>
    <row r="80" spans="1:121" ht="15.75" customHeight="1" x14ac:dyDescent="0.25">
      <c r="I80" s="431" t="s">
        <v>1248</v>
      </c>
      <c r="J80" s="434" t="s">
        <v>1249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51"/>
        <v>1.601582501861944E-2</v>
      </c>
      <c r="Q80" s="578">
        <f t="shared" si="37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0"/>
        <v>0</v>
      </c>
      <c r="AA80" s="581" t="str">
        <f t="shared" si="41"/>
        <v>-</v>
      </c>
      <c r="AB80" s="561">
        <f>+'5. GlobalData'!M19*1000*$D$21/1000</f>
        <v>187.55047520548953</v>
      </c>
      <c r="AC80" s="562">
        <f t="shared" si="42"/>
        <v>6.9651196207875481</v>
      </c>
      <c r="AD80" s="563">
        <f t="shared" si="43"/>
        <v>184.54669961243948</v>
      </c>
      <c r="AE80" s="582">
        <f t="shared" si="44"/>
        <v>6.8535674837072609</v>
      </c>
      <c r="AF80" s="563">
        <f t="shared" si="45"/>
        <v>3.0037755930500443</v>
      </c>
      <c r="AG80" s="565">
        <f t="shared" si="46"/>
        <v>6.8535674837072618</v>
      </c>
      <c r="AH80" s="402">
        <f t="shared" si="47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1442</v>
      </c>
    </row>
    <row r="81" spans="9:121" ht="15.75" customHeight="1" x14ac:dyDescent="0.25">
      <c r="I81" s="431" t="s">
        <v>1248</v>
      </c>
      <c r="J81" s="434" t="s">
        <v>1251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51"/>
        <v>2.6063465845553212E-2</v>
      </c>
      <c r="Q81" s="578">
        <f t="shared" si="37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0"/>
        <v>0</v>
      </c>
      <c r="AA81" s="581" t="str">
        <f t="shared" si="41"/>
        <v>-</v>
      </c>
      <c r="AB81" s="561">
        <f>+'5. GlobalData'!M20*1000*$D$21/1000</f>
        <v>34.198855287999997</v>
      </c>
      <c r="AC81" s="562">
        <f t="shared" si="42"/>
        <v>10.42467573902014</v>
      </c>
      <c r="AD81" s="563">
        <f t="shared" si="43"/>
        <v>33.307514591244193</v>
      </c>
      <c r="AE81" s="582">
        <f t="shared" si="44"/>
        <v>10.152972558945223</v>
      </c>
      <c r="AF81" s="563">
        <f t="shared" si="45"/>
        <v>0.89134069675580474</v>
      </c>
      <c r="AG81" s="565">
        <f t="shared" si="46"/>
        <v>10.152972558945223</v>
      </c>
      <c r="AH81" s="402">
        <f t="shared" si="47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1442</v>
      </c>
      <c r="DQ81" s="574" t="s">
        <v>1442</v>
      </c>
    </row>
    <row r="82" spans="9:121" ht="15.75" customHeight="1" x14ac:dyDescent="0.25">
      <c r="I82" s="431" t="s">
        <v>1248</v>
      </c>
      <c r="J82" s="434" t="s">
        <v>1253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51"/>
        <v>4.4877892477934681E-2</v>
      </c>
      <c r="Q82" s="578">
        <f t="shared" si="37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0"/>
        <v>0.4831077786566404</v>
      </c>
      <c r="AA82" s="581" t="str">
        <f t="shared" si="41"/>
        <v>-</v>
      </c>
      <c r="AB82" s="561">
        <f>+'5. GlobalData'!M21*1000*$D$21/1000</f>
        <v>514.19415250670738</v>
      </c>
      <c r="AC82" s="562">
        <f t="shared" si="42"/>
        <v>12.677460832784638</v>
      </c>
      <c r="AD82" s="563">
        <f t="shared" si="43"/>
        <v>491.11820261772863</v>
      </c>
      <c r="AE82" s="582">
        <f t="shared" si="44"/>
        <v>12.38338134874429</v>
      </c>
      <c r="AF82" s="563">
        <f t="shared" si="45"/>
        <v>23.075949888978762</v>
      </c>
      <c r="AG82" s="565">
        <f t="shared" si="46"/>
        <v>12.38338134874429</v>
      </c>
      <c r="AH82" s="402">
        <f t="shared" si="47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1248</v>
      </c>
      <c r="J83" s="434" t="s">
        <v>1255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51"/>
        <v>2.5861960285988563E-2</v>
      </c>
      <c r="Q83" s="578">
        <f t="shared" si="37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0"/>
        <v>0</v>
      </c>
      <c r="AA83" s="581">
        <f t="shared" si="41"/>
        <v>0</v>
      </c>
      <c r="AB83" s="561">
        <f>+'5. GlobalData'!M22*1000*$D$21/1000</f>
        <v>356.91613908800002</v>
      </c>
      <c r="AC83" s="562">
        <f t="shared" si="42"/>
        <v>3.7398491738051778</v>
      </c>
      <c r="AD83" s="563">
        <f t="shared" si="43"/>
        <v>347.68558807347779</v>
      </c>
      <c r="AE83" s="582">
        <f t="shared" si="44"/>
        <v>3.69644900909416</v>
      </c>
      <c r="AF83" s="563">
        <f t="shared" si="45"/>
        <v>9.2305510145222271</v>
      </c>
      <c r="AG83" s="565">
        <f t="shared" si="46"/>
        <v>3.69644900909416</v>
      </c>
      <c r="AH83" s="402">
        <f t="shared" si="47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1442</v>
      </c>
      <c r="DO83" s="573" t="s">
        <v>1442</v>
      </c>
      <c r="DP83" s="573" t="s">
        <v>1442</v>
      </c>
      <c r="DQ83" s="574" t="s">
        <v>1442</v>
      </c>
    </row>
    <row r="84" spans="9:121" ht="15.75" customHeight="1" x14ac:dyDescent="0.25">
      <c r="I84" s="431" t="s">
        <v>1257</v>
      </c>
      <c r="J84" s="434" t="s">
        <v>1258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51"/>
        <v>6.3878837877373515E-2</v>
      </c>
      <c r="Q84" s="578">
        <f t="shared" si="37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0"/>
        <v>1.8051824371384303E-3</v>
      </c>
      <c r="AA84" s="581">
        <f t="shared" si="41"/>
        <v>0.35120767960363336</v>
      </c>
      <c r="AB84" s="561">
        <f>+'5. GlobalData'!M23*1000*$D$21/1000</f>
        <v>68.678597355267783</v>
      </c>
      <c r="AC84" s="562">
        <f t="shared" si="42"/>
        <v>6.3647108509621582</v>
      </c>
      <c r="AD84" s="563">
        <f t="shared" si="43"/>
        <v>64.291488369165208</v>
      </c>
      <c r="AE84" s="582">
        <f t="shared" si="44"/>
        <v>6.1768180642532</v>
      </c>
      <c r="AF84" s="563">
        <f t="shared" si="45"/>
        <v>4.3871089861025645</v>
      </c>
      <c r="AG84" s="565">
        <f t="shared" si="46"/>
        <v>6.1768180642532009</v>
      </c>
      <c r="AH84" s="402">
        <f t="shared" si="47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1257</v>
      </c>
      <c r="J85" s="434" t="s">
        <v>1260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51"/>
        <v>3.3457788623559429E-2</v>
      </c>
      <c r="Q85" s="578">
        <f t="shared" si="37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0"/>
        <v>0</v>
      </c>
      <c r="AA85" s="581" t="str">
        <f t="shared" si="41"/>
        <v>-</v>
      </c>
      <c r="AB85" s="561">
        <f>+'5. GlobalData'!M24*1000*$D$21/1000</f>
        <v>122.68330472394234</v>
      </c>
      <c r="AC85" s="562">
        <f t="shared" si="42"/>
        <v>13.292244895509874</v>
      </c>
      <c r="AD85" s="563">
        <f t="shared" si="43"/>
        <v>118.57859264684895</v>
      </c>
      <c r="AE85" s="582">
        <f t="shared" si="44"/>
        <v>12.847515775463318</v>
      </c>
      <c r="AF85" s="563">
        <f t="shared" si="45"/>
        <v>4.1047120770933931</v>
      </c>
      <c r="AG85" s="565">
        <f t="shared" si="46"/>
        <v>12.847515775463322</v>
      </c>
      <c r="AH85" s="402">
        <f t="shared" si="47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1257</v>
      </c>
      <c r="J86" s="434" t="s">
        <v>1262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51"/>
        <v>4.771426734578444E-2</v>
      </c>
      <c r="Q86" s="578">
        <f t="shared" si="37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0"/>
        <v>0</v>
      </c>
      <c r="AA86" s="581">
        <f t="shared" si="41"/>
        <v>0.4507029118970462</v>
      </c>
      <c r="AB86" s="561">
        <f>+'5. GlobalData'!M25*1000*$D$21/1000</f>
        <v>91.97045401930994</v>
      </c>
      <c r="AC86" s="562">
        <f t="shared" si="42"/>
        <v>10.225363791944485</v>
      </c>
      <c r="AD86" s="563">
        <f t="shared" si="43"/>
        <v>87.582151188319415</v>
      </c>
      <c r="AE86" s="582">
        <f t="shared" si="44"/>
        <v>10.001977394008872</v>
      </c>
      <c r="AF86" s="563">
        <f t="shared" si="45"/>
        <v>4.3883028309905292</v>
      </c>
      <c r="AG86" s="565">
        <f t="shared" si="46"/>
        <v>10.001977394008872</v>
      </c>
      <c r="AH86" s="402">
        <f t="shared" si="47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1265</v>
      </c>
      <c r="J87" s="440" t="s">
        <v>1266</v>
      </c>
      <c r="K87" s="431" t="s">
        <v>1100</v>
      </c>
      <c r="L87" s="434" t="s">
        <v>7</v>
      </c>
      <c r="M87" s="434" t="s">
        <v>1397</v>
      </c>
      <c r="N87" s="575">
        <f t="shared" ref="N87:O87" si="159">Y55</f>
        <v>0</v>
      </c>
      <c r="O87" s="576">
        <f t="shared" si="159"/>
        <v>1.0840525806313783</v>
      </c>
      <c r="P87" s="577">
        <f t="shared" si="51"/>
        <v>1</v>
      </c>
      <c r="Q87" s="578">
        <f t="shared" si="37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0"/>
        <v>1</v>
      </c>
      <c r="AA87" s="581" t="str">
        <f t="shared" si="41"/>
        <v>-</v>
      </c>
      <c r="AB87" s="593">
        <f>+'5. GlobalData'!M26*1000*$D$21/1000</f>
        <v>18.26524302843664</v>
      </c>
      <c r="AC87" s="562">
        <f t="shared" si="42"/>
        <v>16.849037910871928</v>
      </c>
      <c r="AD87" s="563">
        <f t="shared" si="43"/>
        <v>0</v>
      </c>
      <c r="AE87" s="582" t="str">
        <f t="shared" si="44"/>
        <v>-</v>
      </c>
      <c r="AF87" s="563">
        <f t="shared" si="45"/>
        <v>18.26524302843664</v>
      </c>
      <c r="AG87" s="565">
        <f t="shared" si="46"/>
        <v>16.849037910871928</v>
      </c>
      <c r="AH87" s="402">
        <f t="shared" si="47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1265</v>
      </c>
      <c r="J88" s="440" t="s">
        <v>1269</v>
      </c>
      <c r="K88" s="431" t="s">
        <v>1100</v>
      </c>
      <c r="L88" s="434" t="s">
        <v>7</v>
      </c>
      <c r="M88" s="434" t="s">
        <v>1397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51"/>
        <v>0.99411161721154995</v>
      </c>
      <c r="Q88" s="578">
        <f t="shared" si="37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0"/>
        <v>0.9788274978312278</v>
      </c>
      <c r="AA88" s="581" t="str">
        <f t="shared" si="41"/>
        <v>-</v>
      </c>
      <c r="AB88" s="593">
        <f>+'5. GlobalData'!M27*1000*$D$21/1000</f>
        <v>24.410274168000001</v>
      </c>
      <c r="AC88" s="562">
        <f t="shared" si="42"/>
        <v>10.81242399385189</v>
      </c>
      <c r="AD88" s="598">
        <f t="shared" si="43"/>
        <v>0.14373703827219958</v>
      </c>
      <c r="AE88" s="582">
        <f t="shared" si="44"/>
        <v>10.5848459277255</v>
      </c>
      <c r="AF88" s="563">
        <f t="shared" si="45"/>
        <v>24.266537129727801</v>
      </c>
      <c r="AG88" s="565">
        <f t="shared" si="46"/>
        <v>10.584845927725498</v>
      </c>
      <c r="AH88" s="402">
        <f t="shared" si="47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1442</v>
      </c>
    </row>
    <row r="89" spans="9:121" ht="15.75" customHeight="1" x14ac:dyDescent="0.25">
      <c r="I89" s="432" t="s">
        <v>1265</v>
      </c>
      <c r="J89" s="440" t="s">
        <v>1270</v>
      </c>
      <c r="K89" s="431" t="s">
        <v>1100</v>
      </c>
      <c r="L89" s="434" t="s">
        <v>7</v>
      </c>
      <c r="M89" s="434" t="s">
        <v>1397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51"/>
        <v>0.99411045882703797</v>
      </c>
      <c r="Q89" s="578">
        <f t="shared" si="37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0"/>
        <v>0.97906747956619788</v>
      </c>
      <c r="AA89" s="581" t="str">
        <f t="shared" si="41"/>
        <v>-</v>
      </c>
      <c r="AB89" s="593">
        <f>+'5. GlobalData'!M28*1000*$D$21/1000</f>
        <v>115.07700679200001</v>
      </c>
      <c r="AC89" s="562">
        <f t="shared" si="42"/>
        <v>11.283260311111825</v>
      </c>
      <c r="AD89" s="598">
        <f t="shared" si="43"/>
        <v>0.67775076956272806</v>
      </c>
      <c r="AE89" s="582">
        <f t="shared" si="44"/>
        <v>11.048464267604212</v>
      </c>
      <c r="AF89" s="563">
        <f t="shared" si="45"/>
        <v>114.39925602243729</v>
      </c>
      <c r="AG89" s="565">
        <f t="shared" si="46"/>
        <v>11.048464267604212</v>
      </c>
      <c r="AH89" s="402">
        <f t="shared" si="47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1442</v>
      </c>
      <c r="DO89" s="599" t="s">
        <v>1442</v>
      </c>
      <c r="DP89" s="599" t="s">
        <v>1442</v>
      </c>
      <c r="DQ89" s="600" t="s">
        <v>1442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1443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1444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12" t="s">
        <v>1412</v>
      </c>
      <c r="S96" s="857"/>
      <c r="T96" s="857"/>
      <c r="U96" s="857"/>
      <c r="V96" s="858"/>
      <c r="W96" s="914" t="s">
        <v>1413</v>
      </c>
      <c r="X96" s="857"/>
      <c r="Y96" s="857"/>
      <c r="Z96" s="858"/>
      <c r="AA96" s="541" t="s">
        <v>1414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1416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1416</v>
      </c>
      <c r="X97" s="544" t="s">
        <v>1416</v>
      </c>
      <c r="Y97" s="544" t="s">
        <v>1416</v>
      </c>
      <c r="Z97" s="544" t="s">
        <v>1416</v>
      </c>
      <c r="AA97" s="263" t="s">
        <v>1416</v>
      </c>
      <c r="AB97" s="439" t="s">
        <v>59</v>
      </c>
      <c r="AC97" s="439" t="s">
        <v>1417</v>
      </c>
      <c r="AD97" s="542" t="s">
        <v>59</v>
      </c>
      <c r="AE97" s="542" t="s">
        <v>1417</v>
      </c>
      <c r="AF97" s="542" t="s">
        <v>59</v>
      </c>
      <c r="AG97" s="542" t="s">
        <v>1417</v>
      </c>
      <c r="AH97" s="14" t="s">
        <v>59</v>
      </c>
      <c r="AI97" s="915" t="s">
        <v>1445</v>
      </c>
      <c r="AJ97" s="892"/>
      <c r="AK97" s="892"/>
      <c r="AL97" s="892"/>
      <c r="AM97" s="892"/>
      <c r="AN97" s="892"/>
      <c r="AO97" s="892"/>
      <c r="AP97" s="892"/>
      <c r="AQ97" s="892"/>
      <c r="AR97" s="892"/>
      <c r="AS97" s="892"/>
      <c r="AT97" s="892"/>
      <c r="AU97" s="892"/>
      <c r="AV97" s="872"/>
      <c r="AW97" s="915" t="s">
        <v>1446</v>
      </c>
      <c r="AX97" s="892"/>
      <c r="AY97" s="892"/>
      <c r="AZ97" s="892"/>
      <c r="BA97" s="892"/>
      <c r="BB97" s="892"/>
      <c r="BC97" s="892"/>
      <c r="BD97" s="892"/>
      <c r="BE97" s="892"/>
      <c r="BF97" s="892"/>
      <c r="BG97" s="892"/>
      <c r="BH97" s="892"/>
      <c r="BI97" s="892"/>
      <c r="BJ97" s="872"/>
      <c r="BK97" s="915" t="s">
        <v>1447</v>
      </c>
      <c r="BL97" s="892"/>
      <c r="BM97" s="892"/>
      <c r="BN97" s="892"/>
      <c r="BO97" s="892"/>
      <c r="BP97" s="892"/>
      <c r="BQ97" s="892"/>
      <c r="BR97" s="892"/>
      <c r="BS97" s="892"/>
      <c r="BT97" s="892"/>
      <c r="BU97" s="892"/>
      <c r="BV97" s="892"/>
      <c r="BW97" s="892"/>
      <c r="BX97" s="872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1203</v>
      </c>
      <c r="K98" s="608" t="s">
        <v>1448</v>
      </c>
      <c r="L98" s="608" t="s">
        <v>1449</v>
      </c>
      <c r="M98" s="608" t="str">
        <f>+M66</f>
        <v>Type of Oil producing</v>
      </c>
      <c r="N98" s="608" t="s">
        <v>1450</v>
      </c>
      <c r="O98" s="608" t="s">
        <v>1451</v>
      </c>
      <c r="P98" s="609" t="s">
        <v>1423</v>
      </c>
      <c r="Q98" s="609" t="s">
        <v>1452</v>
      </c>
      <c r="R98" s="610" t="s">
        <v>1453</v>
      </c>
      <c r="S98" s="610" t="s">
        <v>1454</v>
      </c>
      <c r="T98" s="610" t="s">
        <v>1455</v>
      </c>
      <c r="U98" s="610" t="s">
        <v>1456</v>
      </c>
      <c r="V98" s="610" t="s">
        <v>1457</v>
      </c>
      <c r="W98" s="611" t="s">
        <v>1458</v>
      </c>
      <c r="X98" s="611" t="s">
        <v>1459</v>
      </c>
      <c r="Y98" s="611" t="s">
        <v>1460</v>
      </c>
      <c r="Z98" s="611" t="s">
        <v>1461</v>
      </c>
      <c r="AA98" s="612" t="s">
        <v>1462</v>
      </c>
      <c r="AB98" s="552" t="s">
        <v>1463</v>
      </c>
      <c r="AC98" s="552" t="s">
        <v>1436</v>
      </c>
      <c r="AD98" s="549" t="s">
        <v>1464</v>
      </c>
      <c r="AE98" s="549" t="s">
        <v>1465</v>
      </c>
      <c r="AF98" s="549" t="s">
        <v>1466</v>
      </c>
      <c r="AG98" s="549" t="s">
        <v>1467</v>
      </c>
      <c r="AH98" s="553" t="s">
        <v>1468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1223</v>
      </c>
      <c r="K99" s="103" t="s">
        <v>1397</v>
      </c>
      <c r="L99" s="614" t="s">
        <v>6</v>
      </c>
      <c r="M99" s="615" t="s">
        <v>1469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1227</v>
      </c>
      <c r="K100" s="103" t="s">
        <v>1197</v>
      </c>
      <c r="L100" s="614" t="s">
        <v>12</v>
      </c>
      <c r="M100" s="626" t="s">
        <v>1470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1227</v>
      </c>
      <c r="K101" s="103" t="s">
        <v>1195</v>
      </c>
      <c r="L101" s="614" t="s">
        <v>16</v>
      </c>
      <c r="M101" s="34" t="s">
        <v>1471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1246</v>
      </c>
      <c r="K102" s="103" t="s">
        <v>1197</v>
      </c>
      <c r="L102" s="614" t="s">
        <v>20</v>
      </c>
      <c r="M102" s="34" t="s">
        <v>1472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1248</v>
      </c>
      <c r="K103" s="103" t="s">
        <v>1196</v>
      </c>
      <c r="L103" s="614" t="s">
        <v>24</v>
      </c>
      <c r="M103" s="34" t="s">
        <v>1473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1257</v>
      </c>
      <c r="K104" s="103" t="s">
        <v>1196</v>
      </c>
      <c r="L104" s="614" t="s">
        <v>28</v>
      </c>
      <c r="M104" s="626" t="s">
        <v>1474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1265</v>
      </c>
      <c r="K105" s="103" t="s">
        <v>1397</v>
      </c>
      <c r="L105" s="614" t="s">
        <v>31</v>
      </c>
      <c r="M105" s="626" t="s">
        <v>1475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1227</v>
      </c>
      <c r="K106" s="103" t="s">
        <v>1196</v>
      </c>
      <c r="L106" s="614" t="s">
        <v>1476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1246</v>
      </c>
      <c r="K107" s="103" t="s">
        <v>1196</v>
      </c>
      <c r="L107" s="614" t="s">
        <v>1476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1246</v>
      </c>
      <c r="K108" s="103" t="s">
        <v>1195</v>
      </c>
      <c r="L108" s="614" t="s">
        <v>1476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1248</v>
      </c>
      <c r="K109" s="103" t="s">
        <v>1197</v>
      </c>
      <c r="L109" s="614" t="s">
        <v>1476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1248</v>
      </c>
      <c r="K110" s="103" t="s">
        <v>1195</v>
      </c>
      <c r="L110" s="614" t="s">
        <v>1476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1257</v>
      </c>
      <c r="K111" s="103" t="s">
        <v>1197</v>
      </c>
      <c r="L111" s="614" t="s">
        <v>1476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1257</v>
      </c>
      <c r="K112" s="103" t="s">
        <v>1195</v>
      </c>
      <c r="L112" s="614" t="s">
        <v>1476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07" t="s">
        <v>1477</v>
      </c>
      <c r="K116" s="908"/>
      <c r="L116" s="908"/>
      <c r="M116" s="908"/>
      <c r="N116" s="908"/>
      <c r="O116" s="908"/>
      <c r="P116" s="908"/>
      <c r="Q116" s="908"/>
      <c r="R116" s="908"/>
      <c r="S116" s="908"/>
      <c r="T116" s="908"/>
      <c r="U116" s="908"/>
      <c r="V116" s="908"/>
      <c r="W116" s="908"/>
      <c r="X116" s="908"/>
      <c r="Y116" s="908"/>
      <c r="Z116" s="908"/>
      <c r="AA116" s="908"/>
      <c r="AB116" s="908"/>
      <c r="AC116" s="908"/>
      <c r="AD116" s="908"/>
      <c r="AE116" s="908"/>
      <c r="AF116" s="908"/>
      <c r="AG116" s="909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1478</v>
      </c>
      <c r="AC118" s="12" t="s">
        <v>1479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1480</v>
      </c>
      <c r="AC119" s="12" t="s">
        <v>1481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1482</v>
      </c>
      <c r="Y120" s="639" t="s">
        <v>1423</v>
      </c>
      <c r="Z120" s="639" t="s">
        <v>1483</v>
      </c>
      <c r="AA120" s="640" t="s">
        <v>1484</v>
      </c>
      <c r="AB120" s="640" t="s">
        <v>1485</v>
      </c>
      <c r="AC120" s="640" t="s">
        <v>1486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1487</v>
      </c>
      <c r="S121" s="12">
        <v>11.07</v>
      </c>
      <c r="U121" s="12">
        <f t="shared" ref="U121:U127" si="279">+S121*N121</f>
        <v>0.11714274000000001</v>
      </c>
      <c r="X121" s="615" t="s">
        <v>1469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1303</v>
      </c>
      <c r="AB121" s="12" t="s">
        <v>1303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1487</v>
      </c>
      <c r="S122" s="12">
        <v>363.69</v>
      </c>
      <c r="U122" s="12">
        <f t="shared" si="279"/>
        <v>3.8485675800000005</v>
      </c>
      <c r="X122" s="626" t="s">
        <v>1470</v>
      </c>
      <c r="Y122" s="400">
        <v>0.70411500249785086</v>
      </c>
      <c r="Z122" s="641">
        <v>209.74608813235034</v>
      </c>
      <c r="AA122" s="12" t="s">
        <v>1303</v>
      </c>
      <c r="AB122" s="12" t="s">
        <v>1303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1487</v>
      </c>
      <c r="S123" s="12">
        <v>726.7</v>
      </c>
      <c r="U123" s="12">
        <f t="shared" si="279"/>
        <v>10.899046600000002</v>
      </c>
      <c r="X123" s="34" t="s">
        <v>1471</v>
      </c>
      <c r="Y123" s="400">
        <v>2.8224919834781799E-3</v>
      </c>
      <c r="Z123" s="641">
        <v>0.23786180586758954</v>
      </c>
      <c r="AA123" s="12" t="s">
        <v>1303</v>
      </c>
      <c r="AB123" s="12" t="s">
        <v>607</v>
      </c>
      <c r="AC123" s="12" t="s">
        <v>1303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1487</v>
      </c>
      <c r="P124" s="1"/>
      <c r="S124" s="12">
        <v>5.64</v>
      </c>
      <c r="U124" s="12">
        <f t="shared" si="279"/>
        <v>5.9682480000000003E-2</v>
      </c>
      <c r="X124" s="34" t="s">
        <v>1472</v>
      </c>
      <c r="Y124" s="400">
        <v>0.2264193930205074</v>
      </c>
      <c r="Z124" s="641">
        <v>0</v>
      </c>
      <c r="AA124" s="12" t="s">
        <v>1303</v>
      </c>
      <c r="AB124" s="12" t="s">
        <v>607</v>
      </c>
      <c r="AC124" s="12" t="s">
        <v>1303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1487</v>
      </c>
      <c r="P125" s="1"/>
      <c r="S125" s="12">
        <v>165.44</v>
      </c>
      <c r="U125" s="12">
        <f t="shared" si="279"/>
        <v>1.7506860800000001</v>
      </c>
      <c r="X125" s="34" t="s">
        <v>1473</v>
      </c>
      <c r="Y125" s="400">
        <v>2.9005932398423979E-2</v>
      </c>
      <c r="Z125" s="641">
        <v>2.2768748695271519</v>
      </c>
      <c r="AA125" s="12" t="s">
        <v>1303</v>
      </c>
      <c r="AB125" s="12" t="s">
        <v>607</v>
      </c>
      <c r="AC125" s="12" t="s">
        <v>1303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1487</v>
      </c>
      <c r="P126" s="1"/>
      <c r="S126" s="12">
        <v>29.86</v>
      </c>
      <c r="U126" s="12">
        <f t="shared" si="279"/>
        <v>0.31597852000000004</v>
      </c>
      <c r="X126" s="626" t="s">
        <v>1474</v>
      </c>
      <c r="Y126" s="400">
        <v>4.9174002504380532E-2</v>
      </c>
      <c r="Z126" s="641">
        <v>0.61987830491387741</v>
      </c>
      <c r="AA126" s="12" t="s">
        <v>1303</v>
      </c>
      <c r="AB126" s="12" t="s">
        <v>607</v>
      </c>
      <c r="AC126" s="12" t="s">
        <v>1303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1265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1487</v>
      </c>
      <c r="P127" s="1"/>
      <c r="S127" s="12">
        <v>11.13</v>
      </c>
      <c r="U127" s="12">
        <f t="shared" si="279"/>
        <v>0.11777766000000002</v>
      </c>
      <c r="X127" s="626" t="s">
        <v>1475</v>
      </c>
      <c r="Y127" s="400">
        <v>0.99457310605335914</v>
      </c>
      <c r="Z127" s="641">
        <v>13.465657577297089</v>
      </c>
      <c r="AA127" s="12" t="s">
        <v>1303</v>
      </c>
      <c r="AB127" s="12" t="s">
        <v>1303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1488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1488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1488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1488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1488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10" t="s">
        <v>1489</v>
      </c>
      <c r="K138" s="908"/>
      <c r="L138" s="908"/>
      <c r="M138" s="908"/>
      <c r="N138" s="908"/>
      <c r="O138" s="908"/>
      <c r="P138" s="908"/>
      <c r="Q138" s="908"/>
      <c r="R138" s="908"/>
      <c r="S138" s="908"/>
      <c r="T138" s="908"/>
      <c r="U138" s="908"/>
      <c r="V138" s="908"/>
      <c r="W138" s="908"/>
      <c r="X138" s="908"/>
      <c r="Y138" s="908"/>
      <c r="Z138" s="908"/>
      <c r="AA138" s="908"/>
      <c r="AB138" s="908"/>
      <c r="AC138" s="908"/>
      <c r="AD138" s="908"/>
      <c r="AE138" s="908"/>
      <c r="AF138" s="908"/>
      <c r="AG138" s="909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1490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5" t="s">
        <v>1641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1492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1484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1493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1486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1494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10" t="s">
        <v>1495</v>
      </c>
      <c r="K152" s="908"/>
      <c r="L152" s="908"/>
      <c r="M152" s="908"/>
      <c r="N152" s="908"/>
      <c r="O152" s="908"/>
      <c r="P152" s="908"/>
      <c r="Q152" s="908"/>
      <c r="R152" s="908"/>
      <c r="S152" s="908"/>
      <c r="T152" s="908"/>
      <c r="U152" s="908"/>
      <c r="V152" s="908"/>
      <c r="W152" s="908"/>
      <c r="X152" s="908"/>
      <c r="Y152" s="908"/>
      <c r="Z152" s="908"/>
      <c r="AA152" s="908"/>
      <c r="AB152" s="908"/>
      <c r="AC152" s="908"/>
      <c r="AD152" s="908"/>
      <c r="AE152" s="908"/>
      <c r="AF152" s="908"/>
      <c r="AG152" s="909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1496</v>
      </c>
      <c r="W154" s="282" t="s">
        <v>1497</v>
      </c>
      <c r="X154" s="282"/>
      <c r="Y154" s="282"/>
      <c r="Z154" s="282"/>
      <c r="AA154" s="282"/>
      <c r="AB154" s="282"/>
      <c r="AC154" s="282"/>
      <c r="AF154" s="282" t="s">
        <v>1498</v>
      </c>
      <c r="AG154" s="282"/>
      <c r="AH154" s="282"/>
      <c r="AI154" s="282"/>
      <c r="AJ154" s="282"/>
      <c r="AK154" s="282"/>
      <c r="AL154" s="282"/>
      <c r="AY154" s="282" t="s">
        <v>1499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904" t="s">
        <v>1500</v>
      </c>
      <c r="O155" s="860"/>
      <c r="P155" s="904" t="s">
        <v>1500</v>
      </c>
      <c r="Q155" s="860"/>
      <c r="R155" s="643" t="s">
        <v>1501</v>
      </c>
      <c r="S155" s="643" t="s">
        <v>1502</v>
      </c>
      <c r="W155" s="12" t="s">
        <v>1503</v>
      </c>
      <c r="X155" s="12" t="s">
        <v>1504</v>
      </c>
      <c r="Y155" s="12" t="s">
        <v>1244</v>
      </c>
      <c r="Z155" s="12" t="s">
        <v>1353</v>
      </c>
      <c r="AA155" s="12" t="s">
        <v>1357</v>
      </c>
      <c r="AB155" s="12" t="s">
        <v>1258</v>
      </c>
      <c r="AC155" s="12" t="s">
        <v>1505</v>
      </c>
      <c r="AF155" s="12" t="s">
        <v>1503</v>
      </c>
      <c r="AG155" s="12" t="s">
        <v>1504</v>
      </c>
      <c r="AH155" s="12" t="s">
        <v>1244</v>
      </c>
      <c r="AI155" s="12" t="s">
        <v>1353</v>
      </c>
      <c r="AJ155" s="12" t="s">
        <v>1357</v>
      </c>
      <c r="AK155" s="12" t="s">
        <v>1258</v>
      </c>
      <c r="AL155" s="12" t="s">
        <v>1505</v>
      </c>
      <c r="AO155" s="12" t="s">
        <v>1503</v>
      </c>
      <c r="AP155" s="12" t="s">
        <v>1504</v>
      </c>
      <c r="AQ155" s="12" t="s">
        <v>1244</v>
      </c>
      <c r="AR155" s="12" t="s">
        <v>1353</v>
      </c>
      <c r="AS155" s="12" t="s">
        <v>1357</v>
      </c>
      <c r="AT155" s="12" t="s">
        <v>1258</v>
      </c>
      <c r="AU155" s="12" t="s">
        <v>1505</v>
      </c>
      <c r="AY155" s="12" t="s">
        <v>1503</v>
      </c>
      <c r="AZ155" s="12" t="s">
        <v>1504</v>
      </c>
      <c r="BA155" s="12" t="s">
        <v>1244</v>
      </c>
      <c r="BB155" s="12" t="s">
        <v>1353</v>
      </c>
      <c r="BC155" s="12" t="s">
        <v>1357</v>
      </c>
      <c r="BD155" s="12" t="s">
        <v>1258</v>
      </c>
      <c r="BE155" s="12" t="s">
        <v>1505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1506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07" t="s">
        <v>1507</v>
      </c>
      <c r="K169" s="908"/>
      <c r="L169" s="908"/>
      <c r="M169" s="908"/>
      <c r="N169" s="908"/>
      <c r="O169" s="908"/>
      <c r="P169" s="908"/>
      <c r="Q169" s="908"/>
      <c r="R169" s="908"/>
      <c r="S169" s="908"/>
      <c r="T169" s="908"/>
      <c r="U169" s="908"/>
      <c r="V169" s="908"/>
      <c r="W169" s="908"/>
      <c r="X169" s="908"/>
      <c r="Y169" s="908"/>
      <c r="Z169" s="908"/>
      <c r="AA169" s="908"/>
      <c r="AB169" s="908"/>
      <c r="AC169" s="908"/>
      <c r="AD169" s="908"/>
      <c r="AE169" s="908"/>
      <c r="AF169" s="908"/>
      <c r="AG169" s="909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894" t="s">
        <v>1508</v>
      </c>
      <c r="K174" s="860"/>
      <c r="L174" s="860"/>
      <c r="M174" s="860"/>
      <c r="N174" s="860"/>
      <c r="O174" s="86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1509</v>
      </c>
      <c r="K176" s="12">
        <v>4.9000000000000004</v>
      </c>
      <c r="L176" s="12" t="s">
        <v>1510</v>
      </c>
      <c r="M176" s="12">
        <f>+K176/1000</f>
        <v>4.9000000000000007E-3</v>
      </c>
      <c r="N176" s="12" t="s">
        <v>1511</v>
      </c>
      <c r="P176" s="12" t="s">
        <v>1512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1513</v>
      </c>
      <c r="P177" s="12" t="s">
        <v>1514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1515</v>
      </c>
      <c r="P178" s="12" t="s">
        <v>1516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1517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1518</v>
      </c>
      <c r="U181" s="14" t="s">
        <v>1519</v>
      </c>
      <c r="V181" s="12" t="s">
        <v>1520</v>
      </c>
      <c r="Y181" s="215" t="s">
        <v>1521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1522</v>
      </c>
      <c r="U182" s="446" t="s">
        <v>1523</v>
      </c>
      <c r="V182" s="12" t="s">
        <v>63</v>
      </c>
      <c r="W182" s="12" t="s">
        <v>1524</v>
      </c>
      <c r="X182" s="12" t="s">
        <v>921</v>
      </c>
      <c r="Y182" s="215" t="s">
        <v>1525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1526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4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4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4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4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0" t="s">
        <v>1527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1528</v>
      </c>
      <c r="Q193" s="330" t="s">
        <v>1529</v>
      </c>
      <c r="R193" s="12">
        <v>3.33</v>
      </c>
      <c r="S193" s="12" t="s">
        <v>1530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1531</v>
      </c>
      <c r="R194" s="12">
        <v>4.5</v>
      </c>
      <c r="S194" s="12" t="s">
        <v>1530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1532</v>
      </c>
      <c r="T197" s="12">
        <v>8.2176851262728707</v>
      </c>
      <c r="U197" s="12" t="s">
        <v>1530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1528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07" t="s">
        <v>1533</v>
      </c>
      <c r="K203" s="908"/>
      <c r="L203" s="908"/>
      <c r="M203" s="908"/>
      <c r="N203" s="908"/>
      <c r="O203" s="908"/>
      <c r="P203" s="908"/>
      <c r="Q203" s="908"/>
      <c r="R203" s="908"/>
      <c r="S203" s="908"/>
      <c r="T203" s="908"/>
      <c r="U203" s="908"/>
      <c r="V203" s="908"/>
      <c r="W203" s="908"/>
      <c r="X203" s="908"/>
      <c r="Y203" s="908"/>
      <c r="Z203" s="908"/>
      <c r="AA203" s="908"/>
      <c r="AB203" s="908"/>
      <c r="AC203" s="908"/>
      <c r="AD203" s="908"/>
      <c r="AE203" s="908"/>
      <c r="AF203" s="908"/>
      <c r="AG203" s="909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04" t="s">
        <v>1534</v>
      </c>
      <c r="P206" s="860"/>
      <c r="Q206" s="860"/>
      <c r="R206" s="860"/>
      <c r="T206" s="859" t="s">
        <v>1535</v>
      </c>
      <c r="U206" s="860"/>
      <c r="V206" s="860"/>
      <c r="W206" s="860"/>
      <c r="Z206" s="911" t="s">
        <v>1536</v>
      </c>
      <c r="AA206" s="857"/>
      <c r="AB206" s="857"/>
      <c r="AC206" s="85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1537</v>
      </c>
      <c r="R207" s="446" t="s">
        <v>1097</v>
      </c>
      <c r="T207" s="446" t="s">
        <v>22</v>
      </c>
      <c r="U207" s="446" t="s">
        <v>921</v>
      </c>
      <c r="V207" s="446" t="s">
        <v>1537</v>
      </c>
      <c r="W207" s="446" t="s">
        <v>1097</v>
      </c>
      <c r="Z207" s="499" t="s">
        <v>22</v>
      </c>
      <c r="AA207" s="499" t="s">
        <v>921</v>
      </c>
      <c r="AB207" s="499" t="s">
        <v>1537</v>
      </c>
      <c r="AC207" s="499" t="s">
        <v>1097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856" t="s">
        <v>1538</v>
      </c>
      <c r="P218" s="857"/>
      <c r="Q218" s="858"/>
      <c r="T218" s="859" t="s">
        <v>1535</v>
      </c>
      <c r="U218" s="860"/>
      <c r="V218" s="860"/>
      <c r="W218" s="860"/>
      <c r="Z218" s="912" t="s">
        <v>1539</v>
      </c>
      <c r="AA218" s="857"/>
      <c r="AB218" s="85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1537</v>
      </c>
      <c r="Q219" s="429" t="s">
        <v>63</v>
      </c>
      <c r="T219" s="446" t="s">
        <v>22</v>
      </c>
      <c r="U219" s="446" t="s">
        <v>921</v>
      </c>
      <c r="V219" s="446" t="s">
        <v>1537</v>
      </c>
      <c r="W219" s="446" t="s">
        <v>1097</v>
      </c>
      <c r="Z219" s="652" t="s">
        <v>563</v>
      </c>
      <c r="AA219" s="652" t="s">
        <v>1537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5">+(P220*24*0.365)*0.0036</f>
        <v>0</v>
      </c>
      <c r="AB220" s="654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7">+(O221*24*0.365)*0.0036</f>
        <v>8.5591327795199984E-2</v>
      </c>
      <c r="AA221" s="654">
        <f t="shared" si="367"/>
        <v>0.34236531118079994</v>
      </c>
      <c r="AB221" s="654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DK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19" t="s">
        <v>1540</v>
      </c>
      <c r="D3" s="860"/>
      <c r="E3" s="860"/>
      <c r="F3" s="860"/>
      <c r="G3" s="860"/>
      <c r="H3" s="860"/>
      <c r="I3" s="657"/>
      <c r="K3" s="116"/>
      <c r="L3" s="919" t="s">
        <v>1541</v>
      </c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658"/>
      <c r="Y3" s="658"/>
      <c r="Z3" s="658"/>
      <c r="AA3" s="658"/>
      <c r="AB3" s="657"/>
      <c r="AC3" s="380"/>
      <c r="AD3" s="116"/>
      <c r="AE3" s="919" t="s">
        <v>1542</v>
      </c>
      <c r="AF3" s="860"/>
      <c r="AG3" s="860"/>
      <c r="AH3" s="860"/>
      <c r="AI3" s="860"/>
      <c r="AJ3" s="860"/>
      <c r="AK3" s="860"/>
      <c r="AL3" s="655"/>
      <c r="AM3" s="1"/>
      <c r="AN3" s="923" t="s">
        <v>1543</v>
      </c>
      <c r="AO3" s="857"/>
      <c r="AP3" s="857"/>
      <c r="AQ3" s="857"/>
      <c r="AR3" s="857"/>
      <c r="AS3" s="857"/>
      <c r="AT3" s="857"/>
      <c r="AU3" s="857"/>
      <c r="AV3" s="857"/>
      <c r="AW3" s="857"/>
      <c r="AX3" s="857"/>
      <c r="AY3" s="857"/>
      <c r="AZ3" s="857"/>
      <c r="BA3" s="857"/>
      <c r="BB3" s="857"/>
      <c r="BC3" s="857"/>
      <c r="BD3" s="857"/>
      <c r="BE3" s="857"/>
      <c r="BF3" s="857"/>
      <c r="BG3" s="857"/>
      <c r="BH3" s="857"/>
      <c r="BI3" s="857"/>
      <c r="BJ3" s="858"/>
      <c r="BK3" s="43"/>
      <c r="BL3" s="116"/>
      <c r="BM3" s="919" t="s">
        <v>1544</v>
      </c>
      <c r="BN3" s="860"/>
      <c r="BO3" s="860"/>
      <c r="BP3" s="860"/>
      <c r="BQ3" s="860"/>
      <c r="BR3" s="860"/>
      <c r="BS3" s="860"/>
      <c r="BT3" s="860"/>
      <c r="BU3" s="658"/>
      <c r="BV3" s="658"/>
      <c r="BW3" s="658"/>
      <c r="BX3" s="655"/>
      <c r="BZ3" s="659"/>
      <c r="CA3" s="919" t="s">
        <v>1545</v>
      </c>
      <c r="CB3" s="860"/>
      <c r="CC3" s="860"/>
      <c r="CD3" s="860"/>
      <c r="CE3" s="860"/>
      <c r="CF3" s="860"/>
      <c r="CG3" s="860"/>
      <c r="CH3" s="860"/>
      <c r="CI3" s="860"/>
      <c r="CJ3" s="860"/>
      <c r="CK3" s="860"/>
      <c r="CL3" s="860"/>
      <c r="CM3" s="860"/>
      <c r="CN3" s="860"/>
      <c r="CO3" s="288"/>
      <c r="CP3" s="305"/>
      <c r="CR3" s="116"/>
      <c r="CS3" s="919" t="s">
        <v>1546</v>
      </c>
      <c r="CT3" s="860"/>
      <c r="CU3" s="860"/>
      <c r="CV3" s="860"/>
      <c r="CW3" s="860"/>
      <c r="CX3" s="860"/>
      <c r="CY3" s="860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1547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18" t="s">
        <v>1548</v>
      </c>
      <c r="M5" s="860"/>
      <c r="N5" s="860"/>
      <c r="O5" s="860"/>
      <c r="P5" s="660"/>
      <c r="Q5" s="918" t="s">
        <v>1549</v>
      </c>
      <c r="R5" s="860"/>
      <c r="S5" s="860"/>
      <c r="T5" s="660"/>
      <c r="U5" s="918" t="s">
        <v>1550</v>
      </c>
      <c r="V5" s="860"/>
      <c r="W5" s="660"/>
      <c r="X5" s="664"/>
      <c r="Y5" s="917" t="s">
        <v>1551</v>
      </c>
      <c r="Z5" s="857"/>
      <c r="AA5" s="858"/>
      <c r="AB5" s="662"/>
      <c r="AC5" s="380"/>
      <c r="AD5" s="661"/>
      <c r="AE5" s="918" t="s">
        <v>1552</v>
      </c>
      <c r="AF5" s="860"/>
      <c r="AG5" s="860"/>
      <c r="AH5" s="660"/>
      <c r="AI5" s="918" t="s">
        <v>1553</v>
      </c>
      <c r="AJ5" s="860"/>
      <c r="AK5" s="860"/>
      <c r="AL5" s="662"/>
      <c r="AM5" s="665"/>
      <c r="AN5" s="918" t="s">
        <v>1554</v>
      </c>
      <c r="AO5" s="860"/>
      <c r="AP5" s="860"/>
      <c r="AQ5" s="860"/>
      <c r="AR5" s="665"/>
      <c r="AS5" s="917" t="s">
        <v>1555</v>
      </c>
      <c r="AT5" s="857"/>
      <c r="AU5" s="857"/>
      <c r="AV5" s="857"/>
      <c r="AW5" s="857"/>
      <c r="AX5" s="857"/>
      <c r="AY5" s="857"/>
      <c r="AZ5" s="858"/>
      <c r="BA5" s="665"/>
      <c r="BB5" s="666" t="s">
        <v>1556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18" t="s">
        <v>1557</v>
      </c>
      <c r="BN5" s="860"/>
      <c r="BO5" s="860"/>
      <c r="BP5" s="660"/>
      <c r="BQ5" s="668" t="s">
        <v>1558</v>
      </c>
      <c r="BR5" s="660"/>
      <c r="BS5" s="663"/>
      <c r="BT5" s="663"/>
      <c r="BU5" s="666" t="s">
        <v>1559</v>
      </c>
      <c r="BV5" s="664"/>
      <c r="BW5" s="664"/>
      <c r="BX5" s="662"/>
      <c r="BY5" s="660"/>
      <c r="BZ5" s="669"/>
      <c r="CA5" s="920" t="s">
        <v>1560</v>
      </c>
      <c r="CB5" s="921"/>
      <c r="CC5" s="921"/>
      <c r="CD5" s="921"/>
      <c r="CE5" s="921"/>
      <c r="CF5" s="921"/>
      <c r="CG5" s="922"/>
      <c r="CH5" s="665"/>
      <c r="CI5" s="918" t="s">
        <v>1561</v>
      </c>
      <c r="CJ5" s="860"/>
      <c r="CK5" s="860"/>
      <c r="CL5" s="860"/>
      <c r="CM5" s="860"/>
      <c r="CN5" s="860"/>
      <c r="CO5" s="860"/>
      <c r="CP5" s="670"/>
      <c r="CQ5" s="660"/>
      <c r="CR5" s="661"/>
      <c r="CS5" s="920" t="s">
        <v>1562</v>
      </c>
      <c r="CT5" s="921"/>
      <c r="CU5" s="921"/>
      <c r="CV5" s="921"/>
      <c r="CW5" s="921"/>
      <c r="CX5" s="921"/>
      <c r="CY5" s="921"/>
      <c r="CZ5" s="922"/>
      <c r="DA5" s="668" t="s">
        <v>1563</v>
      </c>
      <c r="DB5" s="664"/>
      <c r="DC5" s="664"/>
      <c r="DD5" s="917" t="s">
        <v>1564</v>
      </c>
      <c r="DE5" s="857"/>
      <c r="DF5" s="857"/>
      <c r="DG5" s="858"/>
      <c r="DH5" s="662"/>
      <c r="DI5" s="660"/>
      <c r="DJ5" s="661"/>
      <c r="DK5" s="660" t="s">
        <v>1565</v>
      </c>
      <c r="DL5" s="660"/>
      <c r="DM5" s="660"/>
      <c r="DN5" s="660"/>
      <c r="DO5" s="660"/>
      <c r="DP5" s="660" t="s">
        <v>1566</v>
      </c>
      <c r="DQ5" s="660"/>
      <c r="DR5" s="660"/>
      <c r="DS5" s="660"/>
      <c r="DT5" s="660"/>
      <c r="DU5" s="660" t="s">
        <v>1566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880</v>
      </c>
      <c r="I7" s="655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5"/>
      <c r="AC7" s="1"/>
      <c r="AD7" s="116"/>
      <c r="AE7" s="381" t="s">
        <v>880</v>
      </c>
      <c r="AI7" s="381" t="s">
        <v>880</v>
      </c>
      <c r="AL7" s="655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5"/>
      <c r="BZ7" s="656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5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1" t="s">
        <v>882</v>
      </c>
      <c r="E8" s="671" t="s">
        <v>46</v>
      </c>
      <c r="F8" s="671" t="s">
        <v>1567</v>
      </c>
      <c r="G8" s="671" t="s">
        <v>1568</v>
      </c>
      <c r="H8" s="671" t="s">
        <v>930</v>
      </c>
      <c r="I8" s="672"/>
      <c r="K8" s="116"/>
      <c r="L8" s="354" t="s">
        <v>312</v>
      </c>
      <c r="M8" s="355" t="s">
        <v>928</v>
      </c>
      <c r="N8" s="355" t="s">
        <v>1115</v>
      </c>
      <c r="O8" s="355" t="s">
        <v>973</v>
      </c>
      <c r="Q8" s="673" t="s">
        <v>312</v>
      </c>
      <c r="R8" s="671" t="s">
        <v>881</v>
      </c>
      <c r="S8" s="671" t="s">
        <v>943</v>
      </c>
      <c r="U8" s="354" t="s">
        <v>312</v>
      </c>
      <c r="V8" s="674" t="s">
        <v>882</v>
      </c>
      <c r="W8" s="674" t="s">
        <v>930</v>
      </c>
      <c r="X8" s="426"/>
      <c r="Y8" s="354" t="s">
        <v>312</v>
      </c>
      <c r="Z8" s="674" t="s">
        <v>1568</v>
      </c>
      <c r="AA8" s="426"/>
      <c r="AB8" s="675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1569</v>
      </c>
      <c r="AL8" s="676"/>
      <c r="AM8" s="677"/>
      <c r="AN8" s="371" t="s">
        <v>312</v>
      </c>
      <c r="AO8" s="371" t="s">
        <v>881</v>
      </c>
      <c r="AP8" s="678" t="s">
        <v>882</v>
      </c>
      <c r="AQ8" s="679" t="s">
        <v>930</v>
      </c>
      <c r="AR8" s="677"/>
      <c r="AS8" s="371" t="s">
        <v>312</v>
      </c>
      <c r="AT8" s="371" t="s">
        <v>881</v>
      </c>
      <c r="AU8" s="678" t="s">
        <v>882</v>
      </c>
      <c r="AV8" s="679" t="s">
        <v>930</v>
      </c>
      <c r="AW8" s="1"/>
      <c r="AX8" s="371" t="s">
        <v>312</v>
      </c>
      <c r="AY8" s="680" t="s">
        <v>1116</v>
      </c>
      <c r="AZ8" s="680" t="s">
        <v>46</v>
      </c>
      <c r="BA8" s="681"/>
      <c r="BB8" s="682" t="s">
        <v>312</v>
      </c>
      <c r="BC8" s="682" t="s">
        <v>881</v>
      </c>
      <c r="BD8" s="683" t="s">
        <v>882</v>
      </c>
      <c r="BE8" s="684" t="s">
        <v>930</v>
      </c>
      <c r="BF8" s="681"/>
      <c r="BG8" s="682" t="s">
        <v>312</v>
      </c>
      <c r="BH8" s="685" t="s">
        <v>1116</v>
      </c>
      <c r="BI8" s="685" t="s">
        <v>46</v>
      </c>
      <c r="BJ8" s="677"/>
      <c r="BK8" s="43"/>
      <c r="BL8" s="116"/>
      <c r="BM8" s="334" t="s">
        <v>312</v>
      </c>
      <c r="BN8" s="371" t="s">
        <v>46</v>
      </c>
      <c r="BO8" s="680" t="s">
        <v>1116</v>
      </c>
      <c r="BQ8" s="334" t="s">
        <v>312</v>
      </c>
      <c r="BR8" s="678" t="s">
        <v>881</v>
      </c>
      <c r="BS8" s="678" t="s">
        <v>930</v>
      </c>
      <c r="BU8" s="334" t="s">
        <v>312</v>
      </c>
      <c r="BV8" s="678" t="s">
        <v>882</v>
      </c>
      <c r="BW8" s="678" t="s">
        <v>1569</v>
      </c>
      <c r="BX8" s="686"/>
      <c r="BZ8" s="687"/>
      <c r="CA8" s="688" t="s">
        <v>312</v>
      </c>
      <c r="CB8" s="689" t="s">
        <v>881</v>
      </c>
      <c r="CC8" s="688" t="s">
        <v>1050</v>
      </c>
      <c r="CD8" s="677"/>
      <c r="CE8" s="690" t="s">
        <v>312</v>
      </c>
      <c r="CF8" s="689" t="s">
        <v>882</v>
      </c>
      <c r="CG8" s="691" t="s">
        <v>930</v>
      </c>
      <c r="CH8" s="677"/>
      <c r="CI8" s="371" t="s">
        <v>312</v>
      </c>
      <c r="CJ8" s="678" t="s">
        <v>881</v>
      </c>
      <c r="CK8" s="371" t="s">
        <v>1050</v>
      </c>
      <c r="CM8" s="334" t="s">
        <v>312</v>
      </c>
      <c r="CN8" s="678" t="s">
        <v>882</v>
      </c>
      <c r="CO8" s="372" t="s">
        <v>930</v>
      </c>
      <c r="CP8" s="305"/>
      <c r="CR8" s="116"/>
      <c r="CS8" s="692" t="s">
        <v>312</v>
      </c>
      <c r="CT8" s="683" t="s">
        <v>881</v>
      </c>
      <c r="CU8" s="677"/>
      <c r="CW8" s="692" t="s">
        <v>312</v>
      </c>
      <c r="CX8" s="683" t="s">
        <v>882</v>
      </c>
      <c r="CY8" s="684" t="s">
        <v>930</v>
      </c>
      <c r="CZ8" s="693"/>
      <c r="DA8" s="334" t="s">
        <v>312</v>
      </c>
      <c r="DB8" s="678" t="s">
        <v>881</v>
      </c>
      <c r="DC8" s="677"/>
      <c r="DE8" s="334" t="s">
        <v>312</v>
      </c>
      <c r="DF8" s="678" t="s">
        <v>882</v>
      </c>
      <c r="DG8" s="679" t="s">
        <v>930</v>
      </c>
      <c r="DH8" s="694"/>
      <c r="DJ8" s="116"/>
      <c r="DK8" s="334" t="s">
        <v>312</v>
      </c>
      <c r="DL8" s="678" t="s">
        <v>881</v>
      </c>
      <c r="DM8" s="678" t="s">
        <v>882</v>
      </c>
      <c r="DN8" s="371" t="s">
        <v>930</v>
      </c>
      <c r="DP8" s="334" t="s">
        <v>312</v>
      </c>
      <c r="DQ8" s="678" t="s">
        <v>881</v>
      </c>
      <c r="DR8" s="678" t="s">
        <v>882</v>
      </c>
      <c r="DS8" s="371" t="s">
        <v>930</v>
      </c>
      <c r="DU8" s="334" t="s">
        <v>312</v>
      </c>
      <c r="DV8" s="678" t="s">
        <v>881</v>
      </c>
      <c r="DW8" s="678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1116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1570</v>
      </c>
      <c r="AK9" s="11">
        <f>+('5. Data'!O99-'5. Data'!S99)/('5. Data'!AH99-'5. Data'!S99)</f>
        <v>1</v>
      </c>
      <c r="AL9" s="701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2" t="str">
        <f t="array" ref="AS9:AS11">+PROCESS!N157:N159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+PROCESS!N116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1570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1570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1116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1571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1116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+PROCESS!N117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1116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+PROCESS!N164:N175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8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1116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+PROCESS!N118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1116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1116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+PROCESS!N119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+PROCESS!N114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1116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1116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+PROCESS!N120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1116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556</v>
      </c>
    </row>
    <row r="19" spans="2:127" x14ac:dyDescent="0.25">
      <c r="B19" s="116"/>
      <c r="I19" s="655"/>
      <c r="K19" s="116"/>
      <c r="L19" s="214"/>
      <c r="M19" s="214" t="s">
        <v>1116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1572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1116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5"/>
      <c r="K21" s="116"/>
      <c r="L21" s="214"/>
      <c r="M21" s="214" t="s">
        <v>1116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312</v>
      </c>
      <c r="DL21" s="337" t="s">
        <v>882</v>
      </c>
      <c r="DM21" s="337" t="s">
        <v>1055</v>
      </c>
      <c r="DP21" s="337" t="s">
        <v>312</v>
      </c>
      <c r="DQ21" s="337" t="s">
        <v>882</v>
      </c>
      <c r="DR21" s="337" t="s">
        <v>1055</v>
      </c>
      <c r="DU21" s="337" t="s">
        <v>312</v>
      </c>
      <c r="DV21" s="337" t="s">
        <v>882</v>
      </c>
      <c r="DW21" s="337" t="s">
        <v>1055</v>
      </c>
    </row>
    <row r="22" spans="2:127" ht="15.75" customHeight="1" x14ac:dyDescent="0.25">
      <c r="B22" s="116"/>
      <c r="I22" s="655"/>
      <c r="K22" s="116"/>
      <c r="L22" s="214"/>
      <c r="M22" s="214" t="s">
        <v>1116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1573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1573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1573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1116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312</v>
      </c>
      <c r="CN23" s="713" t="s">
        <v>1568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1116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1055</v>
      </c>
      <c r="X24" s="677"/>
      <c r="Y24" s="677"/>
      <c r="Z24" s="677"/>
      <c r="AA24" s="677"/>
      <c r="AB24" s="676"/>
      <c r="AC24" s="1"/>
      <c r="AD24" s="116"/>
      <c r="AE24" s="381" t="s">
        <v>880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1116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312</v>
      </c>
      <c r="AF25" s="337" t="s">
        <v>882</v>
      </c>
      <c r="AG25" s="337" t="s">
        <v>1055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312</v>
      </c>
      <c r="CT25" s="683" t="s">
        <v>881</v>
      </c>
      <c r="CU25" s="715" t="s">
        <v>1050</v>
      </c>
      <c r="CZ25" s="1"/>
      <c r="DA25" s="334" t="s">
        <v>312</v>
      </c>
      <c r="DB25" s="678" t="s">
        <v>881</v>
      </c>
      <c r="DC25" s="371" t="s">
        <v>1050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1116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1116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1116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8" t="s">
        <v>882</v>
      </c>
      <c r="AV28" s="679" t="s">
        <v>930</v>
      </c>
      <c r="AW28" s="1"/>
      <c r="AX28" s="1"/>
      <c r="AY28" s="1"/>
      <c r="AZ28" s="1"/>
      <c r="BA28" s="1"/>
      <c r="BB28" s="682" t="s">
        <v>312</v>
      </c>
      <c r="BC28" s="682" t="s">
        <v>881</v>
      </c>
      <c r="BD28" s="683" t="s">
        <v>882</v>
      </c>
      <c r="BE28" s="684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1572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1116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1116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1116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7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1116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1644</v>
      </c>
      <c r="DL32">
        <v>1646</v>
      </c>
      <c r="DM32" t="s">
        <v>599</v>
      </c>
      <c r="DN32">
        <f>+DL32*0.0036</f>
        <v>5.9256000000000002</v>
      </c>
      <c r="DO32" t="s">
        <v>59</v>
      </c>
      <c r="DP32" s="381" t="s">
        <v>880</v>
      </c>
    </row>
    <row r="33" spans="2:121" ht="15.75" customHeight="1" x14ac:dyDescent="0.25">
      <c r="B33" s="116"/>
      <c r="I33" s="655"/>
      <c r="K33" s="116"/>
      <c r="M33" s="214" t="s">
        <v>1116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19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1645</v>
      </c>
      <c r="DL33">
        <v>509</v>
      </c>
      <c r="DM33" t="s">
        <v>599</v>
      </c>
      <c r="DN33">
        <f>+DL33*0.0036</f>
        <v>1.8324</v>
      </c>
      <c r="DO33" t="s">
        <v>59</v>
      </c>
      <c r="DP33" s="334" t="s">
        <v>312</v>
      </c>
      <c r="DQ33" s="334" t="s">
        <v>1116</v>
      </c>
    </row>
    <row r="34" spans="2:121" ht="15.75" customHeight="1" x14ac:dyDescent="0.25">
      <c r="B34" s="116"/>
      <c r="I34" s="655"/>
      <c r="K34" s="116"/>
      <c r="M34" s="214" t="s">
        <v>1116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1646</v>
      </c>
      <c r="DL34" s="812">
        <f>3566038/1000000</f>
        <v>3.5660379999999998</v>
      </c>
      <c r="DM34" t="s">
        <v>599</v>
      </c>
      <c r="DN34" s="811">
        <f>+DL34*0.0036</f>
        <v>1.2837736799999999E-2</v>
      </c>
      <c r="DO34" t="s">
        <v>59</v>
      </c>
      <c r="DP34" s="813" t="str">
        <f>+'1. EXP_IMP'!I64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1116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599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1116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1116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1647</v>
      </c>
      <c r="DL37">
        <v>725000</v>
      </c>
      <c r="DM37" t="s">
        <v>1650</v>
      </c>
    </row>
    <row r="38" spans="2:121" ht="15.75" customHeight="1" x14ac:dyDescent="0.25">
      <c r="B38" s="116"/>
      <c r="I38" s="655"/>
      <c r="K38" s="116"/>
      <c r="M38" s="214" t="s">
        <v>1116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1648</v>
      </c>
    </row>
    <row r="39" spans="2:121" ht="15.75" customHeight="1" x14ac:dyDescent="0.25">
      <c r="B39" s="116"/>
      <c r="I39" s="655"/>
      <c r="K39" s="116"/>
      <c r="M39" s="214" t="s">
        <v>1116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1649</v>
      </c>
      <c r="DL39">
        <v>168813</v>
      </c>
      <c r="DM39" t="s">
        <v>615</v>
      </c>
    </row>
    <row r="40" spans="2:121" ht="15.75" customHeight="1" x14ac:dyDescent="0.25">
      <c r="B40" s="116"/>
      <c r="I40" s="655"/>
      <c r="K40" s="116"/>
      <c r="M40" s="214" t="s">
        <v>1116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1116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1116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1116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1116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1116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1116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1116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1116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1116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1116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1116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1116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1116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1116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1116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1116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1116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1116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1116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1116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1116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1116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1116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1116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1116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1116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1116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1116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1116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1116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1116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1116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1116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1116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1574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1116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1116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1116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1116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1116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1116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1116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1116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1116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1116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1116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1116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1116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1116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1116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1116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1116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1116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1116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1116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1116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1116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1116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1116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1116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1116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1116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1116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1116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1116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1116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1116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1575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>
      <selection activeCell="F30" sqref="F30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893" t="s">
        <v>1576</v>
      </c>
      <c r="K6" s="892"/>
      <c r="L6" s="872"/>
      <c r="M6" s="730" t="s">
        <v>1577</v>
      </c>
      <c r="N6" s="729"/>
      <c r="O6" s="1"/>
      <c r="P6" s="728"/>
      <c r="Q6" s="1"/>
      <c r="R6" s="893" t="s">
        <v>1578</v>
      </c>
      <c r="S6" s="892"/>
      <c r="T6" s="872"/>
      <c r="U6" s="730" t="s">
        <v>1579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1580</v>
      </c>
      <c r="E7" s="732" t="s">
        <v>1581</v>
      </c>
      <c r="F7" s="733" t="s">
        <v>1577</v>
      </c>
      <c r="G7" s="1"/>
      <c r="H7" s="728"/>
      <c r="I7" s="538"/>
      <c r="J7" s="734" t="s">
        <v>1491</v>
      </c>
      <c r="K7" s="735" t="s">
        <v>1582</v>
      </c>
      <c r="L7" s="736" t="s">
        <v>996</v>
      </c>
      <c r="M7" s="737" t="s">
        <v>996</v>
      </c>
      <c r="N7" s="729"/>
      <c r="O7" s="1"/>
      <c r="P7" s="728"/>
      <c r="Q7" s="538"/>
      <c r="R7" s="734" t="s">
        <v>1491</v>
      </c>
      <c r="S7" s="735" t="s">
        <v>1582</v>
      </c>
      <c r="T7" s="736" t="s">
        <v>996</v>
      </c>
      <c r="U7" s="737" t="s">
        <v>996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1583</v>
      </c>
      <c r="D8" s="739">
        <f>+D9+D10+D11</f>
        <v>38.799999999999997</v>
      </c>
      <c r="E8" s="740"/>
      <c r="F8" s="741"/>
      <c r="G8" s="1"/>
      <c r="H8" s="728"/>
      <c r="I8" s="742" t="s">
        <v>1492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1492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1484</v>
      </c>
      <c r="D9" s="656">
        <v>14.3</v>
      </c>
      <c r="E9" s="655">
        <v>0.74</v>
      </c>
      <c r="F9" s="748">
        <v>0.3</v>
      </c>
      <c r="G9" s="1"/>
      <c r="H9" s="728"/>
      <c r="I9" s="749" t="s">
        <v>1484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1484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1485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1493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1493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1486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1486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1486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1584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1494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1494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1580</v>
      </c>
      <c r="E13" s="762" t="s">
        <v>1581</v>
      </c>
      <c r="F13" s="763" t="s">
        <v>1577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1585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1514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1516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1576</v>
      </c>
      <c r="K16" s="730" t="s">
        <v>1577</v>
      </c>
      <c r="L16" s="1"/>
      <c r="M16" s="1"/>
      <c r="N16" s="729"/>
      <c r="O16" s="1"/>
      <c r="P16" s="728"/>
      <c r="Q16" s="1"/>
      <c r="R16" s="766" t="s">
        <v>1578</v>
      </c>
      <c r="S16" s="730" t="s">
        <v>1577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1586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1587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1587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1580</v>
      </c>
      <c r="E18" s="762" t="s">
        <v>1581</v>
      </c>
      <c r="F18" s="763" t="s">
        <v>1577</v>
      </c>
      <c r="G18" s="1"/>
      <c r="H18" s="728"/>
      <c r="I18" s="749" t="s">
        <v>1588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1588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1589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1590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1590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1550</v>
      </c>
      <c r="D20" s="656">
        <v>0.5</v>
      </c>
      <c r="E20" s="655"/>
      <c r="F20" s="748">
        <v>0.03</v>
      </c>
      <c r="G20" s="1"/>
      <c r="H20" s="728"/>
      <c r="I20" s="752" t="s">
        <v>1591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1591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1592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1593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1594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1595</v>
      </c>
      <c r="D24" s="656">
        <v>11.83</v>
      </c>
      <c r="E24" s="655"/>
      <c r="F24" s="748">
        <v>0.17</v>
      </c>
      <c r="G24" s="1"/>
      <c r="H24" s="728"/>
      <c r="I24" s="1"/>
      <c r="J24" s="62" t="s">
        <v>1576</v>
      </c>
      <c r="K24" s="62" t="s">
        <v>1577</v>
      </c>
      <c r="L24" s="1"/>
      <c r="M24" s="1"/>
      <c r="N24" s="729"/>
      <c r="O24" s="1"/>
      <c r="P24" s="728"/>
      <c r="Q24" s="1"/>
      <c r="R24" s="62" t="s">
        <v>1578</v>
      </c>
      <c r="S24" s="62" t="s">
        <v>1577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1596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1589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1589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1597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1598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1598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1599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1600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1600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1601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1583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1484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1485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1486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1584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24" t="s">
        <v>1602</v>
      </c>
      <c r="J5" s="877"/>
      <c r="K5" s="877"/>
      <c r="L5" s="877"/>
      <c r="M5" s="877"/>
      <c r="N5" s="877"/>
      <c r="O5" s="877"/>
      <c r="P5" s="877"/>
      <c r="Q5" s="877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1603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1604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1605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1606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1607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1608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1609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1610</v>
      </c>
      <c r="J16" s="40" t="s">
        <v>1100</v>
      </c>
      <c r="K16" s="785">
        <v>0.29699999999999999</v>
      </c>
      <c r="L16" s="40" t="s">
        <v>1100</v>
      </c>
      <c r="M16" s="40" t="s">
        <v>1100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1611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1612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1613</v>
      </c>
    </row>
    <row r="21" spans="2:17" ht="15.75" customHeight="1" x14ac:dyDescent="0.25">
      <c r="C21" s="12" t="s">
        <v>1332</v>
      </c>
      <c r="D21" s="343">
        <v>6117863200</v>
      </c>
      <c r="E21" s="12" t="s">
        <v>1395</v>
      </c>
      <c r="I21" s="112" t="s">
        <v>1614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1332</v>
      </c>
      <c r="D22" s="343">
        <f>+D21*1000/(1000000000000)</f>
        <v>6.1178632000000004</v>
      </c>
      <c r="E22" s="12" t="s">
        <v>1316</v>
      </c>
      <c r="I22" s="12" t="s">
        <v>1615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1616</v>
      </c>
      <c r="I23" s="12" t="s">
        <v>1617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1618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1619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1620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1436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1621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1622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1623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1624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24" t="s">
        <v>1625</v>
      </c>
      <c r="J44" s="877"/>
      <c r="K44" s="877"/>
      <c r="L44" s="877"/>
      <c r="M44" s="877"/>
      <c r="N44" s="877"/>
      <c r="O44" s="877"/>
      <c r="P44" s="877"/>
      <c r="Q44" s="99"/>
    </row>
    <row r="45" spans="9:17" ht="15.75" customHeight="1" x14ac:dyDescent="0.25">
      <c r="I45" s="118"/>
      <c r="J45" s="925" t="s">
        <v>1626</v>
      </c>
      <c r="K45" s="877"/>
      <c r="L45" s="925" t="s">
        <v>1627</v>
      </c>
      <c r="M45" s="875"/>
      <c r="N45" s="792"/>
      <c r="O45" s="49" t="s">
        <v>1628</v>
      </c>
      <c r="P45" s="793" t="s">
        <v>1627</v>
      </c>
    </row>
    <row r="46" spans="9:17" ht="15.75" customHeight="1" x14ac:dyDescent="0.25">
      <c r="I46" s="12" t="s">
        <v>1629</v>
      </c>
      <c r="J46" s="14">
        <v>2234</v>
      </c>
      <c r="K46" s="14" t="s">
        <v>1630</v>
      </c>
      <c r="L46" s="402">
        <f>+('5. Data'!AF100+'5. Data'!AF101)*$D$7</f>
        <v>1536.6908880451988</v>
      </c>
      <c r="M46" s="14" t="s">
        <v>1630</v>
      </c>
      <c r="N46" s="794" t="s">
        <v>1629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1265</v>
      </c>
      <c r="J47" s="14">
        <v>508</v>
      </c>
      <c r="K47" s="14" t="s">
        <v>1630</v>
      </c>
      <c r="L47" s="14" t="s">
        <v>1100</v>
      </c>
      <c r="M47" s="14"/>
      <c r="N47" s="794" t="s">
        <v>1265</v>
      </c>
      <c r="O47" s="295">
        <f t="shared" si="10"/>
        <v>0.13575628006413681</v>
      </c>
      <c r="P47" s="795" t="s">
        <v>1100</v>
      </c>
    </row>
    <row r="48" spans="9:17" ht="15.75" customHeight="1" x14ac:dyDescent="0.25">
      <c r="I48" s="12" t="s">
        <v>1223</v>
      </c>
      <c r="J48" s="14">
        <v>584</v>
      </c>
      <c r="K48" s="14" t="s">
        <v>1630</v>
      </c>
      <c r="L48" s="402">
        <f>+'5. Data'!AF99-'5. Data'!AF69</f>
        <v>243.24624083200007</v>
      </c>
      <c r="M48" s="14" t="s">
        <v>1630</v>
      </c>
      <c r="N48" s="794" t="s">
        <v>1223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1248</v>
      </c>
      <c r="J49" s="14">
        <v>226</v>
      </c>
      <c r="K49" s="14" t="s">
        <v>1630</v>
      </c>
      <c r="L49" s="402">
        <f>+'5. Data'!AF103</f>
        <v>30.707442634670208</v>
      </c>
      <c r="M49" s="14" t="s">
        <v>1630</v>
      </c>
      <c r="N49" s="794" t="s">
        <v>1248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1631</v>
      </c>
      <c r="J50" s="14">
        <v>168</v>
      </c>
      <c r="K50" s="14" t="s">
        <v>1630</v>
      </c>
      <c r="L50" s="402">
        <f>+'5. Data'!AF69</f>
        <v>23.492594688000001</v>
      </c>
      <c r="M50" s="14" t="s">
        <v>1630</v>
      </c>
      <c r="N50" s="794" t="s">
        <v>1631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1257</v>
      </c>
      <c r="J51" s="14">
        <v>22</v>
      </c>
      <c r="K51" s="14" t="s">
        <v>1630</v>
      </c>
      <c r="L51" s="402">
        <f>+'5. Data'!AF104</f>
        <v>13.932585988360662</v>
      </c>
      <c r="M51" s="14" t="s">
        <v>1630</v>
      </c>
      <c r="N51" s="794" t="s">
        <v>1257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1632</v>
      </c>
      <c r="J52" s="49" t="s">
        <v>1100</v>
      </c>
      <c r="K52" s="49"/>
      <c r="L52" s="788">
        <f>+'5. Data'!AF102</f>
        <v>10.111980967983444</v>
      </c>
      <c r="M52" s="793" t="s">
        <v>1630</v>
      </c>
      <c r="N52" s="792" t="s">
        <v>1632</v>
      </c>
      <c r="O52" s="796" t="s">
        <v>1100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1630</v>
      </c>
      <c r="L53" s="402">
        <f>+SUM(L46:L52)</f>
        <v>1858.1817331562133</v>
      </c>
      <c r="M53" s="14" t="s">
        <v>1630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24" t="s">
        <v>1633</v>
      </c>
      <c r="J57" s="877"/>
      <c r="K57" s="877"/>
      <c r="L57" s="877"/>
      <c r="M57" s="877"/>
      <c r="N57" s="877"/>
      <c r="O57" s="877"/>
      <c r="P57" s="877"/>
    </row>
    <row r="58" spans="9:16" ht="15.75" customHeight="1" x14ac:dyDescent="0.25">
      <c r="J58" s="798" t="s">
        <v>1634</v>
      </c>
      <c r="K58" s="798" t="s">
        <v>1635</v>
      </c>
      <c r="L58" s="798" t="s">
        <v>1636</v>
      </c>
      <c r="M58" s="799" t="s">
        <v>1634</v>
      </c>
      <c r="N58" s="798" t="s">
        <v>1635</v>
      </c>
      <c r="O58" s="800" t="s">
        <v>1636</v>
      </c>
    </row>
    <row r="59" spans="9:16" ht="15.75" customHeight="1" x14ac:dyDescent="0.25">
      <c r="I59" s="12" t="s">
        <v>1629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1265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1223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1248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1631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1257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1632</v>
      </c>
      <c r="J65" s="214" t="s">
        <v>1100</v>
      </c>
      <c r="K65" s="214" t="s">
        <v>1100</v>
      </c>
      <c r="L65" s="214" t="s">
        <v>1100</v>
      </c>
      <c r="M65" s="801"/>
      <c r="N65" s="228"/>
      <c r="O65" s="363"/>
    </row>
    <row r="66" spans="9:17" ht="15.75" customHeight="1" x14ac:dyDescent="0.25">
      <c r="I66" s="12" t="s">
        <v>1637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1638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1639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1640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1621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1634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1635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1636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4.1 Ref_Cart</vt:lpstr>
      <vt:lpstr>4.2 Ref_Barranca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2022-12-14T01:39:22Z</dcterms:modified>
</cp:coreProperties>
</file>